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ZS s MS Nam SUT - rekonstrukcia arealu spis OVO_38222_2022/VYSVETLENIE/6 vybavenie ihrisk/"/>
    </mc:Choice>
  </mc:AlternateContent>
  <xr:revisionPtr revIDLastSave="23" documentId="13_ncr:1_{57356790-F1D6-43F6-A6D5-616D02D04506}" xr6:coauthVersionLast="46" xr6:coauthVersionMax="47" xr10:uidLastSave="{EAB4FF3F-CFB3-4143-ADD3-552FAE55C17D}"/>
  <bookViews>
    <workbookView xWindow="0" yWindow="0" windowWidth="14490" windowHeight="15600" firstSheet="19" activeTab="20" xr2:uid="{00000000-000D-0000-FFFF-FFFF00000000}"/>
  </bookViews>
  <sheets>
    <sheet name="Krycí list" sheetId="12" r:id="rId1"/>
    <sheet name="Rekapitulácia" sheetId="11" r:id="rId2"/>
    <sheet name="SO 01-E1.1,2" sheetId="5" r:id="rId3"/>
    <sheet name="SO 01-E1.3" sheetId="21" r:id="rId4"/>
    <sheet name="SO 01-E1.4" sheetId="16" r:id="rId5"/>
    <sheet name="SO 01-E1.5" sheetId="13" r:id="rId6"/>
    <sheet name="SO 02" sheetId="33" r:id="rId7"/>
    <sheet name="SO 03" sheetId="17" r:id="rId8"/>
    <sheet name="SO 04" sheetId="32" r:id="rId9"/>
    <sheet name="SO 05" sheetId="22" r:id="rId10"/>
    <sheet name="SO 06" sheetId="23" r:id="rId11"/>
    <sheet name="SO 07" sheetId="24" r:id="rId12"/>
    <sheet name="SO 08" sheetId="25" r:id="rId13"/>
    <sheet name="SO 09" sheetId="26" r:id="rId14"/>
    <sheet name="SO 10" sheetId="27" r:id="rId15"/>
    <sheet name="SO 11" sheetId="18" r:id="rId16"/>
    <sheet name="SO 12-1" sheetId="28" r:id="rId17"/>
    <sheet name="SO 12-2" sheetId="29" r:id="rId18"/>
    <sheet name="SO 12-3" sheetId="30" r:id="rId19"/>
    <sheet name="SO 12-5" sheetId="34" r:id="rId20"/>
    <sheet name="SO 13" sheetId="19" r:id="rId21"/>
    <sheet name="SO 14" sheetId="14" r:id="rId22"/>
    <sheet name="SO 15" sheetId="15" r:id="rId23"/>
    <sheet name="leg.miestností" sheetId="10" r:id="rId24"/>
  </sheets>
  <externalReferences>
    <externalReference r:id="rId25"/>
    <externalReference r:id="rId26"/>
    <externalReference r:id="rId27"/>
  </externalReferences>
  <definedNames>
    <definedName name="_xlnm._FilterDatabase" localSheetId="23" hidden="1">leg.miestností!$A$7:$X$19</definedName>
    <definedName name="_xlnm._FilterDatabase" localSheetId="2" hidden="1">'SO 01-E1.1,2'!$A$7:$K$389</definedName>
    <definedName name="_xlnm._FilterDatabase" localSheetId="7" hidden="1">'SO 03'!$C$10:$J$114</definedName>
    <definedName name="_xlnm._FilterDatabase" hidden="1">#REF!</definedName>
    <definedName name="fakt1R" localSheetId="23">#REF!</definedName>
    <definedName name="fakt1R">#REF!</definedName>
    <definedName name="mmm" localSheetId="23" hidden="1">#REF!</definedName>
    <definedName name="_xlnm.Print_Titles" localSheetId="23">leg.miestností!$6:$8</definedName>
    <definedName name="_xlnm.Print_Titles" localSheetId="2">'SO 01-E1.1,2'!$6:$7</definedName>
    <definedName name="_xlnm.Print_Area" localSheetId="2">'SO 01-E1.1,2'!$A$1:$H$389</definedName>
    <definedName name="_xlnm.Print_Area" localSheetId="5">'SO 01-E1.5'!$A$1:$J$60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9" l="1"/>
  <c r="J19" i="19"/>
  <c r="J21" i="19"/>
  <c r="H83" i="17" l="1"/>
  <c r="H81" i="17" s="1"/>
  <c r="H10" i="33"/>
  <c r="I60" i="13"/>
  <c r="G60" i="13"/>
  <c r="I59" i="13"/>
  <c r="G59" i="13"/>
  <c r="I44" i="13"/>
  <c r="G44" i="13"/>
  <c r="I36" i="13"/>
  <c r="G36" i="13"/>
  <c r="I13" i="16"/>
  <c r="I112" i="16"/>
  <c r="I103" i="16"/>
  <c r="I86" i="16"/>
  <c r="I74" i="16"/>
  <c r="I47" i="16"/>
  <c r="I15" i="16"/>
  <c r="J63" i="19"/>
  <c r="J48" i="19"/>
  <c r="J23" i="19"/>
  <c r="J13" i="19"/>
  <c r="J16" i="19"/>
  <c r="H80" i="17"/>
  <c r="BI81" i="17"/>
  <c r="BH81" i="17"/>
  <c r="BG81" i="17"/>
  <c r="BF81" i="17"/>
  <c r="H75" i="17"/>
  <c r="H70" i="17" s="1"/>
  <c r="BI70" i="17"/>
  <c r="BH70" i="17"/>
  <c r="BG70" i="17"/>
  <c r="BF70" i="17"/>
  <c r="H50" i="15"/>
  <c r="H39" i="15"/>
  <c r="H36" i="15"/>
  <c r="H32" i="15"/>
  <c r="H10" i="15"/>
  <c r="H98" i="14"/>
  <c r="H81" i="14"/>
  <c r="H78" i="14"/>
  <c r="H67" i="14"/>
  <c r="H62" i="14"/>
  <c r="H45" i="14"/>
  <c r="H36" i="14"/>
  <c r="H10" i="14"/>
  <c r="H41" i="33"/>
  <c r="H69" i="17"/>
  <c r="H66" i="17" s="1"/>
  <c r="BI66" i="17"/>
  <c r="BH66" i="17"/>
  <c r="BG66" i="17"/>
  <c r="BF66" i="17"/>
  <c r="H21" i="17"/>
  <c r="H20" i="17"/>
  <c r="H19" i="17"/>
  <c r="H29" i="17"/>
  <c r="H28" i="17"/>
  <c r="H27" i="17"/>
  <c r="J107" i="17"/>
  <c r="J108" i="17"/>
  <c r="J109" i="17"/>
  <c r="J110" i="17"/>
  <c r="J111" i="17"/>
  <c r="F308" i="5"/>
  <c r="F348" i="5"/>
  <c r="I346" i="5"/>
  <c r="H346" i="5"/>
  <c r="BK28" i="19"/>
  <c r="BI28" i="19"/>
  <c r="BH28" i="19"/>
  <c r="BG28" i="19"/>
  <c r="BF28" i="19"/>
  <c r="T28" i="19"/>
  <c r="R28" i="19"/>
  <c r="P28" i="19"/>
  <c r="J28" i="19"/>
  <c r="BE28" i="19" s="1"/>
  <c r="H96" i="14"/>
  <c r="H31" i="34"/>
  <c r="I31" i="34"/>
  <c r="G31" i="34"/>
  <c r="H13" i="34"/>
  <c r="I13" i="34"/>
  <c r="G13" i="34"/>
  <c r="H14" i="34"/>
  <c r="I14" i="34"/>
  <c r="G14" i="34"/>
  <c r="G140" i="30"/>
  <c r="J12" i="19" l="1"/>
  <c r="BK81" i="17"/>
  <c r="T81" i="17"/>
  <c r="R81" i="17"/>
  <c r="J81" i="17"/>
  <c r="BE81" i="17" s="1"/>
  <c r="P81" i="17"/>
  <c r="BK70" i="17"/>
  <c r="P70" i="17"/>
  <c r="J70" i="17"/>
  <c r="BE70" i="17" s="1"/>
  <c r="T70" i="17"/>
  <c r="R70" i="17"/>
  <c r="BK66" i="17"/>
  <c r="T66" i="17"/>
  <c r="R66" i="17"/>
  <c r="P66" i="17"/>
  <c r="J66" i="17"/>
  <c r="BE66" i="17" s="1"/>
  <c r="I85" i="27"/>
  <c r="J85" i="27"/>
  <c r="H85" i="27"/>
  <c r="I38" i="27"/>
  <c r="J38" i="27"/>
  <c r="H38" i="27"/>
  <c r="I34" i="27"/>
  <c r="J34" i="27"/>
  <c r="H34" i="27"/>
  <c r="I32" i="27"/>
  <c r="J32" i="27"/>
  <c r="H32" i="27"/>
  <c r="I29" i="27"/>
  <c r="J29" i="27"/>
  <c r="H29" i="27"/>
  <c r="I13" i="27"/>
  <c r="I12" i="27" s="1"/>
  <c r="I88" i="27" s="1"/>
  <c r="J13" i="27"/>
  <c r="J12" i="27" s="1"/>
  <c r="J88" i="27" s="1"/>
  <c r="C24" i="11" s="1"/>
  <c r="H13" i="27"/>
  <c r="I29" i="26"/>
  <c r="J29" i="26"/>
  <c r="I48" i="26"/>
  <c r="J48" i="26"/>
  <c r="J12" i="26" s="1"/>
  <c r="J51" i="26" s="1"/>
  <c r="C23" i="11" s="1"/>
  <c r="H48" i="26"/>
  <c r="H29" i="26"/>
  <c r="J27" i="26"/>
  <c r="I27" i="26"/>
  <c r="H27" i="26"/>
  <c r="I13" i="26"/>
  <c r="J13" i="26"/>
  <c r="I25" i="26"/>
  <c r="J25" i="26"/>
  <c r="H25" i="26"/>
  <c r="H13" i="26"/>
  <c r="I45" i="25"/>
  <c r="I44" i="25" s="1"/>
  <c r="J45" i="25"/>
  <c r="J44" i="25" s="1"/>
  <c r="H45" i="25"/>
  <c r="H44" i="25" s="1"/>
  <c r="I42" i="25"/>
  <c r="J42" i="25"/>
  <c r="H42" i="25"/>
  <c r="I31" i="25"/>
  <c r="J31" i="25"/>
  <c r="H31" i="25"/>
  <c r="I26" i="25"/>
  <c r="J26" i="25"/>
  <c r="H26" i="25"/>
  <c r="I13" i="25"/>
  <c r="J13" i="25"/>
  <c r="H13" i="25"/>
  <c r="H32" i="24"/>
  <c r="J36" i="24"/>
  <c r="I36" i="24"/>
  <c r="H36" i="24"/>
  <c r="I33" i="24"/>
  <c r="J33" i="24"/>
  <c r="J32" i="24" s="1"/>
  <c r="H33" i="24"/>
  <c r="J30" i="24"/>
  <c r="I30" i="24"/>
  <c r="H30" i="24"/>
  <c r="I26" i="24"/>
  <c r="J26" i="24"/>
  <c r="H26" i="24"/>
  <c r="I24" i="24"/>
  <c r="J24" i="24"/>
  <c r="H24" i="24"/>
  <c r="I13" i="24"/>
  <c r="J13" i="24"/>
  <c r="H13" i="24"/>
  <c r="I26" i="23"/>
  <c r="J26" i="23"/>
  <c r="I31" i="23"/>
  <c r="J31" i="23"/>
  <c r="I55" i="23"/>
  <c r="J55" i="23"/>
  <c r="H55" i="23"/>
  <c r="H31" i="23"/>
  <c r="H26" i="23"/>
  <c r="I13" i="23"/>
  <c r="J13" i="23"/>
  <c r="H13" i="23"/>
  <c r="J12" i="23" l="1"/>
  <c r="J58" i="23" s="1"/>
  <c r="C20" i="11" s="1"/>
  <c r="J12" i="25"/>
  <c r="J50" i="25" s="1"/>
  <c r="C22" i="11" s="1"/>
  <c r="H12" i="27"/>
  <c r="H88" i="27" s="1"/>
  <c r="I12" i="26"/>
  <c r="I51" i="26" s="1"/>
  <c r="H12" i="26"/>
  <c r="H51" i="26" s="1"/>
  <c r="I12" i="25"/>
  <c r="I50" i="25" s="1"/>
  <c r="H12" i="25"/>
  <c r="H50" i="25" s="1"/>
  <c r="J12" i="24"/>
  <c r="J40" i="24" s="1"/>
  <c r="C21" i="11" s="1"/>
  <c r="I12" i="24"/>
  <c r="H12" i="24"/>
  <c r="H40" i="24" s="1"/>
  <c r="I32" i="24"/>
  <c r="I40" i="24" s="1"/>
  <c r="H12" i="23"/>
  <c r="H58" i="23" s="1"/>
  <c r="I12" i="23"/>
  <c r="I58" i="23" s="1"/>
  <c r="C31" i="11"/>
  <c r="D31" i="11" s="1"/>
  <c r="E31" i="11" l="1"/>
  <c r="H14" i="28"/>
  <c r="I14" i="28"/>
  <c r="G14" i="28"/>
  <c r="H48" i="28"/>
  <c r="I48" i="28"/>
  <c r="G48" i="28"/>
  <c r="H14" i="29"/>
  <c r="H13" i="29" s="1"/>
  <c r="H26" i="29" s="1"/>
  <c r="I14" i="29"/>
  <c r="I13" i="29" s="1"/>
  <c r="I26" i="29" s="1"/>
  <c r="C28" i="11" s="1"/>
  <c r="J14" i="29"/>
  <c r="J13" i="29" s="1"/>
  <c r="K14" i="29"/>
  <c r="K13" i="29" s="1"/>
  <c r="G14" i="29"/>
  <c r="G13" i="29" s="1"/>
  <c r="G26" i="29" s="1"/>
  <c r="J13" i="30"/>
  <c r="K13" i="30"/>
  <c r="H14" i="30"/>
  <c r="I14" i="30"/>
  <c r="H146" i="30"/>
  <c r="I146" i="30"/>
  <c r="G146" i="30"/>
  <c r="H140" i="30"/>
  <c r="I140" i="30"/>
  <c r="G14" i="30"/>
  <c r="C30" i="11"/>
  <c r="I13" i="30" l="1"/>
  <c r="I148" i="30" s="1"/>
  <c r="C29" i="11" s="1"/>
  <c r="G13" i="30"/>
  <c r="G148" i="30" s="1"/>
  <c r="H13" i="30"/>
  <c r="H148" i="30" s="1"/>
  <c r="G13" i="28"/>
  <c r="G55" i="28" s="1"/>
  <c r="I13" i="28"/>
  <c r="I55" i="28" s="1"/>
  <c r="C27" i="11" s="1"/>
  <c r="H13" i="28"/>
  <c r="H55" i="28" s="1"/>
  <c r="H26" i="17" l="1"/>
  <c r="H25" i="17"/>
  <c r="H18" i="17"/>
  <c r="H17" i="17"/>
  <c r="BI16" i="17"/>
  <c r="BH16" i="17"/>
  <c r="BG16" i="17"/>
  <c r="BF16" i="17"/>
  <c r="H30" i="17" l="1"/>
  <c r="H22" i="17"/>
  <c r="H16" i="17" s="1"/>
  <c r="J16" i="17" s="1"/>
  <c r="H24" i="17"/>
  <c r="J24" i="17" s="1"/>
  <c r="J113" i="17"/>
  <c r="J112" i="17" s="1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14" i="17"/>
  <c r="J13" i="17" s="1"/>
  <c r="H50" i="17"/>
  <c r="H45" i="17" s="1"/>
  <c r="J45" i="17" s="1"/>
  <c r="J44" i="17" s="1"/>
  <c r="H91" i="17"/>
  <c r="H90" i="17"/>
  <c r="BI89" i="17"/>
  <c r="BH89" i="17"/>
  <c r="BG89" i="17"/>
  <c r="BF89" i="17"/>
  <c r="H86" i="17"/>
  <c r="H84" i="17" s="1"/>
  <c r="BI84" i="17"/>
  <c r="BH84" i="17"/>
  <c r="BG84" i="17"/>
  <c r="BF84" i="17"/>
  <c r="J93" i="17" l="1"/>
  <c r="P16" i="17"/>
  <c r="BK16" i="17"/>
  <c r="R16" i="17"/>
  <c r="T16" i="17"/>
  <c r="H92" i="17"/>
  <c r="H89" i="17" s="1"/>
  <c r="BE16" i="17"/>
  <c r="R84" i="17"/>
  <c r="J84" i="17"/>
  <c r="BE84" i="17" s="1"/>
  <c r="T84" i="17"/>
  <c r="P84" i="17"/>
  <c r="BK84" i="17"/>
  <c r="H76" i="17"/>
  <c r="J76" i="17" s="1"/>
  <c r="H65" i="17"/>
  <c r="H59" i="17" s="1"/>
  <c r="J59" i="17" s="1"/>
  <c r="H58" i="17"/>
  <c r="H52" i="17" s="1"/>
  <c r="J52" i="17" s="1"/>
  <c r="H43" i="17"/>
  <c r="H38" i="17" s="1"/>
  <c r="J38" i="17" s="1"/>
  <c r="H36" i="17"/>
  <c r="H35" i="17"/>
  <c r="H34" i="17"/>
  <c r="J51" i="17" l="1"/>
  <c r="J89" i="17"/>
  <c r="J88" i="17" s="1"/>
  <c r="J87" i="17" s="1"/>
  <c r="T89" i="17"/>
  <c r="BK89" i="17"/>
  <c r="P89" i="17"/>
  <c r="R89" i="17"/>
  <c r="H37" i="17"/>
  <c r="H31" i="17" s="1"/>
  <c r="J31" i="17" s="1"/>
  <c r="BE89" i="17"/>
  <c r="F120" i="33"/>
  <c r="F118" i="33" s="1"/>
  <c r="H118" i="33" s="1"/>
  <c r="F117" i="33"/>
  <c r="F111" i="33" s="1"/>
  <c r="H111" i="33" s="1"/>
  <c r="F101" i="33"/>
  <c r="F100" i="33"/>
  <c r="F99" i="33"/>
  <c r="F98" i="33"/>
  <c r="F97" i="33"/>
  <c r="F96" i="33"/>
  <c r="F95" i="33"/>
  <c r="F94" i="33"/>
  <c r="F91" i="33"/>
  <c r="F90" i="33"/>
  <c r="F87" i="33"/>
  <c r="F86" i="33"/>
  <c r="F83" i="33"/>
  <c r="F82" i="33"/>
  <c r="F81" i="33"/>
  <c r="F80" i="33"/>
  <c r="F79" i="33"/>
  <c r="F78" i="33"/>
  <c r="F77" i="33"/>
  <c r="F76" i="33"/>
  <c r="F75" i="33"/>
  <c r="F74" i="33"/>
  <c r="F73" i="33"/>
  <c r="F72" i="33"/>
  <c r="F70" i="33"/>
  <c r="F68" i="33" s="1"/>
  <c r="H68" i="33" s="1"/>
  <c r="F67" i="33"/>
  <c r="F65" i="33" s="1"/>
  <c r="H65" i="33" s="1"/>
  <c r="F64" i="33"/>
  <c r="F62" i="33"/>
  <c r="H62" i="33" s="1"/>
  <c r="F60" i="33"/>
  <c r="F61" i="33" s="1"/>
  <c r="F59" i="33" s="1"/>
  <c r="H59" i="33" s="1"/>
  <c r="F57" i="33"/>
  <c r="F58" i="33" s="1"/>
  <c r="F56" i="33" s="1"/>
  <c r="H56" i="33" s="1"/>
  <c r="F55" i="33"/>
  <c r="F53" i="33" s="1"/>
  <c r="H53" i="33" s="1"/>
  <c r="F50" i="33"/>
  <c r="F52" i="33" s="1"/>
  <c r="F45" i="33" s="1"/>
  <c r="H45" i="33" s="1"/>
  <c r="F44" i="33"/>
  <c r="F42" i="33" s="1"/>
  <c r="H42" i="33" s="1"/>
  <c r="F39" i="33"/>
  <c r="F40" i="33" s="1"/>
  <c r="F38" i="33" s="1"/>
  <c r="H38" i="33" s="1"/>
  <c r="F37" i="33"/>
  <c r="F35" i="33" s="1"/>
  <c r="H35" i="33" s="1"/>
  <c r="F33" i="33"/>
  <c r="F34" i="33" s="1"/>
  <c r="F32" i="33" s="1"/>
  <c r="H32" i="33" s="1"/>
  <c r="F31" i="33"/>
  <c r="F29" i="33" s="1"/>
  <c r="H29" i="33" s="1"/>
  <c r="F27" i="33"/>
  <c r="F28" i="33" s="1"/>
  <c r="F26" i="33" s="1"/>
  <c r="H26" i="33" s="1"/>
  <c r="F25" i="33"/>
  <c r="F22" i="33" s="1"/>
  <c r="H22" i="33" s="1"/>
  <c r="F21" i="33"/>
  <c r="F18" i="33" s="1"/>
  <c r="H18" i="33" s="1"/>
  <c r="F17" i="33"/>
  <c r="F14" i="33" s="1"/>
  <c r="H14" i="33" s="1"/>
  <c r="A14" i="33"/>
  <c r="A18" i="33" s="1"/>
  <c r="A22" i="33" s="1"/>
  <c r="A26" i="33" s="1"/>
  <c r="A29" i="33" s="1"/>
  <c r="A32" i="33" s="1"/>
  <c r="A35" i="33" s="1"/>
  <c r="A38" i="33" s="1"/>
  <c r="A42" i="33" s="1"/>
  <c r="A45" i="33" s="1"/>
  <c r="A53" i="33" s="1"/>
  <c r="A56" i="33" s="1"/>
  <c r="A59" i="33" s="1"/>
  <c r="A62" i="33" s="1"/>
  <c r="A65" i="33" s="1"/>
  <c r="A68" i="33" s="1"/>
  <c r="A71" i="33" s="1"/>
  <c r="A85" i="33" s="1"/>
  <c r="A89" i="33" s="1"/>
  <c r="A93" i="33" s="1"/>
  <c r="A103" i="33" s="1"/>
  <c r="A104" i="33" s="1"/>
  <c r="A105" i="33" s="1"/>
  <c r="A106" i="33" s="1"/>
  <c r="A107" i="33" s="1"/>
  <c r="A108" i="33" s="1"/>
  <c r="F13" i="33"/>
  <c r="F11" i="33" s="1"/>
  <c r="H11" i="33" s="1"/>
  <c r="F167" i="32"/>
  <c r="F168" i="32" s="1"/>
  <c r="F166" i="32" s="1"/>
  <c r="H164" i="32"/>
  <c r="F162" i="32"/>
  <c r="F163" i="32" s="1"/>
  <c r="F161" i="32" s="1"/>
  <c r="H160" i="32"/>
  <c r="F158" i="32"/>
  <c r="F159" i="32" s="1"/>
  <c r="F157" i="32" s="1"/>
  <c r="H156" i="32"/>
  <c r="F155" i="32"/>
  <c r="H154" i="32"/>
  <c r="H153" i="32"/>
  <c r="H152" i="32"/>
  <c r="H151" i="32"/>
  <c r="F149" i="32"/>
  <c r="F148" i="32"/>
  <c r="F147" i="32"/>
  <c r="F146" i="32"/>
  <c r="F145" i="32"/>
  <c r="F144" i="32"/>
  <c r="F143" i="32"/>
  <c r="F142" i="32"/>
  <c r="F141" i="32"/>
  <c r="F138" i="32"/>
  <c r="F139" i="32" s="1"/>
  <c r="F137" i="32" s="1"/>
  <c r="F136" i="32"/>
  <c r="F134" i="32" s="1"/>
  <c r="H134" i="32" s="1"/>
  <c r="K134" i="32"/>
  <c r="F131" i="32"/>
  <c r="F132" i="32" s="1"/>
  <c r="F130" i="32" s="1"/>
  <c r="F128" i="32"/>
  <c r="F129" i="32" s="1"/>
  <c r="F127" i="32" s="1"/>
  <c r="H127" i="32" s="1"/>
  <c r="F125" i="32"/>
  <c r="F124" i="32"/>
  <c r="F126" i="32" s="1"/>
  <c r="F123" i="32" s="1"/>
  <c r="H123" i="32" s="1"/>
  <c r="F122" i="32"/>
  <c r="F120" i="32" s="1"/>
  <c r="H120" i="32" s="1"/>
  <c r="F121" i="32"/>
  <c r="F118" i="32"/>
  <c r="F119" i="32" s="1"/>
  <c r="F117" i="32" s="1"/>
  <c r="H117" i="32" s="1"/>
  <c r="F115" i="32"/>
  <c r="F116" i="32" s="1"/>
  <c r="F114" i="32" s="1"/>
  <c r="H114" i="32" s="1"/>
  <c r="F108" i="32"/>
  <c r="F107" i="32"/>
  <c r="F106" i="32"/>
  <c r="F105" i="32"/>
  <c r="F104" i="32"/>
  <c r="F103" i="32"/>
  <c r="F102" i="32"/>
  <c r="F101" i="32"/>
  <c r="F99" i="32"/>
  <c r="F97" i="32"/>
  <c r="H97" i="32" s="1"/>
  <c r="F96" i="32"/>
  <c r="F94" i="32" s="1"/>
  <c r="F93" i="32"/>
  <c r="F91" i="32" s="1"/>
  <c r="F90" i="32"/>
  <c r="F88" i="32" s="1"/>
  <c r="F87" i="32"/>
  <c r="F85" i="32"/>
  <c r="H85" i="32" s="1"/>
  <c r="K84" i="32"/>
  <c r="H84" i="32"/>
  <c r="F83" i="32"/>
  <c r="F81" i="32" s="1"/>
  <c r="H81" i="32" s="1"/>
  <c r="K80" i="32"/>
  <c r="H80" i="32"/>
  <c r="F79" i="32"/>
  <c r="F77" i="32" s="1"/>
  <c r="H77" i="32" s="1"/>
  <c r="K76" i="32"/>
  <c r="H76" i="32"/>
  <c r="K75" i="32"/>
  <c r="H75" i="32"/>
  <c r="K74" i="32"/>
  <c r="H74" i="32"/>
  <c r="F73" i="32"/>
  <c r="F69" i="32"/>
  <c r="H69" i="32" s="1"/>
  <c r="K68" i="32"/>
  <c r="H68" i="32"/>
  <c r="F67" i="32"/>
  <c r="F65" i="32" s="1"/>
  <c r="H65" i="32" s="1"/>
  <c r="F62" i="32"/>
  <c r="F63" i="32" s="1"/>
  <c r="F61" i="32" s="1"/>
  <c r="F59" i="32"/>
  <c r="F60" i="32" s="1"/>
  <c r="F58" i="32" s="1"/>
  <c r="H58" i="32" s="1"/>
  <c r="F56" i="32"/>
  <c r="F57" i="32" s="1"/>
  <c r="F55" i="32" s="1"/>
  <c r="H55" i="32" s="1"/>
  <c r="F52" i="32"/>
  <c r="F51" i="32"/>
  <c r="F50" i="32"/>
  <c r="F49" i="32"/>
  <c r="F48" i="32"/>
  <c r="F47" i="32"/>
  <c r="F46" i="32"/>
  <c r="F45" i="32"/>
  <c r="F44" i="32"/>
  <c r="F43" i="32"/>
  <c r="F42" i="32"/>
  <c r="F38" i="32"/>
  <c r="F39" i="32" s="1"/>
  <c r="F37" i="32" s="1"/>
  <c r="H37" i="32" s="1"/>
  <c r="F35" i="32"/>
  <c r="F36" i="32" s="1"/>
  <c r="F34" i="32" s="1"/>
  <c r="H34" i="32" s="1"/>
  <c r="F32" i="32"/>
  <c r="F33" i="32" s="1"/>
  <c r="F31" i="32" s="1"/>
  <c r="H31" i="32" s="1"/>
  <c r="F30" i="32"/>
  <c r="F28" i="32"/>
  <c r="H28" i="32" s="1"/>
  <c r="F26" i="32"/>
  <c r="F27" i="32" s="1"/>
  <c r="F25" i="32" s="1"/>
  <c r="H25" i="32" s="1"/>
  <c r="F24" i="32"/>
  <c r="F22" i="32" s="1"/>
  <c r="H22" i="32" s="1"/>
  <c r="A22" i="32"/>
  <c r="A25" i="32" s="1"/>
  <c r="A28" i="32" s="1"/>
  <c r="A31" i="32" s="1"/>
  <c r="A34" i="32" s="1"/>
  <c r="A37" i="32" s="1"/>
  <c r="A41" i="32" s="1"/>
  <c r="A55" i="32" s="1"/>
  <c r="A58" i="32" s="1"/>
  <c r="A61" i="32" s="1"/>
  <c r="A65" i="32" s="1"/>
  <c r="A68" i="32" s="1"/>
  <c r="A69" i="32" s="1"/>
  <c r="A74" i="32" s="1"/>
  <c r="A75" i="32" s="1"/>
  <c r="A76" i="32" s="1"/>
  <c r="A77" i="32" s="1"/>
  <c r="A80" i="32" s="1"/>
  <c r="A81" i="32" s="1"/>
  <c r="A84" i="32" s="1"/>
  <c r="A85" i="32" s="1"/>
  <c r="A88" i="32" s="1"/>
  <c r="A91" i="32" s="1"/>
  <c r="A94" i="32" s="1"/>
  <c r="A97" i="32" s="1"/>
  <c r="A100" i="32" s="1"/>
  <c r="A111" i="32" s="1"/>
  <c r="A114" i="32" s="1"/>
  <c r="A117" i="32" s="1"/>
  <c r="A120" i="32" s="1"/>
  <c r="A123" i="32" s="1"/>
  <c r="A127" i="32" s="1"/>
  <c r="A130" i="32" s="1"/>
  <c r="A134" i="32" s="1"/>
  <c r="A137" i="32" s="1"/>
  <c r="A140" i="32" s="1"/>
  <c r="A151" i="32" s="1"/>
  <c r="A152" i="32" s="1"/>
  <c r="A153" i="32" s="1"/>
  <c r="A154" i="32" s="1"/>
  <c r="A155" i="32" s="1"/>
  <c r="A156" i="32" s="1"/>
  <c r="A157" i="32" s="1"/>
  <c r="A160" i="32" s="1"/>
  <c r="A161" i="32" s="1"/>
  <c r="A164" i="32" s="1"/>
  <c r="A166" i="32" s="1"/>
  <c r="A169" i="32" s="1"/>
  <c r="F20" i="32"/>
  <c r="F19" i="32"/>
  <c r="F18" i="32"/>
  <c r="F17" i="32"/>
  <c r="F16" i="32"/>
  <c r="F15" i="32"/>
  <c r="F14" i="32"/>
  <c r="F13" i="32"/>
  <c r="F12" i="32"/>
  <c r="J23" i="17" l="1"/>
  <c r="J12" i="17" s="1"/>
  <c r="J11" i="17" s="1"/>
  <c r="C17" i="11" s="1"/>
  <c r="H91" i="32"/>
  <c r="K91" i="32"/>
  <c r="A111" i="33"/>
  <c r="A118" i="33" s="1"/>
  <c r="F21" i="32"/>
  <c r="F11" i="32" s="1"/>
  <c r="H11" i="32" s="1"/>
  <c r="H10" i="32" s="1"/>
  <c r="F92" i="33"/>
  <c r="F89" i="33" s="1"/>
  <c r="K89" i="33" s="1"/>
  <c r="F109" i="32"/>
  <c r="F100" i="32" s="1"/>
  <c r="F150" i="32"/>
  <c r="F140" i="32" s="1"/>
  <c r="H140" i="32" s="1"/>
  <c r="F53" i="32"/>
  <c r="F41" i="32" s="1"/>
  <c r="H110" i="33"/>
  <c r="F84" i="33"/>
  <c r="F71" i="33" s="1"/>
  <c r="H71" i="33" s="1"/>
  <c r="F88" i="33"/>
  <c r="F85" i="33" s="1"/>
  <c r="K85" i="33" s="1"/>
  <c r="F102" i="33"/>
  <c r="F93" i="33" s="1"/>
  <c r="H93" i="33" s="1"/>
  <c r="H109" i="33"/>
  <c r="K100" i="32"/>
  <c r="H100" i="32"/>
  <c r="K161" i="32"/>
  <c r="H161" i="32"/>
  <c r="K41" i="32"/>
  <c r="H41" i="32"/>
  <c r="H40" i="32" s="1"/>
  <c r="K88" i="32"/>
  <c r="H88" i="32"/>
  <c r="H64" i="32" s="1"/>
  <c r="K94" i="32"/>
  <c r="H94" i="32"/>
  <c r="K61" i="32"/>
  <c r="H61" i="32"/>
  <c r="H54" i="32" s="1"/>
  <c r="K130" i="32"/>
  <c r="H130" i="32"/>
  <c r="H113" i="32" s="1"/>
  <c r="K137" i="32"/>
  <c r="H137" i="32"/>
  <c r="K157" i="32"/>
  <c r="H157" i="32"/>
  <c r="H166" i="32"/>
  <c r="F170" i="32"/>
  <c r="F171" i="32" s="1"/>
  <c r="F169" i="32" s="1"/>
  <c r="H169" i="32" s="1"/>
  <c r="K85" i="32"/>
  <c r="K97" i="32"/>
  <c r="K55" i="32"/>
  <c r="H356" i="5"/>
  <c r="K356" i="5"/>
  <c r="H133" i="32" l="1"/>
  <c r="H85" i="33"/>
  <c r="H89" i="33"/>
  <c r="K140" i="32"/>
  <c r="K71" i="33"/>
  <c r="K103" i="33" s="1"/>
  <c r="F103" i="33" s="1"/>
  <c r="H165" i="32"/>
  <c r="H112" i="32" s="1"/>
  <c r="K93" i="33"/>
  <c r="K111" i="32"/>
  <c r="F111" i="32" s="1"/>
  <c r="H111" i="32" s="1"/>
  <c r="H110" i="32" s="1"/>
  <c r="H9" i="32" s="1"/>
  <c r="H173" i="32" s="1"/>
  <c r="C18" i="11" s="1"/>
  <c r="D29" i="11"/>
  <c r="E29" i="11" s="1"/>
  <c r="D28" i="11"/>
  <c r="E28" i="11" s="1"/>
  <c r="C26" i="11" l="1"/>
  <c r="D26" i="11" s="1"/>
  <c r="F105" i="33"/>
  <c r="F104" i="33"/>
  <c r="H104" i="33" s="1"/>
  <c r="F107" i="33"/>
  <c r="H103" i="33"/>
  <c r="D27" i="11"/>
  <c r="E27" i="11" s="1"/>
  <c r="D30" i="11"/>
  <c r="E30" i="11" s="1"/>
  <c r="BK55" i="22"/>
  <c r="BI55" i="22"/>
  <c r="BH55" i="22"/>
  <c r="BG55" i="22"/>
  <c r="BE55" i="22"/>
  <c r="T55" i="22"/>
  <c r="R55" i="22"/>
  <c r="P55" i="22"/>
  <c r="J55" i="22"/>
  <c r="BF55" i="22" s="1"/>
  <c r="BK54" i="22"/>
  <c r="BI54" i="22"/>
  <c r="BH54" i="22"/>
  <c r="BG54" i="22"/>
  <c r="BE54" i="22"/>
  <c r="T54" i="22"/>
  <c r="R54" i="22"/>
  <c r="P54" i="22"/>
  <c r="J54" i="22"/>
  <c r="BF54" i="22" s="1"/>
  <c r="BK53" i="22"/>
  <c r="BK52" i="22" s="1"/>
  <c r="J52" i="22" s="1"/>
  <c r="BI53" i="22"/>
  <c r="BH53" i="22"/>
  <c r="BG53" i="22"/>
  <c r="BE53" i="22"/>
  <c r="T53" i="22"/>
  <c r="R53" i="22"/>
  <c r="P53" i="22"/>
  <c r="J53" i="22"/>
  <c r="BF53" i="22" s="1"/>
  <c r="BK50" i="22"/>
  <c r="BI50" i="22"/>
  <c r="BH50" i="22"/>
  <c r="BG50" i="22"/>
  <c r="BE50" i="22"/>
  <c r="T50" i="22"/>
  <c r="T49" i="22" s="1"/>
  <c r="R50" i="22"/>
  <c r="R49" i="22" s="1"/>
  <c r="P50" i="22"/>
  <c r="P49" i="22" s="1"/>
  <c r="J50" i="22"/>
  <c r="BF50" i="22" s="1"/>
  <c r="BK49" i="22"/>
  <c r="J49" i="22" s="1"/>
  <c r="BK48" i="22"/>
  <c r="BI48" i="22"/>
  <c r="BH48" i="22"/>
  <c r="BG48" i="22"/>
  <c r="BE48" i="22"/>
  <c r="T48" i="22"/>
  <c r="R48" i="22"/>
  <c r="P48" i="22"/>
  <c r="J48" i="22"/>
  <c r="BF48" i="22" s="1"/>
  <c r="BK47" i="22"/>
  <c r="BI47" i="22"/>
  <c r="BH47" i="22"/>
  <c r="BG47" i="22"/>
  <c r="BE47" i="22"/>
  <c r="T47" i="22"/>
  <c r="R47" i="22"/>
  <c r="P47" i="22"/>
  <c r="J47" i="22"/>
  <c r="BF47" i="22" s="1"/>
  <c r="BK46" i="22"/>
  <c r="BI46" i="22"/>
  <c r="BH46" i="22"/>
  <c r="BG46" i="22"/>
  <c r="BE46" i="22"/>
  <c r="T46" i="22"/>
  <c r="R46" i="22"/>
  <c r="P46" i="22"/>
  <c r="J46" i="22"/>
  <c r="BF46" i="22" s="1"/>
  <c r="BK45" i="22"/>
  <c r="BI45" i="22"/>
  <c r="BH45" i="22"/>
  <c r="BG45" i="22"/>
  <c r="BE45" i="22"/>
  <c r="T45" i="22"/>
  <c r="R45" i="22"/>
  <c r="P45" i="22"/>
  <c r="J45" i="22"/>
  <c r="BF45" i="22" s="1"/>
  <c r="BK44" i="22"/>
  <c r="BI44" i="22"/>
  <c r="BH44" i="22"/>
  <c r="BG44" i="22"/>
  <c r="BE44" i="22"/>
  <c r="T44" i="22"/>
  <c r="R44" i="22"/>
  <c r="P44" i="22"/>
  <c r="J44" i="22"/>
  <c r="BF44" i="22" s="1"/>
  <c r="BK43" i="22"/>
  <c r="BI43" i="22"/>
  <c r="BH43" i="22"/>
  <c r="BG43" i="22"/>
  <c r="BE43" i="22"/>
  <c r="T43" i="22"/>
  <c r="R43" i="22"/>
  <c r="P43" i="22"/>
  <c r="J43" i="22"/>
  <c r="BF43" i="22" s="1"/>
  <c r="BK42" i="22"/>
  <c r="BI42" i="22"/>
  <c r="BH42" i="22"/>
  <c r="BG42" i="22"/>
  <c r="BE42" i="22"/>
  <c r="T42" i="22"/>
  <c r="R42" i="22"/>
  <c r="P42" i="22"/>
  <c r="J42" i="22"/>
  <c r="BF42" i="22" s="1"/>
  <c r="BK41" i="22"/>
  <c r="BI41" i="22"/>
  <c r="BH41" i="22"/>
  <c r="BG41" i="22"/>
  <c r="BE41" i="22"/>
  <c r="T41" i="22"/>
  <c r="R41" i="22"/>
  <c r="P41" i="22"/>
  <c r="J41" i="22"/>
  <c r="BF41" i="22" s="1"/>
  <c r="BK40" i="22"/>
  <c r="BI40" i="22"/>
  <c r="BH40" i="22"/>
  <c r="BG40" i="22"/>
  <c r="BE40" i="22"/>
  <c r="T40" i="22"/>
  <c r="R40" i="22"/>
  <c r="P40" i="22"/>
  <c r="J40" i="22"/>
  <c r="BF40" i="22" s="1"/>
  <c r="BK39" i="22"/>
  <c r="BI39" i="22"/>
  <c r="BH39" i="22"/>
  <c r="BG39" i="22"/>
  <c r="BE39" i="22"/>
  <c r="T39" i="22"/>
  <c r="R39" i="22"/>
  <c r="P39" i="22"/>
  <c r="J39" i="22"/>
  <c r="BF39" i="22" s="1"/>
  <c r="BK38" i="22"/>
  <c r="BI38" i="22"/>
  <c r="BH38" i="22"/>
  <c r="BG38" i="22"/>
  <c r="BE38" i="22"/>
  <c r="T38" i="22"/>
  <c r="R38" i="22"/>
  <c r="P38" i="22"/>
  <c r="J38" i="22"/>
  <c r="BF38" i="22" s="1"/>
  <c r="BK36" i="22"/>
  <c r="BK35" i="22" s="1"/>
  <c r="J35" i="22" s="1"/>
  <c r="BI36" i="22"/>
  <c r="BH36" i="22"/>
  <c r="BG36" i="22"/>
  <c r="BE36" i="22"/>
  <c r="T36" i="22"/>
  <c r="T35" i="22" s="1"/>
  <c r="R36" i="22"/>
  <c r="P36" i="22"/>
  <c r="P35" i="22" s="1"/>
  <c r="J36" i="22"/>
  <c r="BF36" i="22" s="1"/>
  <c r="R35" i="22"/>
  <c r="BK34" i="22"/>
  <c r="BI34" i="22"/>
  <c r="BH34" i="22"/>
  <c r="BG34" i="22"/>
  <c r="BE34" i="22"/>
  <c r="T34" i="22"/>
  <c r="R34" i="22"/>
  <c r="P34" i="22"/>
  <c r="J34" i="22"/>
  <c r="BF34" i="22" s="1"/>
  <c r="BK33" i="22"/>
  <c r="BI33" i="22"/>
  <c r="BH33" i="22"/>
  <c r="BG33" i="22"/>
  <c r="BE33" i="22"/>
  <c r="T33" i="22"/>
  <c r="R33" i="22"/>
  <c r="P33" i="22"/>
  <c r="J33" i="22"/>
  <c r="BF33" i="22" s="1"/>
  <c r="BK32" i="22"/>
  <c r="BI32" i="22"/>
  <c r="BH32" i="22"/>
  <c r="BG32" i="22"/>
  <c r="BE32" i="22"/>
  <c r="T32" i="22"/>
  <c r="R32" i="22"/>
  <c r="P32" i="22"/>
  <c r="J32" i="22"/>
  <c r="BF32" i="22" s="1"/>
  <c r="BK31" i="22"/>
  <c r="BI31" i="22"/>
  <c r="BH31" i="22"/>
  <c r="BG31" i="22"/>
  <c r="BE31" i="22"/>
  <c r="T31" i="22"/>
  <c r="R31" i="22"/>
  <c r="P31" i="22"/>
  <c r="J31" i="22"/>
  <c r="BF31" i="22" s="1"/>
  <c r="BK30" i="22"/>
  <c r="BI30" i="22"/>
  <c r="BH30" i="22"/>
  <c r="BG30" i="22"/>
  <c r="BE30" i="22"/>
  <c r="T30" i="22"/>
  <c r="R30" i="22"/>
  <c r="P30" i="22"/>
  <c r="J30" i="22"/>
  <c r="BF30" i="22" s="1"/>
  <c r="BK29" i="22"/>
  <c r="BI29" i="22"/>
  <c r="BH29" i="22"/>
  <c r="BG29" i="22"/>
  <c r="BE29" i="22"/>
  <c r="T29" i="22"/>
  <c r="R29" i="22"/>
  <c r="P29" i="22"/>
  <c r="J29" i="22"/>
  <c r="BF29" i="22" s="1"/>
  <c r="BK28" i="22"/>
  <c r="BI28" i="22"/>
  <c r="BH28" i="22"/>
  <c r="BG28" i="22"/>
  <c r="BE28" i="22"/>
  <c r="T28" i="22"/>
  <c r="R28" i="22"/>
  <c r="P28" i="22"/>
  <c r="J28" i="22"/>
  <c r="BF28" i="22" s="1"/>
  <c r="BK27" i="22"/>
  <c r="BI27" i="22"/>
  <c r="BH27" i="22"/>
  <c r="BG27" i="22"/>
  <c r="BE27" i="22"/>
  <c r="T27" i="22"/>
  <c r="R27" i="22"/>
  <c r="P27" i="22"/>
  <c r="J27" i="22"/>
  <c r="BF27" i="22" s="1"/>
  <c r="BK25" i="22"/>
  <c r="BI25" i="22"/>
  <c r="BH25" i="22"/>
  <c r="BG25" i="22"/>
  <c r="BE25" i="22"/>
  <c r="T25" i="22"/>
  <c r="R25" i="22"/>
  <c r="P25" i="22"/>
  <c r="J25" i="22"/>
  <c r="BF25" i="22" s="1"/>
  <c r="BK24" i="22"/>
  <c r="BI24" i="22"/>
  <c r="BH24" i="22"/>
  <c r="BG24" i="22"/>
  <c r="BE24" i="22"/>
  <c r="T24" i="22"/>
  <c r="R24" i="22"/>
  <c r="P24" i="22"/>
  <c r="J24" i="22"/>
  <c r="BF24" i="22" s="1"/>
  <c r="BK23" i="22"/>
  <c r="BI23" i="22"/>
  <c r="BH23" i="22"/>
  <c r="BG23" i="22"/>
  <c r="BE23" i="22"/>
  <c r="T23" i="22"/>
  <c r="R23" i="22"/>
  <c r="P23" i="22"/>
  <c r="J23" i="22"/>
  <c r="BF23" i="22" s="1"/>
  <c r="BK22" i="22"/>
  <c r="BI22" i="22"/>
  <c r="BH22" i="22"/>
  <c r="BG22" i="22"/>
  <c r="BE22" i="22"/>
  <c r="T22" i="22"/>
  <c r="R22" i="22"/>
  <c r="P22" i="22"/>
  <c r="J22" i="22"/>
  <c r="BF22" i="22" s="1"/>
  <c r="BK21" i="22"/>
  <c r="BI21" i="22"/>
  <c r="BH21" i="22"/>
  <c r="BG21" i="22"/>
  <c r="BE21" i="22"/>
  <c r="T21" i="22"/>
  <c r="R21" i="22"/>
  <c r="P21" i="22"/>
  <c r="J21" i="22"/>
  <c r="BF21" i="22" s="1"/>
  <c r="BK20" i="22"/>
  <c r="BI20" i="22"/>
  <c r="BH20" i="22"/>
  <c r="BG20" i="22"/>
  <c r="BE20" i="22"/>
  <c r="T20" i="22"/>
  <c r="R20" i="22"/>
  <c r="P20" i="22"/>
  <c r="J20" i="22"/>
  <c r="BF20" i="22" s="1"/>
  <c r="BK19" i="22"/>
  <c r="BI19" i="22"/>
  <c r="BH19" i="22"/>
  <c r="BG19" i="22"/>
  <c r="BE19" i="22"/>
  <c r="T19" i="22"/>
  <c r="R19" i="22"/>
  <c r="P19" i="22"/>
  <c r="J19" i="22"/>
  <c r="BF19" i="22" s="1"/>
  <c r="BK18" i="22"/>
  <c r="BI18" i="22"/>
  <c r="BH18" i="22"/>
  <c r="BG18" i="22"/>
  <c r="BE18" i="22"/>
  <c r="T18" i="22"/>
  <c r="R18" i="22"/>
  <c r="P18" i="22"/>
  <c r="J18" i="22"/>
  <c r="BF18" i="22" s="1"/>
  <c r="BK17" i="22"/>
  <c r="BI17" i="22"/>
  <c r="BH17" i="22"/>
  <c r="BG17" i="22"/>
  <c r="BE17" i="22"/>
  <c r="T17" i="22"/>
  <c r="R17" i="22"/>
  <c r="P17" i="22"/>
  <c r="J17" i="22"/>
  <c r="BF17" i="22" s="1"/>
  <c r="T52" i="22" l="1"/>
  <c r="T51" i="22" s="1"/>
  <c r="H107" i="33"/>
  <c r="F108" i="33"/>
  <c r="H108" i="33" s="1"/>
  <c r="F106" i="33"/>
  <c r="H106" i="33" s="1"/>
  <c r="H105" i="33"/>
  <c r="T16" i="22"/>
  <c r="R26" i="22"/>
  <c r="BK51" i="22"/>
  <c r="J51" i="22" s="1"/>
  <c r="R37" i="22"/>
  <c r="BK16" i="22"/>
  <c r="J16" i="22" s="1"/>
  <c r="P16" i="22"/>
  <c r="P37" i="22"/>
  <c r="BK37" i="22"/>
  <c r="J37" i="22" s="1"/>
  <c r="P52" i="22"/>
  <c r="P51" i="22" s="1"/>
  <c r="R52" i="22"/>
  <c r="R51" i="22" s="1"/>
  <c r="R16" i="22"/>
  <c r="P26" i="22"/>
  <c r="BK26" i="22"/>
  <c r="J26" i="22" s="1"/>
  <c r="T26" i="22"/>
  <c r="T37" i="22"/>
  <c r="T15" i="22" l="1"/>
  <c r="T14" i="22" s="1"/>
  <c r="R15" i="22"/>
  <c r="R14" i="22" s="1"/>
  <c r="H9" i="33"/>
  <c r="H122" i="33" s="1"/>
  <c r="C16" i="11" s="1"/>
  <c r="P15" i="22"/>
  <c r="P14" i="22" s="1"/>
  <c r="BK15" i="22"/>
  <c r="BK14" i="22" l="1"/>
  <c r="J14" i="22" s="1"/>
  <c r="C19" i="11" s="1"/>
  <c r="J15" i="22"/>
  <c r="BI556" i="21" l="1"/>
  <c r="BH556" i="21"/>
  <c r="BG556" i="21"/>
  <c r="BE556" i="21"/>
  <c r="X556" i="21"/>
  <c r="V556" i="21"/>
  <c r="T556" i="21"/>
  <c r="R556" i="21"/>
  <c r="Q556" i="21"/>
  <c r="P556" i="21"/>
  <c r="BI552" i="21"/>
  <c r="BH552" i="21"/>
  <c r="BG552" i="21"/>
  <c r="BE552" i="21"/>
  <c r="X552" i="21"/>
  <c r="V552" i="21"/>
  <c r="T552" i="21"/>
  <c r="R552" i="21"/>
  <c r="Q552" i="21"/>
  <c r="P552" i="21"/>
  <c r="BK552" i="21" s="1"/>
  <c r="BI548" i="21"/>
  <c r="BH548" i="21"/>
  <c r="BG548" i="21"/>
  <c r="BE548" i="21"/>
  <c r="X548" i="21"/>
  <c r="V548" i="21"/>
  <c r="T548" i="21"/>
  <c r="R548" i="21"/>
  <c r="Q548" i="21"/>
  <c r="P548" i="21"/>
  <c r="BK548" i="21" s="1"/>
  <c r="BI544" i="21"/>
  <c r="BH544" i="21"/>
  <c r="BG544" i="21"/>
  <c r="BE544" i="21"/>
  <c r="X544" i="21"/>
  <c r="V544" i="21"/>
  <c r="T544" i="21"/>
  <c r="R544" i="21"/>
  <c r="Q544" i="21"/>
  <c r="P544" i="21"/>
  <c r="K544" i="21" s="1"/>
  <c r="BF544" i="21" s="1"/>
  <c r="BI540" i="21"/>
  <c r="BH540" i="21"/>
  <c r="BG540" i="21"/>
  <c r="BE540" i="21"/>
  <c r="X540" i="21"/>
  <c r="V540" i="21"/>
  <c r="T540" i="21"/>
  <c r="R540" i="21"/>
  <c r="Q540" i="21"/>
  <c r="P540" i="21"/>
  <c r="BI536" i="21"/>
  <c r="BH536" i="21"/>
  <c r="BG536" i="21"/>
  <c r="BE536" i="21"/>
  <c r="X536" i="21"/>
  <c r="V536" i="21"/>
  <c r="T536" i="21"/>
  <c r="R536" i="21"/>
  <c r="Q536" i="21"/>
  <c r="P536" i="21"/>
  <c r="BK536" i="21" s="1"/>
  <c r="BI532" i="21"/>
  <c r="BH532" i="21"/>
  <c r="BG532" i="21"/>
  <c r="BE532" i="21"/>
  <c r="X532" i="21"/>
  <c r="V532" i="21"/>
  <c r="T532" i="21"/>
  <c r="R532" i="21"/>
  <c r="Q532" i="21"/>
  <c r="P532" i="21"/>
  <c r="BK532" i="21" s="1"/>
  <c r="BI528" i="21"/>
  <c r="BH528" i="21"/>
  <c r="BG528" i="21"/>
  <c r="BE528" i="21"/>
  <c r="X528" i="21"/>
  <c r="V528" i="21"/>
  <c r="T528" i="21"/>
  <c r="R528" i="21"/>
  <c r="Q528" i="21"/>
  <c r="P528" i="21"/>
  <c r="K528" i="21" s="1"/>
  <c r="BF528" i="21" s="1"/>
  <c r="BI524" i="21"/>
  <c r="BH524" i="21"/>
  <c r="BG524" i="21"/>
  <c r="BE524" i="21"/>
  <c r="X524" i="21"/>
  <c r="V524" i="21"/>
  <c r="T524" i="21"/>
  <c r="R524" i="21"/>
  <c r="Q524" i="21"/>
  <c r="P524" i="21"/>
  <c r="BI520" i="21"/>
  <c r="BH520" i="21"/>
  <c r="BG520" i="21"/>
  <c r="BE520" i="21"/>
  <c r="X520" i="21"/>
  <c r="V520" i="21"/>
  <c r="T520" i="21"/>
  <c r="R520" i="21"/>
  <c r="Q520" i="21"/>
  <c r="P520" i="21"/>
  <c r="BK520" i="21" s="1"/>
  <c r="BI516" i="21"/>
  <c r="BH516" i="21"/>
  <c r="BG516" i="21"/>
  <c r="BE516" i="21"/>
  <c r="X516" i="21"/>
  <c r="V516" i="21"/>
  <c r="T516" i="21"/>
  <c r="R516" i="21"/>
  <c r="Q516" i="21"/>
  <c r="P516" i="21"/>
  <c r="BK516" i="21" s="1"/>
  <c r="BI512" i="21"/>
  <c r="BH512" i="21"/>
  <c r="BG512" i="21"/>
  <c r="BE512" i="21"/>
  <c r="X512" i="21"/>
  <c r="V512" i="21"/>
  <c r="T512" i="21"/>
  <c r="R512" i="21"/>
  <c r="Q512" i="21"/>
  <c r="P512" i="21"/>
  <c r="K512" i="21" s="1"/>
  <c r="BF512" i="21" s="1"/>
  <c r="BI508" i="21"/>
  <c r="BH508" i="21"/>
  <c r="BG508" i="21"/>
  <c r="BE508" i="21"/>
  <c r="X508" i="21"/>
  <c r="V508" i="21"/>
  <c r="T508" i="21"/>
  <c r="R508" i="21"/>
  <c r="Q508" i="21"/>
  <c r="P508" i="21"/>
  <c r="BI504" i="21"/>
  <c r="BH504" i="21"/>
  <c r="BG504" i="21"/>
  <c r="BE504" i="21"/>
  <c r="X504" i="21"/>
  <c r="V504" i="21"/>
  <c r="T504" i="21"/>
  <c r="R504" i="21"/>
  <c r="Q504" i="21"/>
  <c r="P504" i="21"/>
  <c r="BK504" i="21" s="1"/>
  <c r="BI500" i="21"/>
  <c r="BH500" i="21"/>
  <c r="BG500" i="21"/>
  <c r="BE500" i="21"/>
  <c r="X500" i="21"/>
  <c r="V500" i="21"/>
  <c r="T500" i="21"/>
  <c r="R500" i="21"/>
  <c r="Q500" i="21"/>
  <c r="P500" i="21"/>
  <c r="BK500" i="21" s="1"/>
  <c r="BI496" i="21"/>
  <c r="BH496" i="21"/>
  <c r="BG496" i="21"/>
  <c r="BE496" i="21"/>
  <c r="X496" i="21"/>
  <c r="V496" i="21"/>
  <c r="T496" i="21"/>
  <c r="R496" i="21"/>
  <c r="Q496" i="21"/>
  <c r="P496" i="21"/>
  <c r="BK496" i="21" s="1"/>
  <c r="BI492" i="21"/>
  <c r="BH492" i="21"/>
  <c r="BG492" i="21"/>
  <c r="BE492" i="21"/>
  <c r="X492" i="21"/>
  <c r="V492" i="21"/>
  <c r="T492" i="21"/>
  <c r="R492" i="21"/>
  <c r="Q492" i="21"/>
  <c r="P492" i="21"/>
  <c r="BI488" i="21"/>
  <c r="BH488" i="21"/>
  <c r="BG488" i="21"/>
  <c r="BE488" i="21"/>
  <c r="X488" i="21"/>
  <c r="V488" i="21"/>
  <c r="T488" i="21"/>
  <c r="R488" i="21"/>
  <c r="Q488" i="21"/>
  <c r="P488" i="21"/>
  <c r="BK488" i="21" s="1"/>
  <c r="BI484" i="21"/>
  <c r="BH484" i="21"/>
  <c r="BG484" i="21"/>
  <c r="BE484" i="21"/>
  <c r="X484" i="21"/>
  <c r="V484" i="21"/>
  <c r="T484" i="21"/>
  <c r="R484" i="21"/>
  <c r="Q484" i="21"/>
  <c r="P484" i="21"/>
  <c r="BK484" i="21" s="1"/>
  <c r="BI480" i="21"/>
  <c r="BH480" i="21"/>
  <c r="BG480" i="21"/>
  <c r="BE480" i="21"/>
  <c r="X480" i="21"/>
  <c r="V480" i="21"/>
  <c r="T480" i="21"/>
  <c r="R480" i="21"/>
  <c r="Q480" i="21"/>
  <c r="P480" i="21"/>
  <c r="K480" i="21" s="1"/>
  <c r="BF480" i="21" s="1"/>
  <c r="BI476" i="21"/>
  <c r="BH476" i="21"/>
  <c r="BG476" i="21"/>
  <c r="BE476" i="21"/>
  <c r="X476" i="21"/>
  <c r="V476" i="21"/>
  <c r="T476" i="21"/>
  <c r="R476" i="21"/>
  <c r="Q476" i="21"/>
  <c r="P476" i="21"/>
  <c r="BI472" i="21"/>
  <c r="BH472" i="21"/>
  <c r="BG472" i="21"/>
  <c r="BE472" i="21"/>
  <c r="X472" i="21"/>
  <c r="V472" i="21"/>
  <c r="T472" i="21"/>
  <c r="R472" i="21"/>
  <c r="Q472" i="21"/>
  <c r="P472" i="21"/>
  <c r="BK472" i="21" s="1"/>
  <c r="BI468" i="21"/>
  <c r="BH468" i="21"/>
  <c r="BG468" i="21"/>
  <c r="BE468" i="21"/>
  <c r="X468" i="21"/>
  <c r="V468" i="21"/>
  <c r="T468" i="21"/>
  <c r="R468" i="21"/>
  <c r="Q468" i="21"/>
  <c r="P468" i="21"/>
  <c r="BK468" i="21" s="1"/>
  <c r="BI464" i="21"/>
  <c r="BH464" i="21"/>
  <c r="BG464" i="21"/>
  <c r="BE464" i="21"/>
  <c r="X464" i="21"/>
  <c r="V464" i="21"/>
  <c r="T464" i="21"/>
  <c r="R464" i="21"/>
  <c r="Q464" i="21"/>
  <c r="P464" i="21"/>
  <c r="K464" i="21" s="1"/>
  <c r="BF464" i="21" s="1"/>
  <c r="BI460" i="21"/>
  <c r="BH460" i="21"/>
  <c r="BG460" i="21"/>
  <c r="BE460" i="21"/>
  <c r="X460" i="21"/>
  <c r="V460" i="21"/>
  <c r="T460" i="21"/>
  <c r="R460" i="21"/>
  <c r="Q460" i="21"/>
  <c r="P460" i="21"/>
  <c r="BI456" i="21"/>
  <c r="BH456" i="21"/>
  <c r="BG456" i="21"/>
  <c r="BE456" i="21"/>
  <c r="X456" i="21"/>
  <c r="V456" i="21"/>
  <c r="T456" i="21"/>
  <c r="R456" i="21"/>
  <c r="Q456" i="21"/>
  <c r="P456" i="21"/>
  <c r="BK456" i="21" s="1"/>
  <c r="BI452" i="21"/>
  <c r="BH452" i="21"/>
  <c r="BG452" i="21"/>
  <c r="BE452" i="21"/>
  <c r="X452" i="21"/>
  <c r="V452" i="21"/>
  <c r="T452" i="21"/>
  <c r="R452" i="21"/>
  <c r="Q452" i="21"/>
  <c r="P452" i="21"/>
  <c r="BK452" i="21" s="1"/>
  <c r="BI448" i="21"/>
  <c r="BH448" i="21"/>
  <c r="BG448" i="21"/>
  <c r="BE448" i="21"/>
  <c r="X448" i="21"/>
  <c r="V448" i="21"/>
  <c r="T448" i="21"/>
  <c r="R448" i="21"/>
  <c r="Q448" i="21"/>
  <c r="P448" i="21"/>
  <c r="K448" i="21" s="1"/>
  <c r="BF448" i="21" s="1"/>
  <c r="BI444" i="21"/>
  <c r="BH444" i="21"/>
  <c r="BG444" i="21"/>
  <c r="BE444" i="21"/>
  <c r="X444" i="21"/>
  <c r="V444" i="21"/>
  <c r="T444" i="21"/>
  <c r="R444" i="21"/>
  <c r="Q444" i="21"/>
  <c r="P444" i="21"/>
  <c r="BI440" i="21"/>
  <c r="BH440" i="21"/>
  <c r="BG440" i="21"/>
  <c r="BE440" i="21"/>
  <c r="X440" i="21"/>
  <c r="V440" i="21"/>
  <c r="T440" i="21"/>
  <c r="R440" i="21"/>
  <c r="Q440" i="21"/>
  <c r="P440" i="21"/>
  <c r="BK440" i="21" s="1"/>
  <c r="BI436" i="21"/>
  <c r="BH436" i="21"/>
  <c r="BG436" i="21"/>
  <c r="BE436" i="21"/>
  <c r="X436" i="21"/>
  <c r="V436" i="21"/>
  <c r="T436" i="21"/>
  <c r="R436" i="21"/>
  <c r="Q436" i="21"/>
  <c r="P436" i="21"/>
  <c r="BK436" i="21" s="1"/>
  <c r="K436" i="21"/>
  <c r="BF436" i="21" s="1"/>
  <c r="BI435" i="21"/>
  <c r="BH435" i="21"/>
  <c r="BG435" i="21"/>
  <c r="BE435" i="21"/>
  <c r="X435" i="21"/>
  <c r="V435" i="21"/>
  <c r="T435" i="21"/>
  <c r="R435" i="21"/>
  <c r="Q435" i="21"/>
  <c r="P435" i="21"/>
  <c r="BK435" i="21" s="1"/>
  <c r="BI431" i="21"/>
  <c r="BH431" i="21"/>
  <c r="BG431" i="21"/>
  <c r="BE431" i="21"/>
  <c r="X431" i="21"/>
  <c r="V431" i="21"/>
  <c r="T431" i="21"/>
  <c r="R431" i="21"/>
  <c r="Q431" i="21"/>
  <c r="P431" i="21"/>
  <c r="BI427" i="21"/>
  <c r="BH427" i="21"/>
  <c r="BG427" i="21"/>
  <c r="BE427" i="21"/>
  <c r="X427" i="21"/>
  <c r="V427" i="21"/>
  <c r="T427" i="21"/>
  <c r="R427" i="21"/>
  <c r="Q427" i="21"/>
  <c r="P427" i="21"/>
  <c r="BK427" i="21" s="1"/>
  <c r="BI423" i="21"/>
  <c r="BH423" i="21"/>
  <c r="BG423" i="21"/>
  <c r="BE423" i="21"/>
  <c r="X423" i="21"/>
  <c r="V423" i="21"/>
  <c r="T423" i="21"/>
  <c r="R423" i="21"/>
  <c r="Q423" i="21"/>
  <c r="P423" i="21"/>
  <c r="BK423" i="21" s="1"/>
  <c r="BI419" i="21"/>
  <c r="BH419" i="21"/>
  <c r="BG419" i="21"/>
  <c r="BE419" i="21"/>
  <c r="X419" i="21"/>
  <c r="V419" i="21"/>
  <c r="T419" i="21"/>
  <c r="R419" i="21"/>
  <c r="Q419" i="21"/>
  <c r="P419" i="21"/>
  <c r="BK419" i="21" s="1"/>
  <c r="BI415" i="21"/>
  <c r="BH415" i="21"/>
  <c r="BG415" i="21"/>
  <c r="BE415" i="21"/>
  <c r="X415" i="21"/>
  <c r="V415" i="21"/>
  <c r="T415" i="21"/>
  <c r="R415" i="21"/>
  <c r="Q415" i="21"/>
  <c r="P415" i="21"/>
  <c r="BI411" i="21"/>
  <c r="BH411" i="21"/>
  <c r="BG411" i="21"/>
  <c r="BE411" i="21"/>
  <c r="X411" i="21"/>
  <c r="V411" i="21"/>
  <c r="T411" i="21"/>
  <c r="R411" i="21"/>
  <c r="Q411" i="21"/>
  <c r="P411" i="21"/>
  <c r="BK411" i="21" s="1"/>
  <c r="BI407" i="21"/>
  <c r="BH407" i="21"/>
  <c r="BG407" i="21"/>
  <c r="BE407" i="21"/>
  <c r="X407" i="21"/>
  <c r="V407" i="21"/>
  <c r="T407" i="21"/>
  <c r="R407" i="21"/>
  <c r="Q407" i="21"/>
  <c r="P407" i="21"/>
  <c r="BK407" i="21" s="1"/>
  <c r="BI403" i="21"/>
  <c r="BH403" i="21"/>
  <c r="BG403" i="21"/>
  <c r="BE403" i="21"/>
  <c r="X403" i="21"/>
  <c r="V403" i="21"/>
  <c r="T403" i="21"/>
  <c r="R403" i="21"/>
  <c r="Q403" i="21"/>
  <c r="P403" i="21"/>
  <c r="BK403" i="21" s="1"/>
  <c r="BI399" i="21"/>
  <c r="BH399" i="21"/>
  <c r="BG399" i="21"/>
  <c r="BE399" i="21"/>
  <c r="X399" i="21"/>
  <c r="V399" i="21"/>
  <c r="T399" i="21"/>
  <c r="R399" i="21"/>
  <c r="Q399" i="21"/>
  <c r="P399" i="21"/>
  <c r="BI395" i="21"/>
  <c r="BH395" i="21"/>
  <c r="BG395" i="21"/>
  <c r="BE395" i="21"/>
  <c r="X395" i="21"/>
  <c r="V395" i="21"/>
  <c r="T395" i="21"/>
  <c r="R395" i="21"/>
  <c r="Q395" i="21"/>
  <c r="P395" i="21"/>
  <c r="BK395" i="21" s="1"/>
  <c r="BI391" i="21"/>
  <c r="BH391" i="21"/>
  <c r="BG391" i="21"/>
  <c r="BE391" i="21"/>
  <c r="X391" i="21"/>
  <c r="V391" i="21"/>
  <c r="T391" i="21"/>
  <c r="R391" i="21"/>
  <c r="Q391" i="21"/>
  <c r="P391" i="21"/>
  <c r="BK391" i="21" s="1"/>
  <c r="BI387" i="21"/>
  <c r="BH387" i="21"/>
  <c r="BG387" i="21"/>
  <c r="BE387" i="21"/>
  <c r="X387" i="21"/>
  <c r="V387" i="21"/>
  <c r="T387" i="21"/>
  <c r="R387" i="21"/>
  <c r="Q387" i="21"/>
  <c r="P387" i="21"/>
  <c r="K387" i="21" s="1"/>
  <c r="BF387" i="21" s="1"/>
  <c r="BI383" i="21"/>
  <c r="BH383" i="21"/>
  <c r="BG383" i="21"/>
  <c r="BE383" i="21"/>
  <c r="X383" i="21"/>
  <c r="V383" i="21"/>
  <c r="T383" i="21"/>
  <c r="R383" i="21"/>
  <c r="Q383" i="21"/>
  <c r="P383" i="21"/>
  <c r="BI379" i="21"/>
  <c r="BH379" i="21"/>
  <c r="BG379" i="21"/>
  <c r="BE379" i="21"/>
  <c r="X379" i="21"/>
  <c r="V379" i="21"/>
  <c r="T379" i="21"/>
  <c r="R379" i="21"/>
  <c r="Q379" i="21"/>
  <c r="P379" i="21"/>
  <c r="BK379" i="21" s="1"/>
  <c r="BI375" i="21"/>
  <c r="BH375" i="21"/>
  <c r="BG375" i="21"/>
  <c r="BE375" i="21"/>
  <c r="X375" i="21"/>
  <c r="V375" i="21"/>
  <c r="T375" i="21"/>
  <c r="R375" i="21"/>
  <c r="Q375" i="21"/>
  <c r="P375" i="21"/>
  <c r="BK375" i="21" s="1"/>
  <c r="BI371" i="21"/>
  <c r="BH371" i="21"/>
  <c r="BG371" i="21"/>
  <c r="BE371" i="21"/>
  <c r="X371" i="21"/>
  <c r="V371" i="21"/>
  <c r="T371" i="21"/>
  <c r="R371" i="21"/>
  <c r="Q371" i="21"/>
  <c r="P371" i="21"/>
  <c r="K371" i="21" s="1"/>
  <c r="BF371" i="21" s="1"/>
  <c r="BI367" i="21"/>
  <c r="BH367" i="21"/>
  <c r="BG367" i="21"/>
  <c r="BE367" i="21"/>
  <c r="X367" i="21"/>
  <c r="V367" i="21"/>
  <c r="T367" i="21"/>
  <c r="R367" i="21"/>
  <c r="Q367" i="21"/>
  <c r="P367" i="21"/>
  <c r="BI365" i="21"/>
  <c r="BH365" i="21"/>
  <c r="BG365" i="21"/>
  <c r="BE365" i="21"/>
  <c r="X365" i="21"/>
  <c r="V365" i="21"/>
  <c r="T365" i="21"/>
  <c r="R365" i="21"/>
  <c r="Q365" i="21"/>
  <c r="P365" i="21"/>
  <c r="BI362" i="21"/>
  <c r="BH362" i="21"/>
  <c r="BG362" i="21"/>
  <c r="BE362" i="21"/>
  <c r="X362" i="21"/>
  <c r="V362" i="21"/>
  <c r="T362" i="21"/>
  <c r="R362" i="21"/>
  <c r="Q362" i="21"/>
  <c r="P362" i="21"/>
  <c r="BK362" i="21" s="1"/>
  <c r="BI359" i="21"/>
  <c r="BH359" i="21"/>
  <c r="BG359" i="21"/>
  <c r="BE359" i="21"/>
  <c r="X359" i="21"/>
  <c r="V359" i="21"/>
  <c r="T359" i="21"/>
  <c r="R359" i="21"/>
  <c r="Q359" i="21"/>
  <c r="P359" i="21"/>
  <c r="BK359" i="21" s="1"/>
  <c r="BI355" i="21"/>
  <c r="BH355" i="21"/>
  <c r="BG355" i="21"/>
  <c r="BE355" i="21"/>
  <c r="X355" i="21"/>
  <c r="V355" i="21"/>
  <c r="T355" i="21"/>
  <c r="R355" i="21"/>
  <c r="Q355" i="21"/>
  <c r="P355" i="21"/>
  <c r="K355" i="21" s="1"/>
  <c r="BF355" i="21" s="1"/>
  <c r="BI351" i="21"/>
  <c r="BH351" i="21"/>
  <c r="BG351" i="21"/>
  <c r="BE351" i="21"/>
  <c r="X351" i="21"/>
  <c r="V351" i="21"/>
  <c r="T351" i="21"/>
  <c r="R351" i="21"/>
  <c r="Q351" i="21"/>
  <c r="P351" i="21"/>
  <c r="BI347" i="21"/>
  <c r="BH347" i="21"/>
  <c r="BG347" i="21"/>
  <c r="BE347" i="21"/>
  <c r="X347" i="21"/>
  <c r="V347" i="21"/>
  <c r="T347" i="21"/>
  <c r="R347" i="21"/>
  <c r="Q347" i="21"/>
  <c r="P347" i="21"/>
  <c r="BK347" i="21" s="1"/>
  <c r="BI343" i="21"/>
  <c r="BH343" i="21"/>
  <c r="BG343" i="21"/>
  <c r="BE343" i="21"/>
  <c r="X343" i="21"/>
  <c r="V343" i="21"/>
  <c r="T343" i="21"/>
  <c r="R343" i="21"/>
  <c r="Q343" i="21"/>
  <c r="P343" i="21"/>
  <c r="BK343" i="21" s="1"/>
  <c r="BI339" i="21"/>
  <c r="BH339" i="21"/>
  <c r="BG339" i="21"/>
  <c r="BE339" i="21"/>
  <c r="X339" i="21"/>
  <c r="V339" i="21"/>
  <c r="T339" i="21"/>
  <c r="R339" i="21"/>
  <c r="Q339" i="21"/>
  <c r="P339" i="21"/>
  <c r="K339" i="21" s="1"/>
  <c r="BF339" i="21" s="1"/>
  <c r="BI335" i="21"/>
  <c r="BH335" i="21"/>
  <c r="BG335" i="21"/>
  <c r="BE335" i="21"/>
  <c r="X335" i="21"/>
  <c r="V335" i="21"/>
  <c r="T335" i="21"/>
  <c r="R335" i="21"/>
  <c r="Q335" i="21"/>
  <c r="P335" i="21"/>
  <c r="BI331" i="21"/>
  <c r="BH331" i="21"/>
  <c r="BG331" i="21"/>
  <c r="BE331" i="21"/>
  <c r="X331" i="21"/>
  <c r="V331" i="21"/>
  <c r="T331" i="21"/>
  <c r="R331" i="21"/>
  <c r="Q331" i="21"/>
  <c r="P331" i="21"/>
  <c r="BK331" i="21" s="1"/>
  <c r="BI327" i="21"/>
  <c r="BH327" i="21"/>
  <c r="BG327" i="21"/>
  <c r="BE327" i="21"/>
  <c r="X327" i="21"/>
  <c r="V327" i="21"/>
  <c r="T327" i="21"/>
  <c r="R327" i="21"/>
  <c r="Q327" i="21"/>
  <c r="P327" i="21"/>
  <c r="BK327" i="21" s="1"/>
  <c r="BI323" i="21"/>
  <c r="BH323" i="21"/>
  <c r="BG323" i="21"/>
  <c r="BE323" i="21"/>
  <c r="X323" i="21"/>
  <c r="V323" i="21"/>
  <c r="T323" i="21"/>
  <c r="R323" i="21"/>
  <c r="Q323" i="21"/>
  <c r="P323" i="21"/>
  <c r="K323" i="21" s="1"/>
  <c r="BF323" i="21" s="1"/>
  <c r="BI319" i="21"/>
  <c r="BH319" i="21"/>
  <c r="BG319" i="21"/>
  <c r="BE319" i="21"/>
  <c r="X319" i="21"/>
  <c r="V319" i="21"/>
  <c r="T319" i="21"/>
  <c r="R319" i="21"/>
  <c r="Q319" i="21"/>
  <c r="P319" i="21"/>
  <c r="BI315" i="21"/>
  <c r="BH315" i="21"/>
  <c r="BG315" i="21"/>
  <c r="BE315" i="21"/>
  <c r="X315" i="21"/>
  <c r="V315" i="21"/>
  <c r="T315" i="21"/>
  <c r="R315" i="21"/>
  <c r="Q315" i="21"/>
  <c r="P315" i="21"/>
  <c r="BK315" i="21" s="1"/>
  <c r="BI311" i="21"/>
  <c r="BH311" i="21"/>
  <c r="BG311" i="21"/>
  <c r="BE311" i="21"/>
  <c r="X311" i="21"/>
  <c r="V311" i="21"/>
  <c r="T311" i="21"/>
  <c r="R311" i="21"/>
  <c r="Q311" i="21"/>
  <c r="P311" i="21"/>
  <c r="BK311" i="21" s="1"/>
  <c r="BI307" i="21"/>
  <c r="BH307" i="21"/>
  <c r="BG307" i="21"/>
  <c r="BE307" i="21"/>
  <c r="X307" i="21"/>
  <c r="V307" i="21"/>
  <c r="T307" i="21"/>
  <c r="R307" i="21"/>
  <c r="Q307" i="21"/>
  <c r="P307" i="21"/>
  <c r="BK307" i="21" s="1"/>
  <c r="BI303" i="21"/>
  <c r="BH303" i="21"/>
  <c r="BG303" i="21"/>
  <c r="BE303" i="21"/>
  <c r="X303" i="21"/>
  <c r="V303" i="21"/>
  <c r="T303" i="21"/>
  <c r="R303" i="21"/>
  <c r="Q303" i="21"/>
  <c r="P303" i="21"/>
  <c r="BI299" i="21"/>
  <c r="BH299" i="21"/>
  <c r="BG299" i="21"/>
  <c r="BE299" i="21"/>
  <c r="X299" i="21"/>
  <c r="V299" i="21"/>
  <c r="T299" i="21"/>
  <c r="R299" i="21"/>
  <c r="Q299" i="21"/>
  <c r="P299" i="21"/>
  <c r="BK299" i="21" s="1"/>
  <c r="BI295" i="21"/>
  <c r="BH295" i="21"/>
  <c r="BG295" i="21"/>
  <c r="BE295" i="21"/>
  <c r="X295" i="21"/>
  <c r="V295" i="21"/>
  <c r="T295" i="21"/>
  <c r="R295" i="21"/>
  <c r="Q295" i="21"/>
  <c r="P295" i="21"/>
  <c r="BK295" i="21" s="1"/>
  <c r="BI291" i="21"/>
  <c r="BH291" i="21"/>
  <c r="BG291" i="21"/>
  <c r="BE291" i="21"/>
  <c r="X291" i="21"/>
  <c r="V291" i="21"/>
  <c r="T291" i="21"/>
  <c r="R291" i="21"/>
  <c r="Q291" i="21"/>
  <c r="P291" i="21"/>
  <c r="BK291" i="21" s="1"/>
  <c r="BI287" i="21"/>
  <c r="BH287" i="21"/>
  <c r="BG287" i="21"/>
  <c r="BE287" i="21"/>
  <c r="X287" i="21"/>
  <c r="V287" i="21"/>
  <c r="T287" i="21"/>
  <c r="R287" i="21"/>
  <c r="Q287" i="21"/>
  <c r="P287" i="21"/>
  <c r="BI281" i="21"/>
  <c r="BH281" i="21"/>
  <c r="BG281" i="21"/>
  <c r="BE281" i="21"/>
  <c r="X281" i="21"/>
  <c r="V281" i="21"/>
  <c r="T281" i="21"/>
  <c r="R281" i="21"/>
  <c r="Q281" i="21"/>
  <c r="P281" i="21"/>
  <c r="BK281" i="21" s="1"/>
  <c r="BI275" i="21"/>
  <c r="BH275" i="21"/>
  <c r="BG275" i="21"/>
  <c r="BE275" i="21"/>
  <c r="X275" i="21"/>
  <c r="V275" i="21"/>
  <c r="T275" i="21"/>
  <c r="R275" i="21"/>
  <c r="Q275" i="21"/>
  <c r="P275" i="21"/>
  <c r="BK275" i="21" s="1"/>
  <c r="BI269" i="21"/>
  <c r="BH269" i="21"/>
  <c r="BG269" i="21"/>
  <c r="BE269" i="21"/>
  <c r="X269" i="21"/>
  <c r="V269" i="21"/>
  <c r="T269" i="21"/>
  <c r="T268" i="21" s="1"/>
  <c r="R269" i="21"/>
  <c r="Q269" i="21"/>
  <c r="P269" i="21"/>
  <c r="K269" i="21" s="1"/>
  <c r="BF269" i="21" s="1"/>
  <c r="BI267" i="21"/>
  <c r="BH267" i="21"/>
  <c r="BG267" i="21"/>
  <c r="BE267" i="21"/>
  <c r="X267" i="21"/>
  <c r="V267" i="21"/>
  <c r="T267" i="21"/>
  <c r="R267" i="21"/>
  <c r="Q267" i="21"/>
  <c r="P267" i="21"/>
  <c r="BK267" i="21" s="1"/>
  <c r="BI263" i="21"/>
  <c r="BH263" i="21"/>
  <c r="BG263" i="21"/>
  <c r="BE263" i="21"/>
  <c r="X263" i="21"/>
  <c r="V263" i="21"/>
  <c r="T263" i="21"/>
  <c r="R263" i="21"/>
  <c r="Q263" i="21"/>
  <c r="P263" i="21"/>
  <c r="BI257" i="21"/>
  <c r="BH257" i="21"/>
  <c r="BG257" i="21"/>
  <c r="BE257" i="21"/>
  <c r="X257" i="21"/>
  <c r="V257" i="21"/>
  <c r="T257" i="21"/>
  <c r="R257" i="21"/>
  <c r="Q257" i="21"/>
  <c r="P257" i="21"/>
  <c r="BK257" i="21" s="1"/>
  <c r="BI253" i="21"/>
  <c r="BH253" i="21"/>
  <c r="BG253" i="21"/>
  <c r="BE253" i="21"/>
  <c r="X253" i="21"/>
  <c r="V253" i="21"/>
  <c r="T253" i="21"/>
  <c r="R253" i="21"/>
  <c r="Q253" i="21"/>
  <c r="P253" i="21"/>
  <c r="BK253" i="21" s="1"/>
  <c r="BI249" i="21"/>
  <c r="BH249" i="21"/>
  <c r="BG249" i="21"/>
  <c r="BE249" i="21"/>
  <c r="X249" i="21"/>
  <c r="V249" i="21"/>
  <c r="T249" i="21"/>
  <c r="R249" i="21"/>
  <c r="Q249" i="21"/>
  <c r="P249" i="21"/>
  <c r="BK249" i="21" s="1"/>
  <c r="BI245" i="21"/>
  <c r="BH245" i="21"/>
  <c r="BG245" i="21"/>
  <c r="BE245" i="21"/>
  <c r="X245" i="21"/>
  <c r="V245" i="21"/>
  <c r="T245" i="21"/>
  <c r="R245" i="21"/>
  <c r="Q245" i="21"/>
  <c r="P245" i="21"/>
  <c r="BI241" i="21"/>
  <c r="BH241" i="21"/>
  <c r="BG241" i="21"/>
  <c r="BE241" i="21"/>
  <c r="X241" i="21"/>
  <c r="V241" i="21"/>
  <c r="T241" i="21"/>
  <c r="R241" i="21"/>
  <c r="Q241" i="21"/>
  <c r="P241" i="21"/>
  <c r="BK241" i="21" s="1"/>
  <c r="BI237" i="21"/>
  <c r="BH237" i="21"/>
  <c r="BG237" i="21"/>
  <c r="BE237" i="21"/>
  <c r="X237" i="21"/>
  <c r="V237" i="21"/>
  <c r="T237" i="21"/>
  <c r="R237" i="21"/>
  <c r="Q237" i="21"/>
  <c r="P237" i="21"/>
  <c r="BK237" i="21" s="1"/>
  <c r="BI231" i="21"/>
  <c r="BH231" i="21"/>
  <c r="BG231" i="21"/>
  <c r="BE231" i="21"/>
  <c r="X231" i="21"/>
  <c r="V231" i="21"/>
  <c r="T231" i="21"/>
  <c r="R231" i="21"/>
  <c r="Q231" i="21"/>
  <c r="P231" i="21"/>
  <c r="K231" i="21" s="1"/>
  <c r="BF231" i="21" s="1"/>
  <c r="BI227" i="21"/>
  <c r="BH227" i="21"/>
  <c r="BG227" i="21"/>
  <c r="BE227" i="21"/>
  <c r="X227" i="21"/>
  <c r="V227" i="21"/>
  <c r="T227" i="21"/>
  <c r="R227" i="21"/>
  <c r="Q227" i="21"/>
  <c r="P227" i="21"/>
  <c r="BI223" i="21"/>
  <c r="BH223" i="21"/>
  <c r="BG223" i="21"/>
  <c r="BE223" i="21"/>
  <c r="X223" i="21"/>
  <c r="V223" i="21"/>
  <c r="T223" i="21"/>
  <c r="R223" i="21"/>
  <c r="Q223" i="21"/>
  <c r="P223" i="21"/>
  <c r="BK223" i="21" s="1"/>
  <c r="BI219" i="21"/>
  <c r="BH219" i="21"/>
  <c r="BG219" i="21"/>
  <c r="BE219" i="21"/>
  <c r="X219" i="21"/>
  <c r="V219" i="21"/>
  <c r="T219" i="21"/>
  <c r="R219" i="21"/>
  <c r="Q219" i="21"/>
  <c r="P219" i="21"/>
  <c r="BK219" i="21" s="1"/>
  <c r="BI215" i="21"/>
  <c r="BH215" i="21"/>
  <c r="BG215" i="21"/>
  <c r="BE215" i="21"/>
  <c r="X215" i="21"/>
  <c r="V215" i="21"/>
  <c r="T215" i="21"/>
  <c r="R215" i="21"/>
  <c r="Q215" i="21"/>
  <c r="P215" i="21"/>
  <c r="K215" i="21" s="1"/>
  <c r="BF215" i="21" s="1"/>
  <c r="BI211" i="21"/>
  <c r="BH211" i="21"/>
  <c r="BG211" i="21"/>
  <c r="BE211" i="21"/>
  <c r="X211" i="21"/>
  <c r="V211" i="21"/>
  <c r="T211" i="21"/>
  <c r="R211" i="21"/>
  <c r="Q211" i="21"/>
  <c r="P211" i="21"/>
  <c r="BI205" i="21"/>
  <c r="BH205" i="21"/>
  <c r="BG205" i="21"/>
  <c r="BE205" i="21"/>
  <c r="X205" i="21"/>
  <c r="V205" i="21"/>
  <c r="T205" i="21"/>
  <c r="R205" i="21"/>
  <c r="Q205" i="21"/>
  <c r="P205" i="21"/>
  <c r="BK205" i="21" s="1"/>
  <c r="BI199" i="21"/>
  <c r="BH199" i="21"/>
  <c r="BG199" i="21"/>
  <c r="BE199" i="21"/>
  <c r="X199" i="21"/>
  <c r="V199" i="21"/>
  <c r="T199" i="21"/>
  <c r="R199" i="21"/>
  <c r="Q199" i="21"/>
  <c r="P199" i="21"/>
  <c r="BK199" i="21" s="1"/>
  <c r="BI193" i="21"/>
  <c r="BH193" i="21"/>
  <c r="BG193" i="21"/>
  <c r="BE193" i="21"/>
  <c r="X193" i="21"/>
  <c r="V193" i="21"/>
  <c r="T193" i="21"/>
  <c r="R193" i="21"/>
  <c r="Q193" i="21"/>
  <c r="P193" i="21"/>
  <c r="BK193" i="21" s="1"/>
  <c r="BI187" i="21"/>
  <c r="BH187" i="21"/>
  <c r="BG187" i="21"/>
  <c r="BE187" i="21"/>
  <c r="X187" i="21"/>
  <c r="V187" i="21"/>
  <c r="T187" i="21"/>
  <c r="R187" i="21"/>
  <c r="Q187" i="21"/>
  <c r="P187" i="21"/>
  <c r="BI183" i="21"/>
  <c r="BH183" i="21"/>
  <c r="BG183" i="21"/>
  <c r="BE183" i="21"/>
  <c r="X183" i="21"/>
  <c r="V183" i="21"/>
  <c r="T183" i="21"/>
  <c r="R183" i="21"/>
  <c r="Q183" i="21"/>
  <c r="P183" i="21"/>
  <c r="BK183" i="21" s="1"/>
  <c r="BI179" i="21"/>
  <c r="BH179" i="21"/>
  <c r="BG179" i="21"/>
  <c r="BE179" i="21"/>
  <c r="X179" i="21"/>
  <c r="V179" i="21"/>
  <c r="T179" i="21"/>
  <c r="R179" i="21"/>
  <c r="Q179" i="21"/>
  <c r="P179" i="21"/>
  <c r="BK179" i="21" s="1"/>
  <c r="BI175" i="21"/>
  <c r="BH175" i="21"/>
  <c r="BG175" i="21"/>
  <c r="BE175" i="21"/>
  <c r="X175" i="21"/>
  <c r="V175" i="21"/>
  <c r="T175" i="21"/>
  <c r="R175" i="21"/>
  <c r="Q175" i="21"/>
  <c r="P175" i="21"/>
  <c r="BK175" i="21" s="1"/>
  <c r="BI171" i="21"/>
  <c r="BH171" i="21"/>
  <c r="BG171" i="21"/>
  <c r="BE171" i="21"/>
  <c r="X171" i="21"/>
  <c r="V171" i="21"/>
  <c r="T171" i="21"/>
  <c r="R171" i="21"/>
  <c r="Q171" i="21"/>
  <c r="P171" i="21"/>
  <c r="BI167" i="21"/>
  <c r="BH167" i="21"/>
  <c r="BG167" i="21"/>
  <c r="BE167" i="21"/>
  <c r="X167" i="21"/>
  <c r="V167" i="21"/>
  <c r="T167" i="21"/>
  <c r="R167" i="21"/>
  <c r="Q167" i="21"/>
  <c r="P167" i="21"/>
  <c r="BK167" i="21" s="1"/>
  <c r="BI159" i="21"/>
  <c r="BH159" i="21"/>
  <c r="BG159" i="21"/>
  <c r="BE159" i="21"/>
  <c r="X159" i="21"/>
  <c r="V159" i="21"/>
  <c r="T159" i="21"/>
  <c r="R159" i="21"/>
  <c r="Q159" i="21"/>
  <c r="P159" i="21"/>
  <c r="BK159" i="21" s="1"/>
  <c r="BI151" i="21"/>
  <c r="BH151" i="21"/>
  <c r="BG151" i="21"/>
  <c r="BE151" i="21"/>
  <c r="X151" i="21"/>
  <c r="V151" i="21"/>
  <c r="T151" i="21"/>
  <c r="R151" i="21"/>
  <c r="Q151" i="21"/>
  <c r="P151" i="21"/>
  <c r="BK151" i="21" s="1"/>
  <c r="BI143" i="21"/>
  <c r="BH143" i="21"/>
  <c r="BG143" i="21"/>
  <c r="BE143" i="21"/>
  <c r="X143" i="21"/>
  <c r="V143" i="21"/>
  <c r="T143" i="21"/>
  <c r="R143" i="21"/>
  <c r="Q143" i="21"/>
  <c r="P143" i="21"/>
  <c r="BI135" i="21"/>
  <c r="BH135" i="21"/>
  <c r="BG135" i="21"/>
  <c r="BE135" i="21"/>
  <c r="X135" i="21"/>
  <c r="V135" i="21"/>
  <c r="T135" i="21"/>
  <c r="R135" i="21"/>
  <c r="Q135" i="21"/>
  <c r="P135" i="21"/>
  <c r="BK135" i="21" s="1"/>
  <c r="BI125" i="21"/>
  <c r="BH125" i="21"/>
  <c r="BG125" i="21"/>
  <c r="BE125" i="21"/>
  <c r="X125" i="21"/>
  <c r="V125" i="21"/>
  <c r="T125" i="21"/>
  <c r="R125" i="21"/>
  <c r="Q125" i="21"/>
  <c r="P125" i="21"/>
  <c r="BK125" i="21" s="1"/>
  <c r="BI115" i="21"/>
  <c r="BH115" i="21"/>
  <c r="BG115" i="21"/>
  <c r="BE115" i="21"/>
  <c r="X115" i="21"/>
  <c r="V115" i="21"/>
  <c r="T115" i="21"/>
  <c r="R115" i="21"/>
  <c r="Q115" i="21"/>
  <c r="P115" i="21"/>
  <c r="K115" i="21" s="1"/>
  <c r="BF115" i="21" s="1"/>
  <c r="BI107" i="21"/>
  <c r="BH107" i="21"/>
  <c r="BG107" i="21"/>
  <c r="BE107" i="21"/>
  <c r="X107" i="21"/>
  <c r="V107" i="21"/>
  <c r="T107" i="21"/>
  <c r="R107" i="21"/>
  <c r="Q107" i="21"/>
  <c r="P107" i="21"/>
  <c r="BI103" i="21"/>
  <c r="BH103" i="21"/>
  <c r="BG103" i="21"/>
  <c r="BE103" i="21"/>
  <c r="X103" i="21"/>
  <c r="V103" i="21"/>
  <c r="T103" i="21"/>
  <c r="R103" i="21"/>
  <c r="Q103" i="21"/>
  <c r="P103" i="21"/>
  <c r="BK103" i="21" s="1"/>
  <c r="K103" i="21"/>
  <c r="BF103" i="21" s="1"/>
  <c r="BI97" i="21"/>
  <c r="BH97" i="21"/>
  <c r="BG97" i="21"/>
  <c r="BE97" i="21"/>
  <c r="X97" i="21"/>
  <c r="V97" i="21"/>
  <c r="T97" i="21"/>
  <c r="R97" i="21"/>
  <c r="Q97" i="21"/>
  <c r="P97" i="21"/>
  <c r="BK97" i="21" s="1"/>
  <c r="BK93" i="21"/>
  <c r="BI93" i="21"/>
  <c r="BH93" i="21"/>
  <c r="BG93" i="21"/>
  <c r="BE93" i="21"/>
  <c r="X93" i="21"/>
  <c r="V93" i="21"/>
  <c r="T93" i="21"/>
  <c r="R93" i="21"/>
  <c r="Q93" i="21"/>
  <c r="P93" i="21"/>
  <c r="K93" i="21" s="1"/>
  <c r="BF93" i="21" s="1"/>
  <c r="BI89" i="21"/>
  <c r="BH89" i="21"/>
  <c r="BG89" i="21"/>
  <c r="BE89" i="21"/>
  <c r="X89" i="21"/>
  <c r="V89" i="21"/>
  <c r="T89" i="21"/>
  <c r="R89" i="21"/>
  <c r="Q89" i="21"/>
  <c r="P89" i="21"/>
  <c r="BK89" i="21" s="1"/>
  <c r="BI83" i="21"/>
  <c r="BH83" i="21"/>
  <c r="BG83" i="21"/>
  <c r="BE83" i="21"/>
  <c r="X83" i="21"/>
  <c r="V83" i="21"/>
  <c r="T83" i="21"/>
  <c r="R83" i="21"/>
  <c r="Q83" i="21"/>
  <c r="P83" i="21"/>
  <c r="BK83" i="21" s="1"/>
  <c r="BI79" i="21"/>
  <c r="BH79" i="21"/>
  <c r="BG79" i="21"/>
  <c r="BE79" i="21"/>
  <c r="X79" i="21"/>
  <c r="V79" i="21"/>
  <c r="T79" i="21"/>
  <c r="R79" i="21"/>
  <c r="Q79" i="21"/>
  <c r="P79" i="21"/>
  <c r="BK79" i="21" s="1"/>
  <c r="BI77" i="21"/>
  <c r="BH77" i="21"/>
  <c r="BG77" i="21"/>
  <c r="BE77" i="21"/>
  <c r="X77" i="21"/>
  <c r="V77" i="21"/>
  <c r="T77" i="21"/>
  <c r="R77" i="21"/>
  <c r="Q77" i="21"/>
  <c r="P77" i="21"/>
  <c r="BK77" i="21" s="1"/>
  <c r="BI74" i="21"/>
  <c r="BH74" i="21"/>
  <c r="BG74" i="21"/>
  <c r="BE74" i="21"/>
  <c r="X74" i="21"/>
  <c r="V74" i="21"/>
  <c r="T74" i="21"/>
  <c r="R74" i="21"/>
  <c r="Q74" i="21"/>
  <c r="P74" i="21"/>
  <c r="K74" i="21" s="1"/>
  <c r="BF74" i="21" s="1"/>
  <c r="BI72" i="21"/>
  <c r="BH72" i="21"/>
  <c r="BG72" i="21"/>
  <c r="BE72" i="21"/>
  <c r="X72" i="21"/>
  <c r="V72" i="21"/>
  <c r="T72" i="21"/>
  <c r="R72" i="21"/>
  <c r="Q72" i="21"/>
  <c r="P72" i="21"/>
  <c r="K72" i="21" s="1"/>
  <c r="BF72" i="21" s="1"/>
  <c r="BI70" i="21"/>
  <c r="BH70" i="21"/>
  <c r="BG70" i="21"/>
  <c r="BE70" i="21"/>
  <c r="X70" i="21"/>
  <c r="V70" i="21"/>
  <c r="T70" i="21"/>
  <c r="R70" i="21"/>
  <c r="Q70" i="21"/>
  <c r="P70" i="21"/>
  <c r="BK70" i="21" s="1"/>
  <c r="BI68" i="21"/>
  <c r="BH68" i="21"/>
  <c r="BG68" i="21"/>
  <c r="BE68" i="21"/>
  <c r="X68" i="21"/>
  <c r="V68" i="21"/>
  <c r="T68" i="21"/>
  <c r="R68" i="21"/>
  <c r="Q68" i="21"/>
  <c r="P68" i="21"/>
  <c r="BK68" i="21" s="1"/>
  <c r="BI66" i="21"/>
  <c r="BH66" i="21"/>
  <c r="BG66" i="21"/>
  <c r="BE66" i="21"/>
  <c r="X66" i="21"/>
  <c r="V66" i="21"/>
  <c r="T66" i="21"/>
  <c r="R66" i="21"/>
  <c r="Q66" i="21"/>
  <c r="P66" i="21"/>
  <c r="BK66" i="21" s="1"/>
  <c r="BI60" i="21"/>
  <c r="BH60" i="21"/>
  <c r="BG60" i="21"/>
  <c r="BE60" i="21"/>
  <c r="X60" i="21"/>
  <c r="V60" i="21"/>
  <c r="V55" i="21" s="1"/>
  <c r="T60" i="21"/>
  <c r="T55" i="21" s="1"/>
  <c r="R60" i="21"/>
  <c r="Q60" i="21"/>
  <c r="P60" i="21"/>
  <c r="BK60" i="21" s="1"/>
  <c r="BI56" i="21"/>
  <c r="BH56" i="21"/>
  <c r="BG56" i="21"/>
  <c r="BE56" i="21"/>
  <c r="X56" i="21"/>
  <c r="V56" i="21"/>
  <c r="T56" i="21"/>
  <c r="R56" i="21"/>
  <c r="Q56" i="21"/>
  <c r="P56" i="21"/>
  <c r="BK56" i="21" s="1"/>
  <c r="BI47" i="21"/>
  <c r="BH47" i="21"/>
  <c r="BG47" i="21"/>
  <c r="BE47" i="21"/>
  <c r="X47" i="21"/>
  <c r="V47" i="21"/>
  <c r="T47" i="21"/>
  <c r="R47" i="21"/>
  <c r="Q47" i="21"/>
  <c r="P47" i="21"/>
  <c r="K47" i="21" s="1"/>
  <c r="BF47" i="21" s="1"/>
  <c r="BI39" i="21"/>
  <c r="BH39" i="21"/>
  <c r="BG39" i="21"/>
  <c r="BE39" i="21"/>
  <c r="X39" i="21"/>
  <c r="V39" i="21"/>
  <c r="T39" i="21"/>
  <c r="T38" i="21" s="1"/>
  <c r="R39" i="21"/>
  <c r="Q39" i="21"/>
  <c r="P39" i="21"/>
  <c r="BK39" i="21" s="1"/>
  <c r="X38" i="21"/>
  <c r="V38" i="21"/>
  <c r="BI28" i="21"/>
  <c r="BH28" i="21"/>
  <c r="BG28" i="21"/>
  <c r="BE28" i="21"/>
  <c r="X28" i="21"/>
  <c r="V28" i="21"/>
  <c r="T28" i="21"/>
  <c r="R28" i="21"/>
  <c r="Q28" i="21"/>
  <c r="P28" i="21"/>
  <c r="BK28" i="21" s="1"/>
  <c r="K28" i="21"/>
  <c r="BF28" i="21" s="1"/>
  <c r="BI18" i="21"/>
  <c r="BH18" i="21"/>
  <c r="BG18" i="21"/>
  <c r="BE18" i="21"/>
  <c r="X18" i="21"/>
  <c r="X17" i="21" s="1"/>
  <c r="V18" i="21"/>
  <c r="T18" i="21"/>
  <c r="R18" i="21"/>
  <c r="R17" i="21" s="1"/>
  <c r="Q18" i="21"/>
  <c r="Q17" i="21" s="1"/>
  <c r="P18" i="21"/>
  <c r="BK18" i="21" s="1"/>
  <c r="V17" i="21"/>
  <c r="K68" i="21" l="1"/>
  <c r="BF68" i="21" s="1"/>
  <c r="Q78" i="21"/>
  <c r="K253" i="21"/>
  <c r="BF253" i="21" s="1"/>
  <c r="K347" i="21"/>
  <c r="BF347" i="21" s="1"/>
  <c r="BK355" i="21"/>
  <c r="V78" i="21"/>
  <c r="K291" i="21"/>
  <c r="BF291" i="21" s="1"/>
  <c r="K403" i="21"/>
  <c r="BF403" i="21" s="1"/>
  <c r="K307" i="21"/>
  <c r="BF307" i="21" s="1"/>
  <c r="V366" i="21"/>
  <c r="BK371" i="21"/>
  <c r="X78" i="21"/>
  <c r="K175" i="21"/>
  <c r="BF175" i="21" s="1"/>
  <c r="K66" i="21"/>
  <c r="BF66" i="21" s="1"/>
  <c r="BK115" i="21"/>
  <c r="K249" i="21"/>
  <c r="BF249" i="21" s="1"/>
  <c r="K407" i="21"/>
  <c r="BF407" i="21" s="1"/>
  <c r="K496" i="21"/>
  <c r="BF496" i="21" s="1"/>
  <c r="K97" i="21"/>
  <c r="BF97" i="21" s="1"/>
  <c r="K159" i="21"/>
  <c r="BF159" i="21" s="1"/>
  <c r="BK231" i="21"/>
  <c r="K295" i="21"/>
  <c r="BF295" i="21" s="1"/>
  <c r="K315" i="21"/>
  <c r="BF315" i="21" s="1"/>
  <c r="BK339" i="21"/>
  <c r="K435" i="21"/>
  <c r="BF435" i="21" s="1"/>
  <c r="BK480" i="21"/>
  <c r="BK544" i="21"/>
  <c r="K39" i="21"/>
  <c r="BF39" i="21" s="1"/>
  <c r="Q38" i="21"/>
  <c r="R55" i="21"/>
  <c r="K60" i="21"/>
  <c r="BF60" i="21" s="1"/>
  <c r="BK74" i="21"/>
  <c r="BK65" i="21" s="1"/>
  <c r="K65" i="21" s="1"/>
  <c r="K89" i="21"/>
  <c r="BF89" i="21" s="1"/>
  <c r="K151" i="21"/>
  <c r="BF151" i="21" s="1"/>
  <c r="K193" i="21"/>
  <c r="BF193" i="21" s="1"/>
  <c r="BK269" i="21"/>
  <c r="K379" i="21"/>
  <c r="BF379" i="21" s="1"/>
  <c r="BK387" i="21"/>
  <c r="K423" i="21"/>
  <c r="BF423" i="21" s="1"/>
  <c r="R65" i="21"/>
  <c r="BK72" i="21"/>
  <c r="K179" i="21"/>
  <c r="BF179" i="21" s="1"/>
  <c r="K267" i="21"/>
  <c r="BF267" i="21" s="1"/>
  <c r="K275" i="21"/>
  <c r="BF275" i="21" s="1"/>
  <c r="K419" i="21"/>
  <c r="BF419" i="21" s="1"/>
  <c r="K500" i="21"/>
  <c r="BF500" i="21" s="1"/>
  <c r="R78" i="21"/>
  <c r="V16" i="21"/>
  <c r="T17" i="21"/>
  <c r="T16" i="21" s="1"/>
  <c r="R38" i="21"/>
  <c r="BK47" i="21"/>
  <c r="BK38" i="21" s="1"/>
  <c r="K38" i="21" s="1"/>
  <c r="K56" i="21"/>
  <c r="BF56" i="21" s="1"/>
  <c r="T65" i="21"/>
  <c r="K77" i="21"/>
  <c r="BF77" i="21" s="1"/>
  <c r="K125" i="21"/>
  <c r="BF125" i="21" s="1"/>
  <c r="Q268" i="21"/>
  <c r="X268" i="21"/>
  <c r="BK464" i="21"/>
  <c r="K484" i="21"/>
  <c r="BF484" i="21" s="1"/>
  <c r="BK528" i="21"/>
  <c r="R268" i="21"/>
  <c r="Q55" i="21"/>
  <c r="X55" i="21"/>
  <c r="X16" i="21" s="1"/>
  <c r="Q65" i="21"/>
  <c r="X65" i="21"/>
  <c r="T78" i="21"/>
  <c r="K205" i="21"/>
  <c r="BF205" i="21" s="1"/>
  <c r="BK215" i="21"/>
  <c r="K237" i="21"/>
  <c r="BF237" i="21" s="1"/>
  <c r="BK323" i="21"/>
  <c r="BK448" i="21"/>
  <c r="K468" i="21"/>
  <c r="BF468" i="21" s="1"/>
  <c r="BK512" i="21"/>
  <c r="K532" i="21"/>
  <c r="BF532" i="21" s="1"/>
  <c r="BK17" i="21"/>
  <c r="V65" i="21"/>
  <c r="K167" i="21"/>
  <c r="BF167" i="21" s="1"/>
  <c r="K183" i="21"/>
  <c r="BF183" i="21" s="1"/>
  <c r="K219" i="21"/>
  <c r="BF219" i="21" s="1"/>
  <c r="K299" i="21"/>
  <c r="BF299" i="21" s="1"/>
  <c r="K327" i="21"/>
  <c r="BF327" i="21" s="1"/>
  <c r="K362" i="21"/>
  <c r="BF362" i="21" s="1"/>
  <c r="K395" i="21"/>
  <c r="BF395" i="21" s="1"/>
  <c r="K411" i="21"/>
  <c r="BF411" i="21" s="1"/>
  <c r="K427" i="21"/>
  <c r="BF427" i="21" s="1"/>
  <c r="K452" i="21"/>
  <c r="BF452" i="21" s="1"/>
  <c r="K516" i="21"/>
  <c r="BF516" i="21" s="1"/>
  <c r="K552" i="21"/>
  <c r="BF552" i="21" s="1"/>
  <c r="BK55" i="21"/>
  <c r="K55" i="21" s="1"/>
  <c r="BK171" i="21"/>
  <c r="K171" i="21"/>
  <c r="BF171" i="21" s="1"/>
  <c r="BK319" i="21"/>
  <c r="K319" i="21"/>
  <c r="BF319" i="21" s="1"/>
  <c r="BK187" i="21"/>
  <c r="K187" i="21"/>
  <c r="BF187" i="21" s="1"/>
  <c r="BK211" i="21"/>
  <c r="K211" i="21"/>
  <c r="BF211" i="21" s="1"/>
  <c r="BK227" i="21"/>
  <c r="K227" i="21"/>
  <c r="BF227" i="21" s="1"/>
  <c r="BK245" i="21"/>
  <c r="K245" i="21"/>
  <c r="BF245" i="21" s="1"/>
  <c r="BK263" i="21"/>
  <c r="K263" i="21"/>
  <c r="BF263" i="21" s="1"/>
  <c r="R366" i="21"/>
  <c r="BK415" i="21"/>
  <c r="K415" i="21"/>
  <c r="BF415" i="21" s="1"/>
  <c r="BK335" i="21"/>
  <c r="K335" i="21"/>
  <c r="BF335" i="21" s="1"/>
  <c r="BK365" i="21"/>
  <c r="K365" i="21"/>
  <c r="BF365" i="21" s="1"/>
  <c r="BK367" i="21"/>
  <c r="K367" i="21"/>
  <c r="BF367" i="21" s="1"/>
  <c r="BK399" i="21"/>
  <c r="K399" i="21"/>
  <c r="BF399" i="21" s="1"/>
  <c r="K79" i="21"/>
  <c r="BF79" i="21" s="1"/>
  <c r="T366" i="21"/>
  <c r="BK431" i="21"/>
  <c r="K431" i="21"/>
  <c r="BF431" i="21" s="1"/>
  <c r="BK444" i="21"/>
  <c r="K444" i="21"/>
  <c r="BF444" i="21" s="1"/>
  <c r="BK460" i="21"/>
  <c r="K460" i="21"/>
  <c r="BF460" i="21" s="1"/>
  <c r="BK476" i="21"/>
  <c r="K476" i="21"/>
  <c r="BF476" i="21" s="1"/>
  <c r="BK492" i="21"/>
  <c r="K492" i="21"/>
  <c r="BF492" i="21" s="1"/>
  <c r="BK508" i="21"/>
  <c r="K508" i="21"/>
  <c r="BF508" i="21" s="1"/>
  <c r="BK524" i="21"/>
  <c r="K524" i="21"/>
  <c r="BF524" i="21" s="1"/>
  <c r="BK540" i="21"/>
  <c r="K540" i="21"/>
  <c r="BF540" i="21" s="1"/>
  <c r="BK556" i="21"/>
  <c r="K556" i="21"/>
  <c r="BF556" i="21" s="1"/>
  <c r="BK303" i="21"/>
  <c r="K303" i="21"/>
  <c r="BF303" i="21" s="1"/>
  <c r="BK351" i="21"/>
  <c r="K351" i="21"/>
  <c r="BF351" i="21" s="1"/>
  <c r="BK383" i="21"/>
  <c r="K383" i="21"/>
  <c r="BF383" i="21" s="1"/>
  <c r="K18" i="21"/>
  <c r="BF18" i="21" s="1"/>
  <c r="K70" i="21"/>
  <c r="BF70" i="21" s="1"/>
  <c r="K83" i="21"/>
  <c r="BF83" i="21" s="1"/>
  <c r="BK107" i="21"/>
  <c r="K107" i="21"/>
  <c r="BF107" i="21" s="1"/>
  <c r="BK143" i="21"/>
  <c r="K143" i="21"/>
  <c r="BF143" i="21" s="1"/>
  <c r="BK287" i="21"/>
  <c r="K287" i="21"/>
  <c r="BF287" i="21" s="1"/>
  <c r="V268" i="21"/>
  <c r="V64" i="21" s="1"/>
  <c r="Q366" i="21"/>
  <c r="X366" i="21"/>
  <c r="X64" i="21" s="1"/>
  <c r="K199" i="21"/>
  <c r="BF199" i="21" s="1"/>
  <c r="K311" i="21"/>
  <c r="BF311" i="21" s="1"/>
  <c r="K343" i="21"/>
  <c r="BF343" i="21" s="1"/>
  <c r="K359" i="21"/>
  <c r="BF359" i="21" s="1"/>
  <c r="K375" i="21"/>
  <c r="BF375" i="21" s="1"/>
  <c r="K391" i="21"/>
  <c r="BF391" i="21" s="1"/>
  <c r="K548" i="21"/>
  <c r="BF548" i="21" s="1"/>
  <c r="K135" i="21"/>
  <c r="BF135" i="21" s="1"/>
  <c r="K223" i="21"/>
  <c r="BF223" i="21" s="1"/>
  <c r="K241" i="21"/>
  <c r="BF241" i="21" s="1"/>
  <c r="K257" i="21"/>
  <c r="BF257" i="21" s="1"/>
  <c r="K281" i="21"/>
  <c r="BF281" i="21" s="1"/>
  <c r="K331" i="21"/>
  <c r="BF331" i="21" s="1"/>
  <c r="K440" i="21"/>
  <c r="BF440" i="21" s="1"/>
  <c r="K456" i="21"/>
  <c r="BF456" i="21" s="1"/>
  <c r="K472" i="21"/>
  <c r="BF472" i="21" s="1"/>
  <c r="K488" i="21"/>
  <c r="BF488" i="21" s="1"/>
  <c r="K504" i="21"/>
  <c r="BF504" i="21" s="1"/>
  <c r="K520" i="21"/>
  <c r="BF520" i="21" s="1"/>
  <c r="K536" i="21"/>
  <c r="BF536" i="21" s="1"/>
  <c r="T64" i="21" l="1"/>
  <c r="Q16" i="21"/>
  <c r="BK16" i="21"/>
  <c r="R16" i="21"/>
  <c r="V15" i="21"/>
  <c r="X15" i="21"/>
  <c r="BK268" i="21"/>
  <c r="K268" i="21" s="1"/>
  <c r="BK78" i="21"/>
  <c r="K78" i="21" s="1"/>
  <c r="K17" i="21"/>
  <c r="T15" i="21"/>
  <c r="BK366" i="21"/>
  <c r="K366" i="21" s="1"/>
  <c r="Q64" i="21"/>
  <c r="Q15" i="21" s="1"/>
  <c r="R64" i="21"/>
  <c r="K16" i="21"/>
  <c r="BK64" i="19"/>
  <c r="BK63" i="19" s="1"/>
  <c r="BI64" i="19"/>
  <c r="BH64" i="19"/>
  <c r="BG64" i="19"/>
  <c r="BF64" i="19"/>
  <c r="T64" i="19"/>
  <c r="R64" i="19"/>
  <c r="R63" i="19" s="1"/>
  <c r="P64" i="19"/>
  <c r="P63" i="19" s="1"/>
  <c r="J64" i="19"/>
  <c r="BE64" i="19" s="1"/>
  <c r="T63" i="19"/>
  <c r="J62" i="19"/>
  <c r="J61" i="19"/>
  <c r="J60" i="19"/>
  <c r="J59" i="19"/>
  <c r="J58" i="19"/>
  <c r="J57" i="19"/>
  <c r="J56" i="19"/>
  <c r="J55" i="19"/>
  <c r="J54" i="19"/>
  <c r="J53" i="19"/>
  <c r="BK52" i="19"/>
  <c r="BI52" i="19"/>
  <c r="BH52" i="19"/>
  <c r="BG52" i="19"/>
  <c r="BF52" i="19"/>
  <c r="T52" i="19"/>
  <c r="R52" i="19"/>
  <c r="P52" i="19"/>
  <c r="J52" i="19"/>
  <c r="BE52" i="19" s="1"/>
  <c r="BK51" i="19"/>
  <c r="BI51" i="19"/>
  <c r="BH51" i="19"/>
  <c r="BG51" i="19"/>
  <c r="BF51" i="19"/>
  <c r="T51" i="19"/>
  <c r="R51" i="19"/>
  <c r="P51" i="19"/>
  <c r="J51" i="19"/>
  <c r="BE51" i="19" s="1"/>
  <c r="BK50" i="19"/>
  <c r="BI50" i="19"/>
  <c r="BH50" i="19"/>
  <c r="BG50" i="19"/>
  <c r="BF50" i="19"/>
  <c r="T50" i="19"/>
  <c r="R50" i="19"/>
  <c r="P50" i="19"/>
  <c r="J50" i="19"/>
  <c r="BE50" i="19" s="1"/>
  <c r="BK49" i="19"/>
  <c r="BI49" i="19"/>
  <c r="BH49" i="19"/>
  <c r="BG49" i="19"/>
  <c r="BF49" i="19"/>
  <c r="T49" i="19"/>
  <c r="R49" i="19"/>
  <c r="P49" i="19"/>
  <c r="J49" i="19"/>
  <c r="BE49" i="19" s="1"/>
  <c r="J46" i="19"/>
  <c r="J44" i="19"/>
  <c r="J42" i="19"/>
  <c r="BK40" i="19"/>
  <c r="BI40" i="19"/>
  <c r="BH40" i="19"/>
  <c r="BG40" i="19"/>
  <c r="BF40" i="19"/>
  <c r="T40" i="19"/>
  <c r="R40" i="19"/>
  <c r="P40" i="19"/>
  <c r="J40" i="19"/>
  <c r="BE40" i="19" s="1"/>
  <c r="J38" i="19"/>
  <c r="J36" i="19"/>
  <c r="J34" i="19"/>
  <c r="BK32" i="19"/>
  <c r="BI32" i="19"/>
  <c r="BH32" i="19"/>
  <c r="BG32" i="19"/>
  <c r="BF32" i="19"/>
  <c r="T32" i="19"/>
  <c r="R32" i="19"/>
  <c r="P32" i="19"/>
  <c r="J32" i="19"/>
  <c r="BE32" i="19" s="1"/>
  <c r="BK30" i="19"/>
  <c r="BI30" i="19"/>
  <c r="BH30" i="19"/>
  <c r="BG30" i="19"/>
  <c r="BF30" i="19"/>
  <c r="T30" i="19"/>
  <c r="R30" i="19"/>
  <c r="P30" i="19"/>
  <c r="J30" i="19"/>
  <c r="BE30" i="19" s="1"/>
  <c r="BK26" i="19"/>
  <c r="BI26" i="19"/>
  <c r="BH26" i="19"/>
  <c r="BG26" i="19"/>
  <c r="BF26" i="19"/>
  <c r="T26" i="19"/>
  <c r="R26" i="19"/>
  <c r="P26" i="19"/>
  <c r="J26" i="19"/>
  <c r="BE26" i="19" s="1"/>
  <c r="BK24" i="19"/>
  <c r="BI24" i="19"/>
  <c r="BH24" i="19"/>
  <c r="BG24" i="19"/>
  <c r="BF24" i="19"/>
  <c r="T24" i="19"/>
  <c r="R24" i="19"/>
  <c r="P24" i="19"/>
  <c r="J24" i="19"/>
  <c r="BE24" i="19" s="1"/>
  <c r="BK17" i="19"/>
  <c r="BK16" i="19" s="1"/>
  <c r="BI17" i="19"/>
  <c r="BH17" i="19"/>
  <c r="BG17" i="19"/>
  <c r="BF17" i="19"/>
  <c r="T17" i="19"/>
  <c r="T16" i="19" s="1"/>
  <c r="R17" i="19"/>
  <c r="R16" i="19" s="1"/>
  <c r="P17" i="19"/>
  <c r="P16" i="19" s="1"/>
  <c r="BE17" i="19"/>
  <c r="BK14" i="19"/>
  <c r="BK13" i="19" s="1"/>
  <c r="BI14" i="19"/>
  <c r="BH14" i="19"/>
  <c r="BG14" i="19"/>
  <c r="BF14" i="19"/>
  <c r="T14" i="19"/>
  <c r="T13" i="19" s="1"/>
  <c r="R14" i="19"/>
  <c r="R13" i="19" s="1"/>
  <c r="P14" i="19"/>
  <c r="P13" i="19" s="1"/>
  <c r="J14" i="19"/>
  <c r="BE14" i="19" s="1"/>
  <c r="BK113" i="17"/>
  <c r="BK112" i="17" s="1"/>
  <c r="BI113" i="17"/>
  <c r="BH113" i="17"/>
  <c r="BG113" i="17"/>
  <c r="BF113" i="17"/>
  <c r="T113" i="17"/>
  <c r="T112" i="17" s="1"/>
  <c r="R113" i="17"/>
  <c r="R112" i="17" s="1"/>
  <c r="P113" i="17"/>
  <c r="P112" i="17" s="1"/>
  <c r="BE113" i="17"/>
  <c r="BK97" i="17"/>
  <c r="BI97" i="17"/>
  <c r="BH97" i="17"/>
  <c r="BG97" i="17"/>
  <c r="BF97" i="17"/>
  <c r="T97" i="17"/>
  <c r="R97" i="17"/>
  <c r="P97" i="17"/>
  <c r="BE97" i="17"/>
  <c r="BK96" i="17"/>
  <c r="BI96" i="17"/>
  <c r="BH96" i="17"/>
  <c r="BG96" i="17"/>
  <c r="BF96" i="17"/>
  <c r="T96" i="17"/>
  <c r="R96" i="17"/>
  <c r="P96" i="17"/>
  <c r="BE96" i="17"/>
  <c r="BK95" i="17"/>
  <c r="BI95" i="17"/>
  <c r="BH95" i="17"/>
  <c r="BG95" i="17"/>
  <c r="BF95" i="17"/>
  <c r="T95" i="17"/>
  <c r="R95" i="17"/>
  <c r="P95" i="17"/>
  <c r="BE95" i="17"/>
  <c r="BK94" i="17"/>
  <c r="BI94" i="17"/>
  <c r="BH94" i="17"/>
  <c r="BG94" i="17"/>
  <c r="BF94" i="17"/>
  <c r="T94" i="17"/>
  <c r="R94" i="17"/>
  <c r="P94" i="17"/>
  <c r="BK76" i="17"/>
  <c r="BI76" i="17"/>
  <c r="BH76" i="17"/>
  <c r="BG76" i="17"/>
  <c r="BF76" i="17"/>
  <c r="T76" i="17"/>
  <c r="R76" i="17"/>
  <c r="P76" i="17"/>
  <c r="BE76" i="17"/>
  <c r="BK59" i="17"/>
  <c r="BI59" i="17"/>
  <c r="BH59" i="17"/>
  <c r="BG59" i="17"/>
  <c r="BF59" i="17"/>
  <c r="T59" i="17"/>
  <c r="R59" i="17"/>
  <c r="P59" i="17"/>
  <c r="BE59" i="17"/>
  <c r="BK52" i="17"/>
  <c r="BI52" i="17"/>
  <c r="BH52" i="17"/>
  <c r="BG52" i="17"/>
  <c r="BF52" i="17"/>
  <c r="T52" i="17"/>
  <c r="R52" i="17"/>
  <c r="P52" i="17"/>
  <c r="BE52" i="17"/>
  <c r="BK31" i="17"/>
  <c r="BK23" i="17" s="1"/>
  <c r="BI31" i="17"/>
  <c r="BH31" i="17"/>
  <c r="BG31" i="17"/>
  <c r="BF31" i="17"/>
  <c r="T31" i="17"/>
  <c r="T23" i="17" s="1"/>
  <c r="R31" i="17"/>
  <c r="R23" i="17" s="1"/>
  <c r="P31" i="17"/>
  <c r="P23" i="17" s="1"/>
  <c r="BE31" i="17"/>
  <c r="BK14" i="17"/>
  <c r="BK13" i="17" s="1"/>
  <c r="BI14" i="17"/>
  <c r="BH14" i="17"/>
  <c r="BG14" i="17"/>
  <c r="BF14" i="17"/>
  <c r="T14" i="17"/>
  <c r="T13" i="17" s="1"/>
  <c r="R14" i="17"/>
  <c r="R13" i="17" s="1"/>
  <c r="P14" i="17"/>
  <c r="P13" i="17" s="1"/>
  <c r="P93" i="17" l="1"/>
  <c r="P88" i="17" s="1"/>
  <c r="P87" i="17" s="1"/>
  <c r="BK64" i="21"/>
  <c r="K64" i="21" s="1"/>
  <c r="R15" i="21"/>
  <c r="BK15" i="21"/>
  <c r="K15" i="21" s="1"/>
  <c r="C13" i="11" s="1"/>
  <c r="P48" i="19"/>
  <c r="R48" i="19"/>
  <c r="T23" i="19"/>
  <c r="T12" i="19" s="1"/>
  <c r="R23" i="19"/>
  <c r="R12" i="19" s="1"/>
  <c r="BK23" i="19"/>
  <c r="BK12" i="19" s="1"/>
  <c r="BK11" i="19" s="1"/>
  <c r="P23" i="19"/>
  <c r="P12" i="19" s="1"/>
  <c r="BK48" i="19"/>
  <c r="T48" i="19"/>
  <c r="BK51" i="17"/>
  <c r="BK12" i="17" s="1"/>
  <c r="T51" i="17"/>
  <c r="T12" i="17" s="1"/>
  <c r="R51" i="17"/>
  <c r="R12" i="17" s="1"/>
  <c r="BK93" i="17"/>
  <c r="BK88" i="17" s="1"/>
  <c r="BK87" i="17" s="1"/>
  <c r="T93" i="17"/>
  <c r="T88" i="17" s="1"/>
  <c r="T87" i="17" s="1"/>
  <c r="BE14" i="17"/>
  <c r="P51" i="17"/>
  <c r="P12" i="17" s="1"/>
  <c r="R93" i="17"/>
  <c r="R88" i="17" s="1"/>
  <c r="R87" i="17" s="1"/>
  <c r="BE94" i="17"/>
  <c r="I67" i="18"/>
  <c r="I66" i="18"/>
  <c r="I65" i="18"/>
  <c r="I64" i="18"/>
  <c r="I63" i="18"/>
  <c r="I62" i="18"/>
  <c r="I61" i="18"/>
  <c r="I60" i="18"/>
  <c r="I59" i="18"/>
  <c r="I58" i="18"/>
  <c r="I54" i="18"/>
  <c r="I53" i="18"/>
  <c r="I52" i="18"/>
  <c r="I51" i="18"/>
  <c r="I50" i="18"/>
  <c r="I49" i="18"/>
  <c r="I48" i="18"/>
  <c r="M47" i="18"/>
  <c r="K47" i="18"/>
  <c r="I47" i="18"/>
  <c r="M46" i="18"/>
  <c r="K46" i="18"/>
  <c r="I46" i="18"/>
  <c r="M45" i="18"/>
  <c r="K45" i="18"/>
  <c r="I45" i="18"/>
  <c r="I44" i="18"/>
  <c r="M43" i="18"/>
  <c r="K43" i="18"/>
  <c r="I43" i="18"/>
  <c r="I42" i="18"/>
  <c r="I41" i="18"/>
  <c r="I40" i="18"/>
  <c r="M39" i="18"/>
  <c r="K39" i="18"/>
  <c r="I39" i="18"/>
  <c r="I38" i="18"/>
  <c r="M34" i="18"/>
  <c r="K34" i="18"/>
  <c r="I34" i="18"/>
  <c r="M33" i="18"/>
  <c r="K33" i="18"/>
  <c r="I33" i="18"/>
  <c r="I32" i="18"/>
  <c r="I31" i="18"/>
  <c r="I30" i="18"/>
  <c r="I29" i="18"/>
  <c r="I28" i="18"/>
  <c r="I27" i="18"/>
  <c r="I26" i="18"/>
  <c r="M25" i="18"/>
  <c r="K25" i="18"/>
  <c r="I25" i="18"/>
  <c r="I24" i="18"/>
  <c r="M23" i="18"/>
  <c r="K23" i="18"/>
  <c r="I23" i="18"/>
  <c r="I22" i="18"/>
  <c r="M21" i="18"/>
  <c r="K21" i="18"/>
  <c r="I21" i="18"/>
  <c r="M20" i="18"/>
  <c r="K20" i="18"/>
  <c r="I20" i="18"/>
  <c r="I19" i="18"/>
  <c r="I18" i="18"/>
  <c r="I17" i="18"/>
  <c r="M16" i="18"/>
  <c r="K16" i="18"/>
  <c r="I16" i="18"/>
  <c r="D7" i="18"/>
  <c r="C5" i="18"/>
  <c r="I116" i="16"/>
  <c r="I115" i="16"/>
  <c r="I114" i="16"/>
  <c r="I113" i="16"/>
  <c r="I110" i="16"/>
  <c r="I109" i="16"/>
  <c r="I108" i="16"/>
  <c r="I107" i="16"/>
  <c r="I106" i="16"/>
  <c r="I105" i="16"/>
  <c r="I104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4" i="16"/>
  <c r="I83" i="16"/>
  <c r="I82" i="16"/>
  <c r="I81" i="16"/>
  <c r="I80" i="16"/>
  <c r="I79" i="16"/>
  <c r="I78" i="16"/>
  <c r="I77" i="16"/>
  <c r="I76" i="16"/>
  <c r="I75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C7" i="16"/>
  <c r="C4" i="16"/>
  <c r="C3" i="16"/>
  <c r="C2" i="16"/>
  <c r="F52" i="15"/>
  <c r="F53" i="15" s="1"/>
  <c r="F51" i="15" s="1"/>
  <c r="H49" i="15"/>
  <c r="H48" i="15"/>
  <c r="F47" i="15"/>
  <c r="F44" i="15" s="1"/>
  <c r="H44" i="15" s="1"/>
  <c r="K44" i="15"/>
  <c r="H43" i="15"/>
  <c r="F42" i="15"/>
  <c r="F40" i="15" s="1"/>
  <c r="H40" i="15" s="1"/>
  <c r="F41" i="15"/>
  <c r="K40" i="15"/>
  <c r="F34" i="15"/>
  <c r="F35" i="15" s="1"/>
  <c r="F33" i="15" s="1"/>
  <c r="F30" i="15"/>
  <c r="F31" i="15" s="1"/>
  <c r="F29" i="15" s="1"/>
  <c r="F27" i="15"/>
  <c r="F28" i="15" s="1"/>
  <c r="F24" i="15"/>
  <c r="F25" i="15" s="1"/>
  <c r="F23" i="15" s="1"/>
  <c r="H23" i="15" s="1"/>
  <c r="F22" i="15"/>
  <c r="F20" i="15"/>
  <c r="H20" i="15" s="1"/>
  <c r="F18" i="15"/>
  <c r="F19" i="15" s="1"/>
  <c r="F17" i="15" s="1"/>
  <c r="H17" i="15" s="1"/>
  <c r="F16" i="15"/>
  <c r="F14" i="15" s="1"/>
  <c r="H14" i="15" s="1"/>
  <c r="A14" i="15"/>
  <c r="A17" i="15" s="1"/>
  <c r="A20" i="15" s="1"/>
  <c r="A23" i="15" s="1"/>
  <c r="A26" i="15" s="1"/>
  <c r="A29" i="15" s="1"/>
  <c r="A33" i="15" s="1"/>
  <c r="A37" i="15" s="1"/>
  <c r="A40" i="15" s="1"/>
  <c r="A43" i="15" s="1"/>
  <c r="A44" i="15" s="1"/>
  <c r="A48" i="15" s="1"/>
  <c r="A49" i="15" s="1"/>
  <c r="A51" i="15" s="1"/>
  <c r="A54" i="15" s="1"/>
  <c r="F12" i="15"/>
  <c r="F13" i="15" s="1"/>
  <c r="F11" i="15" s="1"/>
  <c r="H11" i="15" s="1"/>
  <c r="F111" i="14"/>
  <c r="F103" i="14" s="1"/>
  <c r="F113" i="14" s="1"/>
  <c r="F114" i="14" s="1"/>
  <c r="F112" i="14" s="1"/>
  <c r="H112" i="14" s="1"/>
  <c r="F102" i="14"/>
  <c r="F99" i="14" s="1"/>
  <c r="H99" i="14" s="1"/>
  <c r="H97" i="14"/>
  <c r="H95" i="14"/>
  <c r="H94" i="14"/>
  <c r="F93" i="14"/>
  <c r="F88" i="14" s="1"/>
  <c r="H88" i="14" s="1"/>
  <c r="K88" i="14"/>
  <c r="F87" i="14"/>
  <c r="F82" i="14" s="1"/>
  <c r="K82" i="14" s="1"/>
  <c r="F70" i="14"/>
  <c r="F68" i="14" s="1"/>
  <c r="F65" i="14"/>
  <c r="F66" i="14" s="1"/>
  <c r="F63" i="14" s="1"/>
  <c r="K61" i="14"/>
  <c r="H61" i="14"/>
  <c r="K60" i="14"/>
  <c r="H60" i="14"/>
  <c r="K59" i="14"/>
  <c r="H59" i="14"/>
  <c r="K58" i="14"/>
  <c r="H58" i="14"/>
  <c r="K57" i="14"/>
  <c r="H57" i="14"/>
  <c r="K56" i="14"/>
  <c r="H56" i="14"/>
  <c r="F54" i="14"/>
  <c r="F55" i="14" s="1"/>
  <c r="F53" i="14" s="1"/>
  <c r="H53" i="14" s="1"/>
  <c r="K52" i="14"/>
  <c r="H52" i="14"/>
  <c r="K51" i="14"/>
  <c r="H51" i="14"/>
  <c r="K50" i="14"/>
  <c r="H50" i="14"/>
  <c r="K49" i="14"/>
  <c r="H49" i="14"/>
  <c r="F47" i="14"/>
  <c r="F48" i="14" s="1"/>
  <c r="F46" i="14" s="1"/>
  <c r="H46" i="14" s="1"/>
  <c r="F43" i="14"/>
  <c r="F42" i="14"/>
  <c r="F40" i="14"/>
  <c r="F39" i="14"/>
  <c r="F34" i="14"/>
  <c r="F35" i="14" s="1"/>
  <c r="F33" i="14" s="1"/>
  <c r="H33" i="14" s="1"/>
  <c r="F31" i="14"/>
  <c r="F32" i="14" s="1"/>
  <c r="F29" i="14" s="1"/>
  <c r="H29" i="14" s="1"/>
  <c r="F27" i="14"/>
  <c r="F28" i="14" s="1"/>
  <c r="F26" i="14" s="1"/>
  <c r="H26" i="14" s="1"/>
  <c r="F25" i="14"/>
  <c r="F23" i="14" s="1"/>
  <c r="H23" i="14" s="1"/>
  <c r="F21" i="14"/>
  <c r="F22" i="14" s="1"/>
  <c r="F20" i="14" s="1"/>
  <c r="H20" i="14" s="1"/>
  <c r="F19" i="14"/>
  <c r="F17" i="14" s="1"/>
  <c r="H17" i="14" s="1"/>
  <c r="A17" i="14"/>
  <c r="A20" i="14" s="1"/>
  <c r="A23" i="14" s="1"/>
  <c r="A26" i="14" s="1"/>
  <c r="A29" i="14" s="1"/>
  <c r="A33" i="14" s="1"/>
  <c r="A37" i="14" s="1"/>
  <c r="A46" i="14" s="1"/>
  <c r="A49" i="14" s="1"/>
  <c r="A50" i="14" s="1"/>
  <c r="A51" i="14" s="1"/>
  <c r="A52" i="14" s="1"/>
  <c r="A53" i="14" s="1"/>
  <c r="A56" i="14" s="1"/>
  <c r="A57" i="14" s="1"/>
  <c r="A58" i="14" s="1"/>
  <c r="A59" i="14" s="1"/>
  <c r="A60" i="14" s="1"/>
  <c r="A61" i="14" s="1"/>
  <c r="A63" i="14" s="1"/>
  <c r="A68" i="14" s="1"/>
  <c r="A71" i="14" s="1"/>
  <c r="A72" i="14" s="1"/>
  <c r="A73" i="14" s="1"/>
  <c r="A74" i="14" s="1"/>
  <c r="A75" i="14" s="1"/>
  <c r="A76" i="14" s="1"/>
  <c r="A77" i="14" s="1"/>
  <c r="A79" i="14" s="1"/>
  <c r="A82" i="14" s="1"/>
  <c r="A88" i="14" s="1"/>
  <c r="A94" i="14" s="1"/>
  <c r="A95" i="14" s="1"/>
  <c r="A97" i="14" s="1"/>
  <c r="F15" i="14"/>
  <c r="F13" i="14"/>
  <c r="P11" i="17" l="1"/>
  <c r="R11" i="19"/>
  <c r="A99" i="14"/>
  <c r="A103" i="14" s="1"/>
  <c r="A112" i="14" s="1"/>
  <c r="F16" i="14"/>
  <c r="F11" i="14" s="1"/>
  <c r="H11" i="14" s="1"/>
  <c r="K33" i="15"/>
  <c r="K37" i="15" s="1"/>
  <c r="F37" i="15" s="1"/>
  <c r="H37" i="15" s="1"/>
  <c r="H33" i="15"/>
  <c r="H82" i="14"/>
  <c r="F44" i="14"/>
  <c r="F37" i="14" s="1"/>
  <c r="K37" i="14" s="1"/>
  <c r="K79" i="14" s="1"/>
  <c r="F79" i="14" s="1"/>
  <c r="H79" i="14" s="1"/>
  <c r="I57" i="18"/>
  <c r="P11" i="19"/>
  <c r="T11" i="17"/>
  <c r="T11" i="19"/>
  <c r="R11" i="17"/>
  <c r="BK11" i="17"/>
  <c r="I37" i="18"/>
  <c r="I15" i="18"/>
  <c r="M15" i="18"/>
  <c r="M12" i="18" s="1"/>
  <c r="K15" i="18"/>
  <c r="K12" i="18" s="1"/>
  <c r="H29" i="15"/>
  <c r="F26" i="15"/>
  <c r="H26" i="15" s="1"/>
  <c r="H9" i="15" s="1"/>
  <c r="H51" i="15"/>
  <c r="F55" i="15"/>
  <c r="F56" i="15" s="1"/>
  <c r="F54" i="15" s="1"/>
  <c r="H54" i="15" s="1"/>
  <c r="H63" i="14"/>
  <c r="K63" i="14"/>
  <c r="K68" i="14"/>
  <c r="K71" i="14" s="1"/>
  <c r="F71" i="14" s="1"/>
  <c r="H68" i="14"/>
  <c r="H103" i="14"/>
  <c r="H37" i="14" l="1"/>
  <c r="H80" i="14"/>
  <c r="I12" i="18"/>
  <c r="C25" i="11" s="1"/>
  <c r="H38" i="15"/>
  <c r="H58" i="15" s="1"/>
  <c r="C34" i="11" s="1"/>
  <c r="C14" i="11"/>
  <c r="J11" i="19"/>
  <c r="C32" i="11" s="1"/>
  <c r="F75" i="14"/>
  <c r="H71" i="14"/>
  <c r="F72" i="14"/>
  <c r="H72" i="14" s="1"/>
  <c r="F77" i="14"/>
  <c r="H77" i="14" s="1"/>
  <c r="F73" i="14"/>
  <c r="H73" i="14" l="1"/>
  <c r="F74" i="14"/>
  <c r="H74" i="14" s="1"/>
  <c r="F76" i="14"/>
  <c r="H76" i="14" s="1"/>
  <c r="H75" i="14"/>
  <c r="H9" i="14" l="1"/>
  <c r="H116" i="14" s="1"/>
  <c r="C33" i="11" s="1"/>
  <c r="A60" i="13"/>
  <c r="A59" i="13"/>
  <c r="I58" i="13"/>
  <c r="G58" i="13"/>
  <c r="A58" i="13"/>
  <c r="I57" i="13"/>
  <c r="G57" i="13"/>
  <c r="A57" i="13"/>
  <c r="I56" i="13"/>
  <c r="G56" i="13"/>
  <c r="A56" i="13"/>
  <c r="I55" i="13"/>
  <c r="G55" i="13"/>
  <c r="A55" i="13"/>
  <c r="I54" i="13"/>
  <c r="G54" i="13"/>
  <c r="A54" i="13"/>
  <c r="I53" i="13"/>
  <c r="G53" i="13"/>
  <c r="A53" i="13"/>
  <c r="I52" i="13"/>
  <c r="G52" i="13"/>
  <c r="A52" i="13"/>
  <c r="I51" i="13"/>
  <c r="G51" i="13"/>
  <c r="A51" i="13"/>
  <c r="I50" i="13"/>
  <c r="G50" i="13"/>
  <c r="A50" i="13"/>
  <c r="I49" i="13"/>
  <c r="G49" i="13"/>
  <c r="A49" i="13"/>
  <c r="I48" i="13"/>
  <c r="G48" i="13"/>
  <c r="A48" i="13"/>
  <c r="I47" i="13"/>
  <c r="G47" i="13"/>
  <c r="A47" i="13"/>
  <c r="I46" i="13"/>
  <c r="G46" i="13"/>
  <c r="A46" i="13"/>
  <c r="A45" i="13"/>
  <c r="A44" i="13"/>
  <c r="I43" i="13"/>
  <c r="G43" i="13"/>
  <c r="A43" i="13"/>
  <c r="I42" i="13"/>
  <c r="G42" i="13"/>
  <c r="A42" i="13"/>
  <c r="A41" i="13"/>
  <c r="I40" i="13"/>
  <c r="G40" i="13"/>
  <c r="A40" i="13"/>
  <c r="I39" i="13"/>
  <c r="G39" i="13"/>
  <c r="A39" i="13"/>
  <c r="A38" i="13"/>
  <c r="A37" i="13"/>
  <c r="A36" i="13"/>
  <c r="I35" i="13"/>
  <c r="G35" i="13"/>
  <c r="A35" i="13"/>
  <c r="I34" i="13"/>
  <c r="G34" i="13"/>
  <c r="A34" i="13"/>
  <c r="I33" i="13"/>
  <c r="G33" i="13"/>
  <c r="A33" i="13"/>
  <c r="I32" i="13"/>
  <c r="G32" i="13"/>
  <c r="A32" i="13"/>
  <c r="I31" i="13"/>
  <c r="G31" i="13"/>
  <c r="A31" i="13"/>
  <c r="I30" i="13"/>
  <c r="G30" i="13"/>
  <c r="A30" i="13"/>
  <c r="I29" i="13"/>
  <c r="G29" i="13"/>
  <c r="A29" i="13"/>
  <c r="I28" i="13"/>
  <c r="G28" i="13"/>
  <c r="A28" i="13"/>
  <c r="I27" i="13"/>
  <c r="G27" i="13"/>
  <c r="A27" i="13"/>
  <c r="I26" i="13"/>
  <c r="G26" i="13"/>
  <c r="A26" i="13"/>
  <c r="I25" i="13"/>
  <c r="G25" i="13"/>
  <c r="A25" i="13"/>
  <c r="I24" i="13"/>
  <c r="G24" i="13"/>
  <c r="A24" i="13"/>
  <c r="I23" i="13"/>
  <c r="G23" i="13"/>
  <c r="A23" i="13"/>
  <c r="I22" i="13"/>
  <c r="G22" i="13"/>
  <c r="A22" i="13"/>
  <c r="I21" i="13"/>
  <c r="G21" i="13"/>
  <c r="A21" i="13"/>
  <c r="I20" i="13"/>
  <c r="G20" i="13"/>
  <c r="A20" i="13"/>
  <c r="I19" i="13"/>
  <c r="G19" i="13"/>
  <c r="A19" i="13"/>
  <c r="I18" i="13"/>
  <c r="G18" i="13"/>
  <c r="A18" i="13"/>
  <c r="E17" i="13"/>
  <c r="G17" i="13" s="1"/>
  <c r="A17" i="13"/>
  <c r="I16" i="13"/>
  <c r="G16" i="13"/>
  <c r="A16" i="13"/>
  <c r="I15" i="13"/>
  <c r="G15" i="13"/>
  <c r="A15" i="13"/>
  <c r="E14" i="13"/>
  <c r="G14" i="13" s="1"/>
  <c r="A14" i="13"/>
  <c r="I13" i="13"/>
  <c r="G13" i="13"/>
  <c r="A13" i="13"/>
  <c r="E12" i="13"/>
  <c r="I12" i="13" s="1"/>
  <c r="A12" i="13"/>
  <c r="I11" i="13"/>
  <c r="G11" i="13"/>
  <c r="A11" i="13"/>
  <c r="A10" i="13"/>
  <c r="I17" i="13" l="1"/>
  <c r="G12" i="13"/>
  <c r="I14" i="13"/>
  <c r="C15" i="11" l="1"/>
  <c r="D15" i="11" s="1"/>
  <c r="D17" i="11"/>
  <c r="E17" i="11" s="1"/>
  <c r="D18" i="11"/>
  <c r="E18" i="11" s="1"/>
  <c r="D19" i="11"/>
  <c r="E19" i="11" s="1"/>
  <c r="D20" i="11"/>
  <c r="E20" i="11" s="1"/>
  <c r="D21" i="11"/>
  <c r="E21" i="11" s="1"/>
  <c r="D22" i="11"/>
  <c r="E22" i="11" s="1"/>
  <c r="D23" i="11"/>
  <c r="E23" i="11" s="1"/>
  <c r="D24" i="11"/>
  <c r="E24" i="11" s="1"/>
  <c r="D25" i="11"/>
  <c r="E25" i="11" s="1"/>
  <c r="E26" i="11"/>
  <c r="D32" i="11"/>
  <c r="E32" i="11" s="1"/>
  <c r="D33" i="11"/>
  <c r="E33" i="11" s="1"/>
  <c r="D34" i="11"/>
  <c r="E34" i="11" s="1"/>
  <c r="D16" i="11"/>
  <c r="E16" i="11" s="1"/>
  <c r="D13" i="11"/>
  <c r="E13" i="11" s="1"/>
  <c r="K45" i="12"/>
  <c r="J44" i="12"/>
  <c r="P42" i="12"/>
  <c r="P41" i="12"/>
  <c r="P40" i="12"/>
  <c r="P39" i="12"/>
  <c r="P38" i="12"/>
  <c r="R35" i="12"/>
  <c r="J35" i="12"/>
  <c r="E35" i="12"/>
  <c r="D14" i="11" l="1"/>
  <c r="E14" i="11" s="1"/>
  <c r="E15" i="11"/>
  <c r="I345" i="5" l="1"/>
  <c r="I344" i="5"/>
  <c r="I343" i="5"/>
  <c r="I342" i="5"/>
  <c r="I341" i="5"/>
  <c r="F202" i="5" l="1"/>
  <c r="F199" i="5" s="1"/>
  <c r="H199" i="5" s="1"/>
  <c r="F198" i="5"/>
  <c r="F196" i="5" s="1"/>
  <c r="H196" i="5" s="1"/>
  <c r="F69" i="5"/>
  <c r="F62" i="5"/>
  <c r="F63" i="5" s="1"/>
  <c r="F61" i="5" s="1"/>
  <c r="F254" i="5"/>
  <c r="F244" i="5"/>
  <c r="F241" i="5"/>
  <c r="F250" i="5"/>
  <c r="F247" i="5"/>
  <c r="F271" i="5"/>
  <c r="F268" i="5"/>
  <c r="F274" i="5"/>
  <c r="F277" i="5"/>
  <c r="F278" i="5" s="1"/>
  <c r="F276" i="5" s="1"/>
  <c r="K276" i="5" s="1"/>
  <c r="F205" i="5"/>
  <c r="F203" i="5" s="1"/>
  <c r="H203" i="5" s="1"/>
  <c r="F153" i="5"/>
  <c r="F154" i="5" s="1"/>
  <c r="F152" i="5" s="1"/>
  <c r="F161" i="5"/>
  <c r="F162" i="5"/>
  <c r="F208" i="5"/>
  <c r="F206" i="5" s="1"/>
  <c r="H206" i="5" s="1"/>
  <c r="F305" i="5"/>
  <c r="K333" i="5"/>
  <c r="F105" i="5"/>
  <c r="F106" i="5" s="1"/>
  <c r="F104" i="5" s="1"/>
  <c r="F102" i="5"/>
  <c r="F103" i="5" s="1"/>
  <c r="F101" i="5" s="1"/>
  <c r="F296" i="5"/>
  <c r="F293" i="5"/>
  <c r="F292" i="5"/>
  <c r="F291" i="5"/>
  <c r="F238" i="5"/>
  <c r="F234" i="5"/>
  <c r="F235" i="5"/>
  <c r="F283" i="5"/>
  <c r="F280" i="5"/>
  <c r="F287" i="5"/>
  <c r="F315" i="5"/>
  <c r="F312" i="5"/>
  <c r="F190" i="5"/>
  <c r="H61" i="5" l="1"/>
  <c r="K61" i="5"/>
  <c r="K152" i="5"/>
  <c r="H152" i="5"/>
  <c r="F163" i="5"/>
  <c r="F159" i="5" s="1"/>
  <c r="H159" i="5" s="1"/>
  <c r="F294" i="5"/>
  <c r="K104" i="5"/>
  <c r="H104" i="5"/>
  <c r="K101" i="5"/>
  <c r="H101" i="5"/>
  <c r="F145" i="5"/>
  <c r="F147" i="5" s="1"/>
  <c r="F156" i="5"/>
  <c r="F158" i="5" s="1"/>
  <c r="F111" i="5"/>
  <c r="F115" i="5"/>
  <c r="F99" i="5"/>
  <c r="F100" i="5" s="1"/>
  <c r="F98" i="5" s="1"/>
  <c r="K98" i="5" s="1"/>
  <c r="F108" i="5"/>
  <c r="K159" i="5" l="1"/>
  <c r="F150" i="5"/>
  <c r="H98" i="5"/>
  <c r="K181" i="5" l="1"/>
  <c r="H181" i="5"/>
  <c r="K180" i="5"/>
  <c r="H180" i="5"/>
  <c r="F179" i="5"/>
  <c r="F175" i="5" s="1"/>
  <c r="H175" i="5" l="1"/>
  <c r="K175" i="5"/>
  <c r="F327" i="5" l="1"/>
  <c r="F326" i="5"/>
  <c r="F122" i="5"/>
  <c r="F123" i="5" s="1"/>
  <c r="F121" i="5" s="1"/>
  <c r="F119" i="5"/>
  <c r="F128" i="5"/>
  <c r="F125" i="5"/>
  <c r="F93" i="5"/>
  <c r="F91" i="5"/>
  <c r="K91" i="5" s="1"/>
  <c r="F90" i="5"/>
  <c r="F88" i="5"/>
  <c r="K88" i="5" s="1"/>
  <c r="F74" i="5"/>
  <c r="F95" i="5"/>
  <c r="F73" i="5"/>
  <c r="K121" i="5" l="1"/>
  <c r="H121" i="5"/>
  <c r="H91" i="5"/>
  <c r="H88" i="5"/>
  <c r="F301" i="5"/>
  <c r="F300" i="5"/>
  <c r="F265" i="5"/>
  <c r="F262" i="5"/>
  <c r="F229" i="5"/>
  <c r="F226" i="5"/>
  <c r="F223" i="5"/>
  <c r="F217" i="5"/>
  <c r="F220" i="5"/>
  <c r="F39" i="5"/>
  <c r="F29" i="5"/>
  <c r="F26" i="5"/>
  <c r="F23" i="5"/>
  <c r="F20" i="5"/>
  <c r="F32" i="5"/>
  <c r="F35" i="5"/>
  <c r="F13" i="5"/>
  <c r="F12" i="5"/>
  <c r="F49" i="5"/>
  <c r="F45" i="5"/>
  <c r="F42" i="5"/>
  <c r="F59" i="5"/>
  <c r="F55" i="5"/>
  <c r="F52" i="5"/>
  <c r="F302" i="5" l="1"/>
  <c r="F371" i="5" l="1"/>
  <c r="S15" i="10"/>
  <c r="R15" i="10"/>
  <c r="Q15" i="10"/>
  <c r="P15" i="10"/>
  <c r="S16" i="10"/>
  <c r="R16" i="10"/>
  <c r="Q16" i="10"/>
  <c r="P16" i="10"/>
  <c r="S13" i="10"/>
  <c r="R13" i="10"/>
  <c r="Q13" i="10"/>
  <c r="P13" i="10"/>
  <c r="S12" i="10"/>
  <c r="S17" i="10"/>
  <c r="S14" i="10"/>
  <c r="R12" i="10"/>
  <c r="Q12" i="10"/>
  <c r="P12" i="10"/>
  <c r="R17" i="10"/>
  <c r="Q17" i="10"/>
  <c r="P17" i="10"/>
  <c r="R14" i="10"/>
  <c r="F365" i="5" l="1"/>
  <c r="F171" i="5"/>
  <c r="F168" i="5" s="1"/>
  <c r="K168" i="5" s="1"/>
  <c r="F166" i="5"/>
  <c r="H18" i="10"/>
  <c r="H11" i="10"/>
  <c r="H10" i="10"/>
  <c r="T17" i="10"/>
  <c r="T16" i="10"/>
  <c r="T15" i="10"/>
  <c r="T13" i="10"/>
  <c r="T12" i="10"/>
  <c r="Q18" i="10"/>
  <c r="T18" i="10" s="1"/>
  <c r="Q11" i="10"/>
  <c r="T11" i="10" s="1"/>
  <c r="Q10" i="10"/>
  <c r="T10" i="10" s="1"/>
  <c r="Q14" i="10"/>
  <c r="T14" i="10" s="1"/>
  <c r="P14" i="10"/>
  <c r="P18" i="10"/>
  <c r="P10" i="10"/>
  <c r="P11" i="10"/>
  <c r="U10" i="10"/>
  <c r="U11" i="10"/>
  <c r="U18" i="10"/>
  <c r="H14" i="10"/>
  <c r="S19" i="10"/>
  <c r="R19" i="10"/>
  <c r="M18" i="10"/>
  <c r="L18" i="10"/>
  <c r="K18" i="10"/>
  <c r="M17" i="10"/>
  <c r="L17" i="10"/>
  <c r="K17" i="10"/>
  <c r="M16" i="10"/>
  <c r="L16" i="10"/>
  <c r="K16" i="10"/>
  <c r="M15" i="10"/>
  <c r="L15" i="10"/>
  <c r="K15" i="10"/>
  <c r="M14" i="10"/>
  <c r="L14" i="10"/>
  <c r="K14" i="10"/>
  <c r="M13" i="10"/>
  <c r="L13" i="10"/>
  <c r="K13" i="10"/>
  <c r="M12" i="10"/>
  <c r="L12" i="10"/>
  <c r="K12" i="10"/>
  <c r="M11" i="10"/>
  <c r="L11" i="10"/>
  <c r="K11" i="10"/>
  <c r="M10" i="10"/>
  <c r="K10" i="10"/>
  <c r="H17" i="10"/>
  <c r="H16" i="10"/>
  <c r="H15" i="10"/>
  <c r="H13" i="10"/>
  <c r="H12" i="10"/>
  <c r="G18" i="10"/>
  <c r="G17" i="10"/>
  <c r="G16" i="10"/>
  <c r="G15" i="10"/>
  <c r="G14" i="10"/>
  <c r="G13" i="10"/>
  <c r="G12" i="10"/>
  <c r="G11" i="10"/>
  <c r="G10" i="10"/>
  <c r="Q19" i="10" l="1"/>
  <c r="H168" i="5"/>
  <c r="P19" i="10"/>
  <c r="U19" i="10"/>
  <c r="F191" i="5"/>
  <c r="F189" i="5" s="1"/>
  <c r="H189" i="5" s="1"/>
  <c r="F188" i="5"/>
  <c r="F186" i="5" s="1"/>
  <c r="H186" i="5" s="1"/>
  <c r="F185" i="5"/>
  <c r="F183" i="5" s="1"/>
  <c r="H183" i="5" s="1"/>
  <c r="F194" i="5" l="1"/>
  <c r="F355" i="5"/>
  <c r="F353" i="5" s="1"/>
  <c r="K353" i="5" s="1"/>
  <c r="F299" i="5"/>
  <c r="F215" i="5"/>
  <c r="F213" i="5" s="1"/>
  <c r="H213" i="5" s="1"/>
  <c r="F174" i="5"/>
  <c r="F172" i="5" s="1"/>
  <c r="H172" i="5" s="1"/>
  <c r="F376" i="5"/>
  <c r="F373" i="5" s="1"/>
  <c r="H373" i="5" s="1"/>
  <c r="F364" i="5"/>
  <c r="F363" i="5"/>
  <c r="F360" i="5" s="1"/>
  <c r="H360" i="5" s="1"/>
  <c r="F358" i="5"/>
  <c r="H358" i="5" s="1"/>
  <c r="F370" i="5"/>
  <c r="F369" i="5"/>
  <c r="F367" i="5" s="1"/>
  <c r="H367" i="5" s="1"/>
  <c r="H366" i="5" l="1"/>
  <c r="F195" i="5"/>
  <c r="F193" i="5" s="1"/>
  <c r="H193" i="5" s="1"/>
  <c r="F192" i="5"/>
  <c r="H192" i="5" s="1"/>
  <c r="H353" i="5"/>
  <c r="K299" i="5"/>
  <c r="H299" i="5"/>
  <c r="H298" i="5" s="1"/>
  <c r="F167" i="5"/>
  <c r="K364" i="5"/>
  <c r="H364" i="5"/>
  <c r="H357" i="5" s="1"/>
  <c r="K370" i="5"/>
  <c r="H370" i="5"/>
  <c r="H182" i="5" l="1"/>
  <c r="F316" i="5"/>
  <c r="F314" i="5" s="1"/>
  <c r="H314" i="5" l="1"/>
  <c r="K314" i="5"/>
  <c r="F380" i="5"/>
  <c r="F387" i="5"/>
  <c r="F382" i="5" s="1"/>
  <c r="H382" i="5" s="1"/>
  <c r="H381" i="5" s="1"/>
  <c r="T19" i="10"/>
  <c r="F142" i="5" l="1"/>
  <c r="F140" i="5" s="1"/>
  <c r="K140" i="5" s="1"/>
  <c r="F138" i="5" l="1"/>
  <c r="F139" i="5" s="1"/>
  <c r="F137" i="5" s="1"/>
  <c r="H137" i="5" s="1"/>
  <c r="H140" i="5"/>
  <c r="F120" i="5" l="1"/>
  <c r="F118" i="5" s="1"/>
  <c r="K118" i="5" s="1"/>
  <c r="F126" i="5"/>
  <c r="F124" i="5" s="1"/>
  <c r="H124" i="5" s="1"/>
  <c r="H118" i="5" l="1"/>
  <c r="F129" i="5"/>
  <c r="F127" i="5" s="1"/>
  <c r="H127" i="5" s="1"/>
  <c r="H117" i="5" l="1"/>
  <c r="F275" i="5"/>
  <c r="F273" i="5" s="1"/>
  <c r="F245" i="5"/>
  <c r="F243" i="5" s="1"/>
  <c r="H243" i="5" s="1"/>
  <c r="F242" i="5"/>
  <c r="F240" i="5" s="1"/>
  <c r="H240" i="5" s="1"/>
  <c r="F236" i="5" l="1"/>
  <c r="F248" i="5"/>
  <c r="F246" i="5" s="1"/>
  <c r="H246" i="5" s="1"/>
  <c r="H276" i="5"/>
  <c r="K273" i="5"/>
  <c r="H273" i="5"/>
  <c r="F259" i="5"/>
  <c r="F252" i="5" s="1"/>
  <c r="H252" i="5" s="1"/>
  <c r="F251" i="5"/>
  <c r="F249" i="5" s="1"/>
  <c r="H249" i="5" s="1"/>
  <c r="F230" i="5"/>
  <c r="F228" i="5" s="1"/>
  <c r="H228" i="5" s="1"/>
  <c r="F227" i="5" l="1"/>
  <c r="F225" i="5" s="1"/>
  <c r="H225" i="5" s="1"/>
  <c r="F272" i="5" l="1"/>
  <c r="F270" i="5" s="1"/>
  <c r="K270" i="5" s="1"/>
  <c r="F269" i="5"/>
  <c r="F266" i="5"/>
  <c r="F264" i="5" s="1"/>
  <c r="K264" i="5" s="1"/>
  <c r="F284" i="5"/>
  <c r="F282" i="5" s="1"/>
  <c r="K282" i="5" s="1"/>
  <c r="F281" i="5"/>
  <c r="F279" i="5" s="1"/>
  <c r="F263" i="5" l="1"/>
  <c r="F261" i="5" s="1"/>
  <c r="H261" i="5" s="1"/>
  <c r="H270" i="5"/>
  <c r="H264" i="5"/>
  <c r="H282" i="5"/>
  <c r="H279" i="5"/>
  <c r="K261" i="5" l="1"/>
  <c r="F221" i="5" l="1"/>
  <c r="F219" i="5" s="1"/>
  <c r="H219" i="5" s="1"/>
  <c r="F218" i="5"/>
  <c r="L10" i="10" l="1"/>
  <c r="F84" i="5"/>
  <c r="F87" i="5"/>
  <c r="F85" i="5"/>
  <c r="K85" i="5" s="1"/>
  <c r="F82" i="5"/>
  <c r="K82" i="5" s="1"/>
  <c r="F328" i="5"/>
  <c r="F325" i="5" s="1"/>
  <c r="K325" i="5" s="1"/>
  <c r="H324" i="5"/>
  <c r="F321" i="5"/>
  <c r="F317" i="5" s="1"/>
  <c r="H317" i="5" s="1"/>
  <c r="H323" i="5"/>
  <c r="H322" i="5"/>
  <c r="F313" i="5"/>
  <c r="F311" i="5" s="1"/>
  <c r="F352" i="5"/>
  <c r="F350" i="5" s="1"/>
  <c r="K350" i="5" s="1"/>
  <c r="F349" i="5"/>
  <c r="F347" i="5" s="1"/>
  <c r="K347" i="5" s="1"/>
  <c r="H345" i="5"/>
  <c r="H344" i="5"/>
  <c r="H343" i="5"/>
  <c r="F340" i="5"/>
  <c r="F333" i="5" s="1"/>
  <c r="H342" i="5"/>
  <c r="H341" i="5"/>
  <c r="F297" i="5"/>
  <c r="F295" i="5" s="1"/>
  <c r="K295" i="5" s="1"/>
  <c r="F289" i="5"/>
  <c r="M19" i="10" l="1"/>
  <c r="M24" i="10" s="1"/>
  <c r="M25" i="10" s="1"/>
  <c r="H85" i="5"/>
  <c r="H82" i="5"/>
  <c r="H325" i="5"/>
  <c r="H311" i="5"/>
  <c r="H310" i="5" s="1"/>
  <c r="K317" i="5"/>
  <c r="H350" i="5"/>
  <c r="H347" i="5"/>
  <c r="H333" i="5"/>
  <c r="H289" i="5"/>
  <c r="H295" i="5"/>
  <c r="F116" i="5" l="1"/>
  <c r="F114" i="5" s="1"/>
  <c r="F112" i="5" l="1"/>
  <c r="F110" i="5" s="1"/>
  <c r="H110" i="5" s="1"/>
  <c r="F109" i="5"/>
  <c r="F107" i="5" s="1"/>
  <c r="H107" i="5" s="1"/>
  <c r="K114" i="5"/>
  <c r="H114" i="5"/>
  <c r="K110" i="5" l="1"/>
  <c r="K107" i="5"/>
  <c r="F113" i="5"/>
  <c r="K113" i="5" s="1"/>
  <c r="H113" i="5" l="1"/>
  <c r="H97" i="5" s="1"/>
  <c r="F96" i="5" l="1"/>
  <c r="F94" i="5" s="1"/>
  <c r="K94" i="5" s="1"/>
  <c r="F75" i="5"/>
  <c r="H94" i="5" l="1"/>
  <c r="F33" i="5" l="1"/>
  <c r="F40" i="5"/>
  <c r="F38" i="5" s="1"/>
  <c r="H38" i="5" s="1"/>
  <c r="K38" i="5" l="1"/>
  <c r="F36" i="5" l="1"/>
  <c r="F34" i="5" s="1"/>
  <c r="H34" i="5" s="1"/>
  <c r="F31" i="5"/>
  <c r="H31" i="5" s="1"/>
  <c r="F30" i="5"/>
  <c r="F28" i="5" s="1"/>
  <c r="H28" i="5" s="1"/>
  <c r="F24" i="5"/>
  <c r="F22" i="5" s="1"/>
  <c r="H22" i="5" s="1"/>
  <c r="F18" i="5"/>
  <c r="F16" i="5" s="1"/>
  <c r="H16" i="5" s="1"/>
  <c r="A16" i="5"/>
  <c r="A19" i="5" s="1"/>
  <c r="A22" i="5" s="1"/>
  <c r="A25" i="5" s="1"/>
  <c r="A28" i="5" s="1"/>
  <c r="A31" i="5" s="1"/>
  <c r="A34" i="5" s="1"/>
  <c r="A38" i="5" s="1"/>
  <c r="A41" i="5" s="1"/>
  <c r="F15" i="5" l="1"/>
  <c r="F11" i="5" s="1"/>
  <c r="H11" i="5" s="1"/>
  <c r="F21" i="5"/>
  <c r="F19" i="5" s="1"/>
  <c r="H19" i="5" s="1"/>
  <c r="F27" i="5"/>
  <c r="F25" i="5" s="1"/>
  <c r="H25" i="5" s="1"/>
  <c r="H10" i="5" l="1"/>
  <c r="F50" i="5"/>
  <c r="F48" i="5" s="1"/>
  <c r="K48" i="5" s="1"/>
  <c r="F60" i="5"/>
  <c r="F58" i="5" s="1"/>
  <c r="F43" i="5" l="1"/>
  <c r="F41" i="5" s="1"/>
  <c r="F53" i="5"/>
  <c r="F51" i="5" s="1"/>
  <c r="K51" i="5" s="1"/>
  <c r="F56" i="5"/>
  <c r="F54" i="5" s="1"/>
  <c r="K54" i="5" s="1"/>
  <c r="K58" i="5"/>
  <c r="H58" i="5"/>
  <c r="F46" i="5"/>
  <c r="F44" i="5" s="1"/>
  <c r="K44" i="5" s="1"/>
  <c r="H48" i="5"/>
  <c r="H51" i="5" l="1"/>
  <c r="H54" i="5"/>
  <c r="F57" i="5"/>
  <c r="K57" i="5" s="1"/>
  <c r="H41" i="5"/>
  <c r="K41" i="5"/>
  <c r="H44" i="5"/>
  <c r="F47" i="5"/>
  <c r="H47" i="5" l="1"/>
  <c r="K47" i="5"/>
  <c r="H57" i="5"/>
  <c r="K19" i="10" l="1"/>
  <c r="L19" i="10"/>
  <c r="L24" i="10" l="1"/>
  <c r="L25" i="10" s="1"/>
  <c r="H19" i="10" l="1"/>
  <c r="H24" i="10" s="1"/>
  <c r="G19" i="10"/>
  <c r="G24" i="10" s="1"/>
  <c r="K24" i="10"/>
  <c r="T24" i="10"/>
  <c r="R24" i="10"/>
  <c r="C19" i="10"/>
  <c r="H25" i="10" l="1"/>
  <c r="Q24" i="10"/>
  <c r="U24" i="10"/>
  <c r="P24" i="10"/>
  <c r="S24" i="10"/>
  <c r="F143" i="5"/>
  <c r="F149" i="5" s="1"/>
  <c r="F151" i="5" l="1"/>
  <c r="F148" i="5" s="1"/>
  <c r="H148" i="5" s="1"/>
  <c r="K25" i="10"/>
  <c r="G25" i="10"/>
  <c r="R25" i="10"/>
  <c r="T25" i="10"/>
  <c r="H143" i="5"/>
  <c r="F155" i="5"/>
  <c r="K155" i="5" s="1"/>
  <c r="H155" i="5" l="1"/>
  <c r="Q25" i="10"/>
  <c r="S25" i="10"/>
  <c r="P25" i="10"/>
  <c r="U25" i="10"/>
  <c r="F224" i="5"/>
  <c r="F222" i="5" s="1"/>
  <c r="H222" i="5" s="1"/>
  <c r="F216" i="5"/>
  <c r="H216" i="5" s="1"/>
  <c r="H212" i="5" s="1"/>
  <c r="F267" i="5" l="1"/>
  <c r="F232" i="5"/>
  <c r="F239" i="5"/>
  <c r="F237" i="5" s="1"/>
  <c r="K267" i="5" l="1"/>
  <c r="H267" i="5"/>
  <c r="H260" i="5" s="1"/>
  <c r="H237" i="5"/>
  <c r="H232" i="5"/>
  <c r="H231" i="5" l="1"/>
  <c r="F377" i="5"/>
  <c r="F332" i="5" l="1"/>
  <c r="F330" i="5" s="1"/>
  <c r="F64" i="5" l="1"/>
  <c r="H64" i="5" l="1"/>
  <c r="H37" i="5" s="1"/>
  <c r="F309" i="5"/>
  <c r="F307" i="5" s="1"/>
  <c r="K307" i="5" s="1"/>
  <c r="H307" i="5" l="1"/>
  <c r="F306" i="5"/>
  <c r="F304" i="5" l="1"/>
  <c r="K304" i="5" s="1"/>
  <c r="F288" i="5"/>
  <c r="F286" i="5" s="1"/>
  <c r="K286" i="5" l="1"/>
  <c r="H304" i="5"/>
  <c r="H303" i="5" s="1"/>
  <c r="H286" i="5"/>
  <c r="H285" i="5" s="1"/>
  <c r="A44" i="5" l="1"/>
  <c r="A47" i="5" s="1"/>
  <c r="A48" i="5" s="1"/>
  <c r="F78" i="5"/>
  <c r="F76" i="5" s="1"/>
  <c r="K76" i="5" s="1"/>
  <c r="F79" i="5"/>
  <c r="K79" i="5" s="1"/>
  <c r="F164" i="5"/>
  <c r="K164" i="5" s="1"/>
  <c r="H377" i="5"/>
  <c r="H372" i="5" s="1"/>
  <c r="F81" i="5"/>
  <c r="A51" i="5" l="1"/>
  <c r="A54" i="5" s="1"/>
  <c r="A57" i="5" s="1"/>
  <c r="A58" i="5" s="1"/>
  <c r="A61" i="5" s="1"/>
  <c r="A64" i="5" s="1"/>
  <c r="H76" i="5"/>
  <c r="F71" i="5"/>
  <c r="K71" i="5" s="1"/>
  <c r="F136" i="5"/>
  <c r="F134" i="5" s="1"/>
  <c r="K134" i="5" s="1"/>
  <c r="H79" i="5"/>
  <c r="H330" i="5"/>
  <c r="H329" i="5" s="1"/>
  <c r="K330" i="5"/>
  <c r="H164" i="5"/>
  <c r="H211" i="5" l="1"/>
  <c r="K210" i="5"/>
  <c r="F132" i="5"/>
  <c r="F133" i="5" s="1"/>
  <c r="A71" i="5"/>
  <c r="H71" i="5"/>
  <c r="H70" i="5" s="1"/>
  <c r="H134" i="5"/>
  <c r="F131" i="5" l="1"/>
  <c r="H131" i="5" s="1"/>
  <c r="H130" i="5" s="1"/>
  <c r="A76" i="5"/>
  <c r="A79" i="5" s="1"/>
  <c r="A82" i="5" s="1"/>
  <c r="A85" i="5" s="1"/>
  <c r="A88" i="5" s="1"/>
  <c r="A91" i="5" s="1"/>
  <c r="A94" i="5" s="1"/>
  <c r="A98" i="5" s="1"/>
  <c r="A101" i="5" s="1"/>
  <c r="A104" i="5" s="1"/>
  <c r="A107" i="5" s="1"/>
  <c r="A110" i="5" l="1"/>
  <c r="A113" i="5" s="1"/>
  <c r="A114" i="5" s="1"/>
  <c r="A118" i="5" s="1"/>
  <c r="A121" i="5" s="1"/>
  <c r="A124" i="5" s="1"/>
  <c r="A127" i="5" l="1"/>
  <c r="A131" i="5" s="1"/>
  <c r="A134" i="5" s="1"/>
  <c r="A137" i="5" s="1"/>
  <c r="A140" i="5" s="1"/>
  <c r="A143" i="5" s="1"/>
  <c r="A148" i="5" s="1"/>
  <c r="A152" i="5" s="1"/>
  <c r="A155" i="5" s="1"/>
  <c r="A159" i="5" s="1"/>
  <c r="A164" i="5" s="1"/>
  <c r="A168" i="5" l="1"/>
  <c r="A172" i="5" s="1"/>
  <c r="A175" i="5" s="1"/>
  <c r="A180" i="5" s="1"/>
  <c r="A181" i="5" s="1"/>
  <c r="A183" i="5" s="1"/>
  <c r="A186" i="5" s="1"/>
  <c r="A189" i="5" l="1"/>
  <c r="A192" i="5" s="1"/>
  <c r="A193" i="5" s="1"/>
  <c r="A196" i="5" l="1"/>
  <c r="A199" i="5" s="1"/>
  <c r="A203" i="5" s="1"/>
  <c r="A206" i="5" s="1"/>
  <c r="A210" i="5" s="1"/>
  <c r="A213" i="5" s="1"/>
  <c r="A216" i="5" s="1"/>
  <c r="A219" i="5" s="1"/>
  <c r="A222" i="5" s="1"/>
  <c r="A225" i="5" l="1"/>
  <c r="A228" i="5" s="1"/>
  <c r="A232" i="5" s="1"/>
  <c r="A237" i="5" s="1"/>
  <c r="A240" i="5" l="1"/>
  <c r="A243" i="5" s="1"/>
  <c r="A246" i="5" s="1"/>
  <c r="A249" i="5" s="1"/>
  <c r="F210" i="5"/>
  <c r="H210" i="5" s="1"/>
  <c r="H209" i="5" l="1"/>
  <c r="H9" i="5" s="1"/>
  <c r="A252" i="5"/>
  <c r="A261" i="5" s="1"/>
  <c r="A264" i="5" s="1"/>
  <c r="A267" i="5" s="1"/>
  <c r="A270" i="5" s="1"/>
  <c r="A273" i="5" s="1"/>
  <c r="H389" i="5" l="1"/>
  <c r="C12" i="11" s="1"/>
  <c r="A276" i="5"/>
  <c r="D12" i="11" l="1"/>
  <c r="E12" i="11" s="1"/>
  <c r="C11" i="11"/>
  <c r="A279" i="5"/>
  <c r="A282" i="5" s="1"/>
  <c r="A286" i="5" s="1"/>
  <c r="A289" i="5" s="1"/>
  <c r="A295" i="5" s="1"/>
  <c r="A299" i="5" s="1"/>
  <c r="A304" i="5" s="1"/>
  <c r="A307" i="5" s="1"/>
  <c r="C35" i="11" l="1"/>
  <c r="C10" i="11"/>
  <c r="D11" i="11"/>
  <c r="E11" i="11" s="1"/>
  <c r="A311" i="5"/>
  <c r="A314" i="5" s="1"/>
  <c r="A317" i="5" s="1"/>
  <c r="A322" i="5" s="1"/>
  <c r="A323" i="5" s="1"/>
  <c r="A324" i="5" s="1"/>
  <c r="D10" i="11" l="1"/>
  <c r="E10" i="11" s="1"/>
  <c r="E44" i="12"/>
  <c r="C9" i="11"/>
  <c r="R43" i="12"/>
  <c r="R44" i="12" s="1"/>
  <c r="D35" i="11"/>
  <c r="E35" i="11" s="1"/>
  <c r="A325" i="5"/>
  <c r="A330" i="5" s="1"/>
  <c r="A333" i="5" s="1"/>
  <c r="A341" i="5" s="1"/>
  <c r="A342" i="5" s="1"/>
  <c r="A343" i="5" s="1"/>
  <c r="A344" i="5" s="1"/>
  <c r="A345" i="5" s="1"/>
  <c r="C37" i="11" l="1"/>
  <c r="D9" i="11"/>
  <c r="D37" i="11" s="1"/>
  <c r="R47" i="12"/>
  <c r="A347" i="5"/>
  <c r="A350" i="5" s="1"/>
  <c r="R48" i="12" l="1"/>
  <c r="R50" i="12" s="1"/>
  <c r="O48" i="12"/>
  <c r="E9" i="11"/>
  <c r="E37" i="11" s="1"/>
  <c r="A353" i="5"/>
  <c r="A356" i="5" l="1"/>
  <c r="A358" i="5" s="1"/>
  <c r="A360" i="5" s="1"/>
  <c r="A364" i="5" s="1"/>
  <c r="A367" i="5" s="1"/>
  <c r="A370" i="5" s="1"/>
  <c r="A373" i="5" s="1"/>
  <c r="A377" i="5" s="1"/>
  <c r="A382" i="5" s="1"/>
</calcChain>
</file>

<file path=xl/sharedStrings.xml><?xml version="1.0" encoding="utf-8"?>
<sst xmlns="http://schemas.openxmlformats.org/spreadsheetml/2006/main" count="11436" uniqueCount="2733">
  <si>
    <t xml:space="preserve">JKSO: </t>
  </si>
  <si>
    <t>Časť:</t>
  </si>
  <si>
    <t xml:space="preserve">Dátum: </t>
  </si>
  <si>
    <t>P.Č.</t>
  </si>
  <si>
    <t>KCN</t>
  </si>
  <si>
    <t>Kód položky</t>
  </si>
  <si>
    <t>Skrátený popis</t>
  </si>
  <si>
    <t>MJ</t>
  </si>
  <si>
    <t>Výmera</t>
  </si>
  <si>
    <t>Cena jednotková</t>
  </si>
  <si>
    <t>Cena celkom</t>
  </si>
  <si>
    <t>Práce a dodávky HSV</t>
  </si>
  <si>
    <t>m3</t>
  </si>
  <si>
    <t>m2</t>
  </si>
  <si>
    <t>m</t>
  </si>
  <si>
    <t>t</t>
  </si>
  <si>
    <t>Zakladanie</t>
  </si>
  <si>
    <t>Zvislé a kompletné konštrukcie</t>
  </si>
  <si>
    <t>Vodorovné konštrukcie</t>
  </si>
  <si>
    <t>ks</t>
  </si>
  <si>
    <t>kg</t>
  </si>
  <si>
    <t>Úprava povrchov</t>
  </si>
  <si>
    <t>HSV</t>
  </si>
  <si>
    <t>Celkom:</t>
  </si>
  <si>
    <t>PSV</t>
  </si>
  <si>
    <t>Práce a dodávky PSV</t>
  </si>
  <si>
    <t>Súčet:</t>
  </si>
  <si>
    <t>Presun hmôt</t>
  </si>
  <si>
    <t>Ostatné konštrukcie</t>
  </si>
  <si>
    <t>K</t>
  </si>
  <si>
    <t>Zemné práce</t>
  </si>
  <si>
    <t>171209002</t>
  </si>
  <si>
    <t>Poplatok za skladovanie - zemina a kamenivo (17 05) ostatné</t>
  </si>
  <si>
    <t>413351107</t>
  </si>
  <si>
    <t>413351108</t>
  </si>
  <si>
    <t>784452271</t>
  </si>
  <si>
    <t>Dokončovacie práce - maľby</t>
  </si>
  <si>
    <t>711471051</t>
  </si>
  <si>
    <t>Zhotovenie izolácie proti tlakovej vode PVC fóliou položenou voľne na vodorovnej ploche so zvarením spoju</t>
  </si>
  <si>
    <t>Hydroizolačná fólia záťažová Hydrobit V60S35</t>
  </si>
  <si>
    <t>011</t>
  </si>
  <si>
    <t>998011001</t>
  </si>
  <si>
    <t>Presun hmôt pre budovy JKSO 801, 803,812,zvislá konštr.z tehál,tvárnic,z kovu výšky do 6 m</t>
  </si>
  <si>
    <t>Konštrukcie tesárske</t>
  </si>
  <si>
    <t>762</t>
  </si>
  <si>
    <t>MAT</t>
  </si>
  <si>
    <t>SO</t>
  </si>
  <si>
    <t>Konštrukcie stolárske</t>
  </si>
  <si>
    <t>Podlahy z dlaždíc</t>
  </si>
  <si>
    <t>Hydroizolačná stierka podláh hr. 1 mm</t>
  </si>
  <si>
    <t>Tepelné izolácie</t>
  </si>
  <si>
    <t xml:space="preserve">Výkop nezapaženej jamy v hornine 3, do 100 m3   </t>
  </si>
  <si>
    <t>Komunikácie</t>
  </si>
  <si>
    <t>713132206</t>
  </si>
  <si>
    <t>Montáž tepelnej izolácie podzemných stien a základov polystyrénom</t>
  </si>
  <si>
    <t>2837650240</t>
  </si>
  <si>
    <t>Extrudovaný polystyrén (Styrodur 3035 CS) hrúbka 50 mm</t>
  </si>
  <si>
    <t>Zhotovenie izolácie proti tlakovej vode PVC fóliou položenou voľne na zvislej ploche so zvarením spoju</t>
  </si>
  <si>
    <t>Izolácie striech</t>
  </si>
  <si>
    <t>712841559</t>
  </si>
  <si>
    <t>Zhotovenie povlakovej krytiny striech - parozábrana, vytiahnutím izolačného povlaku pásmi pritavením NAIP</t>
  </si>
  <si>
    <t>6283228500</t>
  </si>
  <si>
    <t>712990040</t>
  </si>
  <si>
    <t>6936651300</t>
  </si>
  <si>
    <t>2833000150</t>
  </si>
  <si>
    <t>Objekt:</t>
  </si>
  <si>
    <t>1.NP</t>
  </si>
  <si>
    <t>skladba P1</t>
  </si>
  <si>
    <t>274351215</t>
  </si>
  <si>
    <t>Debnenie stien základových pásov, zhotovenie-dielce</t>
  </si>
  <si>
    <t>274351216</t>
  </si>
  <si>
    <t>Debnenie stien základových pásov, odstránenie-dielce</t>
  </si>
  <si>
    <t>odhad</t>
  </si>
  <si>
    <t>411361821</t>
  </si>
  <si>
    <t>413361821</t>
  </si>
  <si>
    <t>181101102</t>
  </si>
  <si>
    <t>Kovové konštrukcie</t>
  </si>
  <si>
    <t xml:space="preserve">Stavba:   </t>
  </si>
  <si>
    <t>Vyčistenie budov pri výške podlaží do 4m</t>
  </si>
  <si>
    <t>dtto omietka vnútorných stien</t>
  </si>
  <si>
    <t>Nátery</t>
  </si>
  <si>
    <t>Klampiarske konštrukcie</t>
  </si>
  <si>
    <t>M+D kovové konštrukcie vr.povrchovej úpravy</t>
  </si>
  <si>
    <t>M</t>
  </si>
  <si>
    <t>SPOLU</t>
  </si>
  <si>
    <t>KS</t>
  </si>
  <si>
    <t>P1</t>
  </si>
  <si>
    <t>STENY - NOVÉ PRÁCE</t>
  </si>
  <si>
    <t>PODLAHA - NOVÉ PRÁCE</t>
  </si>
  <si>
    <t>1700x1300+800x350 MM</t>
  </si>
  <si>
    <t>1100x1300 mm</t>
  </si>
  <si>
    <t>3000x3800 mm</t>
  </si>
  <si>
    <t>7395x3460 mm</t>
  </si>
  <si>
    <t>SPOLU 1.NP</t>
  </si>
  <si>
    <t>UPRATOVAČKA</t>
  </si>
  <si>
    <t>1.09</t>
  </si>
  <si>
    <t>1.08</t>
  </si>
  <si>
    <t>1.07</t>
  </si>
  <si>
    <t>1.06</t>
  </si>
  <si>
    <t>1.05</t>
  </si>
  <si>
    <t>1.04</t>
  </si>
  <si>
    <t>1.03</t>
  </si>
  <si>
    <t>1.02</t>
  </si>
  <si>
    <t>1.01</t>
  </si>
  <si>
    <t>1.NADZEMNÉ PODLAŽIE - NOVÝ STAV</t>
  </si>
  <si>
    <t>CHODBA</t>
  </si>
  <si>
    <t>POZNÁMKA</t>
  </si>
  <si>
    <t>STROP - NOVÉ PRÁCE</t>
  </si>
  <si>
    <t>PLOCHA</t>
  </si>
  <si>
    <t>ÚČEL</t>
  </si>
  <si>
    <t>MAĽBA</t>
  </si>
  <si>
    <t>KERAM. OBKLAD</t>
  </si>
  <si>
    <t>OZNAČ.</t>
  </si>
  <si>
    <t>KERAMICKÁ DLAŽBA</t>
  </si>
  <si>
    <t>VV - legenda miestností</t>
  </si>
  <si>
    <t>Architektonicko-stavebné riešenie</t>
  </si>
  <si>
    <t>VÝŠKA</t>
  </si>
  <si>
    <t>MVC</t>
  </si>
  <si>
    <t>INTER. OMIETKA</t>
  </si>
  <si>
    <t>274361821</t>
  </si>
  <si>
    <t>Výstuž základových pásov z ocele 10505</t>
  </si>
  <si>
    <t>Debnenie základovej dosky - zhotovenie</t>
  </si>
  <si>
    <t>Debnenie základovej dosky - odstránenie</t>
  </si>
  <si>
    <t>273362441</t>
  </si>
  <si>
    <t>Výstuž základových dosiek zo zvár. sietí KARI, priemer drôtu 8/8 mm, veľkosť oka 100x100 mm</t>
  </si>
  <si>
    <t>Betón základových dosiek, železový (bez výstuže), tr. C 25/30</t>
  </si>
  <si>
    <t>MVC       OMIETKA</t>
  </si>
  <si>
    <t>5a</t>
  </si>
  <si>
    <t>5b</t>
  </si>
  <si>
    <t>5c</t>
  </si>
  <si>
    <t>5d</t>
  </si>
  <si>
    <t>6a</t>
  </si>
  <si>
    <t>6b</t>
  </si>
  <si>
    <t>6c</t>
  </si>
  <si>
    <t>6d</t>
  </si>
  <si>
    <t>7a</t>
  </si>
  <si>
    <t>7b</t>
  </si>
  <si>
    <t>7c</t>
  </si>
  <si>
    <t>7d</t>
  </si>
  <si>
    <t>7e</t>
  </si>
  <si>
    <t>7f</t>
  </si>
  <si>
    <t>7g</t>
  </si>
  <si>
    <t>7h</t>
  </si>
  <si>
    <t>Vodorovné premiestnenie výkopku za sucha pre všetky druhy dopravných prostriedkov bez naloženia výkopku so zložením bez rozhrnutia z horniny 1-4 na vzdialenosť nad 20 do 50 m</t>
  </si>
  <si>
    <t>Vodorovné premiestnenie výkopku po spevnenej ceste z horniny tr.1-4, nad 100 do 1000 m3 na vzdialenosť do 3000 m</t>
  </si>
  <si>
    <t>Vodorovné premiestnenie výkopku po spevnenej ceste z horniny tr.1-4, do 100 m3, príplatok k cene za každých ďalšich a začatých 1000 m</t>
  </si>
  <si>
    <t>Zásyp sypaninou so zhutnením jám, šachiet, rýh, zárezov alebo okolo objektov do 100 m3</t>
  </si>
  <si>
    <t>Úprava pláne v zárezoch v hornine 1-4 so zhutnením</t>
  </si>
  <si>
    <t>413321616</t>
  </si>
  <si>
    <t xml:space="preserve">Výstuž  nosníkov a trámov, bez rozdielu tvaru a uloženia, 10505   </t>
  </si>
  <si>
    <t>Betón nosníkov, vencov, prekladov, železový tr. C 25/30</t>
  </si>
  <si>
    <t xml:space="preserve">Debnenie nosníka, venca, prekladu zhotovenie-dielce   </t>
  </si>
  <si>
    <t xml:space="preserve">Debnenie nosníka, venca, prekladu odstránenie-dielce   </t>
  </si>
  <si>
    <t>D1</t>
  </si>
  <si>
    <t>766661132</t>
  </si>
  <si>
    <t>Montáž dverového krídla kompletiz.otváravého do oceľovej alebo fošňovej zárubne, dvojkrídlové</t>
  </si>
  <si>
    <t>M+D parapetná doska plastová š.240 mm</t>
  </si>
  <si>
    <t>D2</t>
  </si>
  <si>
    <t>D3</t>
  </si>
  <si>
    <t>Extrudovaný polystyrén - XPS hrúbka 50 mm</t>
  </si>
  <si>
    <t>713144080</t>
  </si>
  <si>
    <t>Montáž tepelnej izolácie na atiku z XPS do lepidla</t>
  </si>
  <si>
    <t>6288002160</t>
  </si>
  <si>
    <t>Zhotovenie izolácie stien z nopovej fólie</t>
  </si>
  <si>
    <t>Profilované fólie - napr. DELTA-FLORAXX TOP hr.20 mm</t>
  </si>
  <si>
    <t>712370050</t>
  </si>
  <si>
    <t>Zhotovenie povlakovej krytiny striech plochých do 10°PVC-P fóliou položenou voľne so zvarením spoju</t>
  </si>
  <si>
    <t>FATRAFOL 810-UV hydroizolačná fólia hr.1,50 mm, š.1,3m šedá</t>
  </si>
  <si>
    <t>713146410</t>
  </si>
  <si>
    <t xml:space="preserve">Položenie geotextílie vodorovne alebo zvislo na strechy ploché do 10° </t>
  </si>
  <si>
    <t>Geotextília netkaná polypropylénová Tatratex PP 300</t>
  </si>
  <si>
    <t>Montáž tepelnej izolácie striech plochých do 10° polystyrénom EPS</t>
  </si>
  <si>
    <t>Osadenie záhonového alebo parkového obrubníka betón., do lôžka z bet. pros. tr. C 16/20 s bočnou oporou</t>
  </si>
  <si>
    <t>Záhonový obrubník</t>
  </si>
  <si>
    <t>HYDROIZOL. NÁTER</t>
  </si>
  <si>
    <t>Montáž vonkajšie hliníkové okno vr.hliníkového rámu</t>
  </si>
  <si>
    <t>Vonkajšia omietka stien tenkovrstvová silikónová, (napr.Baumit SilikonTop - ryhovaná štruktúra) hr.1,5 mm</t>
  </si>
  <si>
    <t>Príprava vonkajšieho podkladu stien BAUMIT, penetračný náter Baumit BetonKontakt</t>
  </si>
  <si>
    <t>612465115</t>
  </si>
  <si>
    <t>Príprava vnútorného podkladu stien, penetračný náter BetonKontakt</t>
  </si>
  <si>
    <t>Príprava vnútorného podkladu stropov BAUMIT, penetračný náter Baumit BetonKontakt</t>
  </si>
  <si>
    <t>dtto omietka vnútorných stropov</t>
  </si>
  <si>
    <t>Vnútorná omietka stien BAUMIT, vápennocementová, strojné nanášanie, MPI 25, hr. 10 mm</t>
  </si>
  <si>
    <t>6e</t>
  </si>
  <si>
    <t>KO</t>
  </si>
  <si>
    <t>HIN</t>
  </si>
  <si>
    <t>STENY</t>
  </si>
  <si>
    <t>STROPY</t>
  </si>
  <si>
    <t>766411132</t>
  </si>
  <si>
    <t>6119166511</t>
  </si>
  <si>
    <t>Dokončovacie práce a obklady</t>
  </si>
  <si>
    <t>781445012</t>
  </si>
  <si>
    <t>Montáž obkladov vnútor. stien z obkladačiek kladených do tmelu , vrátane lištovania a špárovania</t>
  </si>
  <si>
    <t>5976389000</t>
  </si>
  <si>
    <t>Obkladačky keramické - podľa špecifikácie investora</t>
  </si>
  <si>
    <t>Montáž soklíkov z obkladačiek do tmelu</t>
  </si>
  <si>
    <t>771575506</t>
  </si>
  <si>
    <t>Montáž podláh z dlaždíc keramických do tmelu, vrátane lištovania a špárovania</t>
  </si>
  <si>
    <t>59764112005</t>
  </si>
  <si>
    <t>podlaha P1</t>
  </si>
  <si>
    <t xml:space="preserve">Stierková hydroizolácia hr. 2 mm na ploche zvislej   </t>
  </si>
  <si>
    <t>Konštrukcie - drevostavby</t>
  </si>
  <si>
    <t>763120010</t>
  </si>
  <si>
    <t>návrh</t>
  </si>
  <si>
    <t>Sadrokartónová inštalačná predstena hr. 50 mm opláštená doskami RB 12.5 mm, na kovovej podkonštrukcii R-CW 50</t>
  </si>
  <si>
    <t>941955003</t>
  </si>
  <si>
    <t>Lešenie ľahké pracovné pomocné s výškou lešeňovej podlahy nad 1,90 do 2,50 m</t>
  </si>
  <si>
    <t>ZŠ s MŠ SUT - rekonštrukcia areálu</t>
  </si>
  <si>
    <t>SPRÁVCA AREÁLU</t>
  </si>
  <si>
    <t>PREDSIEŇ WC ŽENY</t>
  </si>
  <si>
    <t>WC ŽENY</t>
  </si>
  <si>
    <t>PREDSIEŇ WC MUŽI</t>
  </si>
  <si>
    <t>WC MUŽI</t>
  </si>
  <si>
    <t>WC PRE IMOBILNÝCH</t>
  </si>
  <si>
    <t>SKLAD ŠPORT.POTRIEB</t>
  </si>
  <si>
    <r>
      <t xml:space="preserve">Stavba: </t>
    </r>
    <r>
      <rPr>
        <b/>
        <sz val="11"/>
        <color theme="1"/>
        <rFont val="Arial CE"/>
        <family val="2"/>
        <charset val="238"/>
      </rPr>
      <t>ZŠ s MŠ SUT - rekonštrukcia areálu</t>
    </r>
  </si>
  <si>
    <r>
      <t xml:space="preserve">Objekt: </t>
    </r>
    <r>
      <rPr>
        <b/>
        <sz val="11"/>
        <color theme="1"/>
        <rFont val="Arial CE"/>
        <family val="2"/>
        <charset val="238"/>
      </rPr>
      <t>SO 01 Objekt pre správcu</t>
    </r>
  </si>
  <si>
    <t>keramická dlažba</t>
  </si>
  <si>
    <t>R1</t>
  </si>
  <si>
    <t>PODLAHA</t>
  </si>
  <si>
    <t>STROP</t>
  </si>
  <si>
    <t>PN</t>
  </si>
  <si>
    <t>PENETRAČNÝ NÁTER</t>
  </si>
  <si>
    <t>omietka</t>
  </si>
  <si>
    <t>U2</t>
  </si>
  <si>
    <t>U1,U2,U3</t>
  </si>
  <si>
    <t>U1,U2</t>
  </si>
  <si>
    <t>KO = 2000 mm</t>
  </si>
  <si>
    <t>KS = 100 mm</t>
  </si>
  <si>
    <t xml:space="preserve">43,60 m - viď legenda miestností </t>
  </si>
  <si>
    <t>67,74 m2 - viď legenda miestností</t>
  </si>
  <si>
    <t>Keramická dlažba protišmyková hr.9 mm - podľa špecifikácie investora</t>
  </si>
  <si>
    <t>čistenie plôch 1.NP - 67,74 m2</t>
  </si>
  <si>
    <t>Izolácie proti vode a zemnej vlhkosti</t>
  </si>
  <si>
    <t>67,74 m2</t>
  </si>
  <si>
    <t>67,74 m2 x 0,07 m</t>
  </si>
  <si>
    <t>Mazanina z betónu prostého (m3) tr. C 16/20 hr.do 80 mm</t>
  </si>
  <si>
    <t>Penetračný náter podláh</t>
  </si>
  <si>
    <t>Samonivelačný poter hr.17 mm</t>
  </si>
  <si>
    <t>KER.SOKEL      v=65 mm</t>
  </si>
  <si>
    <t>(67,74+43,60*0,065)x1,05 m2</t>
  </si>
  <si>
    <t>Penetračný náter stien a stropov</t>
  </si>
  <si>
    <t>67,74 m2 - náter stropu - viď legenda miestností</t>
  </si>
  <si>
    <t>258,46 m2 - náter steny - viď legenda miestností</t>
  </si>
  <si>
    <t>165,39 m2 - viď legenda miestností "maľba"</t>
  </si>
  <si>
    <t>93,07 m2 - viď legenda miestností</t>
  </si>
  <si>
    <t>93,071,05</t>
  </si>
  <si>
    <t>45,73 m2 - viď legenda miestností</t>
  </si>
  <si>
    <t>Vnútorná omietka stropov tenkovrstvová BAUMIT MVR UNI, hr. 10 mm</t>
  </si>
  <si>
    <t>258,46 m2 - viď legenda miestností</t>
  </si>
  <si>
    <r>
      <t xml:space="preserve">Miesto: </t>
    </r>
    <r>
      <rPr>
        <b/>
        <sz val="10"/>
        <color theme="1"/>
        <rFont val="Arial CE"/>
        <family val="2"/>
        <charset val="238"/>
      </rPr>
      <t>Hlavná 1, 917 71 Trnava</t>
    </r>
  </si>
  <si>
    <t>zákl.pás 600/600 mm: 0,60*0,60*(2*12,10+3*6,10)</t>
  </si>
  <si>
    <t>zákl.pás 600/600 mm: 2*0,60*(2*12,10+3*6,10)</t>
  </si>
  <si>
    <t>odhad 70kg/m3: 15,30 m3 x 70/1000</t>
  </si>
  <si>
    <t>Betón základových pásov, železový (bez výstuže), tr. C 20/25</t>
  </si>
  <si>
    <t>11,80*7,0*0,10</t>
  </si>
  <si>
    <t>2*(11,80+7,0)*0,10</t>
  </si>
  <si>
    <t>7,90kg/m2: 11,80*7,0</t>
  </si>
  <si>
    <t>13,10*8,30*0,30</t>
  </si>
  <si>
    <t>(2*12,50+3*5,70)*0,60*1,0</t>
  </si>
  <si>
    <t>13,10*8,30</t>
  </si>
  <si>
    <t>6,10*(5,40+4,90)*0,15</t>
  </si>
  <si>
    <t>vykopaná zemina pre spätný zásyp: 9,42 m3</t>
  </si>
  <si>
    <t>vykopaná zemina určená na skládku: 57,88-9,42</t>
  </si>
  <si>
    <t>predpoklad ďalších 12 km: 48,46*12</t>
  </si>
  <si>
    <t xml:space="preserve">Uloženie sypaniny na skládky do 100 m3   </t>
  </si>
  <si>
    <t>48,46*1,78</t>
  </si>
  <si>
    <t>Násyp pod základové  konštrukcie so zhutnením z  kameniva hrubého drveného fr.8-24 mm</t>
  </si>
  <si>
    <t>6,40*(5,70+5,20)*0,25-6,10*(5,40+4,90)*0,15</t>
  </si>
  <si>
    <t>zákl.múr hr. 300 mm: 0,30*0,25*(2*11,80+3*6,40)</t>
  </si>
  <si>
    <t>2*(11,80+7,0)*0,35</t>
  </si>
  <si>
    <t>11,80*7,0</t>
  </si>
  <si>
    <t>(82,60+13,16)*1,15</t>
  </si>
  <si>
    <t>2*(11,80+7,0)*0,65</t>
  </si>
  <si>
    <t>24,44*1,15</t>
  </si>
  <si>
    <t>24,44*1,02</t>
  </si>
  <si>
    <t>(1,915+1,83+1,895)*(1,20+0,15)+2*1,83*(1,20+0,21)</t>
  </si>
  <si>
    <t>2*(0,15+0,225)*2,90</t>
  </si>
  <si>
    <t>Montáž obloženia stien dreveným obkladom vonkajší</t>
  </si>
  <si>
    <t>Kontaktný zatepľovací systém stien z polystyrénu hr. 100 mm, bez povrchovej úpravy</t>
  </si>
  <si>
    <t>Murivo základových pásov (m3)  DT30 s betónovou výplňou C 20/25 hr. 300 mm</t>
  </si>
  <si>
    <t>274271303</t>
  </si>
  <si>
    <t>Murivo nosné z presných tvárnic YTONG</t>
  </si>
  <si>
    <t>hr.300 mm</t>
  </si>
  <si>
    <t>(2*(11,80+7,0)*3,25+4,445*3,0)*0,30</t>
  </si>
  <si>
    <t>Priečky z presných tvárnic YTONG hr.125 mm</t>
  </si>
  <si>
    <t>(6,40+1,80+7,30+2*1,83++1,40+2,92+4,0)*3,0-(0,80*2,0+4*0,60*2,0)</t>
  </si>
  <si>
    <t>Keramický preklad YTONG NEP 125x250x1250 mm</t>
  </si>
  <si>
    <t>preklad P1 - 5 ks</t>
  </si>
  <si>
    <t>preklad P2: 1 ks</t>
  </si>
  <si>
    <t>preklad P3: 2 ks</t>
  </si>
  <si>
    <t>preklad P4: 4 ks</t>
  </si>
  <si>
    <t>preklad P5: 3 ks</t>
  </si>
  <si>
    <t>preklad P6: 2 ks</t>
  </si>
  <si>
    <t>Keramický preklad YTONG NOP 300-1250 mm</t>
  </si>
  <si>
    <t>Keramický preklad YTONG NOP 300-1500 mm</t>
  </si>
  <si>
    <t>Keramický preklad YTONG NOP 300-1750 mm</t>
  </si>
  <si>
    <t>Keramický preklad YTONG NOP 300-2250 mm</t>
  </si>
  <si>
    <t>Keramický preklad YTONG PSF 150-3000 mm</t>
  </si>
  <si>
    <t>0,55+7,65+13,10+1,0</t>
  </si>
  <si>
    <t>22,30*1,05</t>
  </si>
  <si>
    <t xml:space="preserve">Podklad alebo podsyp zo štrkopiesku spolu s rozprestretím, vlhčením a zhutnením, hr.150 mm  po zhutnení </t>
  </si>
  <si>
    <t>okapový chodník: 0,50*(7,15+13,10+1,0)</t>
  </si>
  <si>
    <t xml:space="preserve">finálna vrstva z riečneho štrku spolu s rozprestretím a zhutnením, hr.100 mm  po zhutnení </t>
  </si>
  <si>
    <t>D2: 800/1970 mm - 1 ks</t>
  </si>
  <si>
    <t>D4: (1,83+1,30)*2,0</t>
  </si>
  <si>
    <t>M+D deliace montované WC kabíny, HPL dosky hr.30 mm</t>
  </si>
  <si>
    <t>Dvere vnútorné hladké drevené jednokrídlové plné 60x197 cm s poldrážkou do oceľovej zárubne, povrchová úprava CPL laminát, farebné riešenie, zámok s kľučkou, obojstranne dverná kľučka</t>
  </si>
  <si>
    <t>Dvere vnútorné hladké drevené jednokrídlové plné 80x197 cm s poldrážkou do oceľovej zárubne, povrchová úprava CPL laminát, farebné riešenie, zámok s kľučkou, obojstranne dverná kľučka</t>
  </si>
  <si>
    <t>D5: (1,83+1,875)*2,0</t>
  </si>
  <si>
    <t>Osadenie oceľovej dverovej zárubne alebo rámu, plochy otvoru do 2,5 m2</t>
  </si>
  <si>
    <t>553PC01</t>
  </si>
  <si>
    <t>553PC02</t>
  </si>
  <si>
    <t>Zárubňa kovová šxv 600x1970 mm jednodielna zamurovacia</t>
  </si>
  <si>
    <t>Zárubňa kovová šxv 800x1970 mm jednodielna zamurovacia</t>
  </si>
  <si>
    <t>D1: 600/1970 mm - 3 ks</t>
  </si>
  <si>
    <t>D3: 600/1970 mm - 2 ks</t>
  </si>
  <si>
    <t>Montovaný strop z betónových prefabrikátov systém PREMACO (stropné tvárnice a trámy), s podoprením a dobetónovaním medzi vložkami</t>
  </si>
  <si>
    <t>obvodový veniec: 2*2*(11,80+6,40)*0,30*0,25</t>
  </si>
  <si>
    <t>nad 1.NP hr.250 mm: 11,20*6,40</t>
  </si>
  <si>
    <t>odhad 80kg/m3: 5,46 m3 x 80/1000</t>
  </si>
  <si>
    <t>obvodový veniec: 2*2*2*(11,80+6,40)*0,25</t>
  </si>
  <si>
    <t xml:space="preserve"> -odpočet otvorov:  -(2*1,10*2,40+1,80*2,40+2*1,80*1,50+2,40*0,75+4*1,20*0,75+0,60*2,0)*0,30</t>
  </si>
  <si>
    <t>2*(12,0+7,20)*3,50-(2*1,10*2,40+1,80*2,40+2*1,80*1,50+2,40*0,75+4*1,20*0,75)</t>
  </si>
  <si>
    <t>Montáž lešenia fasádneho ľahkého bez podláh pri zaťaženie do 1 kPa, výšky do 4 m</t>
  </si>
  <si>
    <t>2*(12,0+7,20)*3,85</t>
  </si>
  <si>
    <t>dtto lešenie fasádne</t>
  </si>
  <si>
    <t>2*(8,40+13,20)*0,72+2*(13,20+2*(13,16+7,20)*0,58</t>
  </si>
  <si>
    <t>Obloženie dreveným obkladom z hoblovaných dosiek 120/22 mm</t>
  </si>
  <si>
    <t>54,72*0,022*1,04</t>
  </si>
  <si>
    <t>Obloženie atiky z dosiek OSB skrutkovaných na zraz hr. dosky 18 mm</t>
  </si>
  <si>
    <t>2*(13,16+6,30)*1,03</t>
  </si>
  <si>
    <t>Montáž priestorových viazaných konštrukcií z reziva hraneného prierezovej plochy do 120 cm2</t>
  </si>
  <si>
    <t>Hranoly z borovice neopracované hranené akosť I, prierez 25-75 cm2, dĺ. 1000-1750 mm</t>
  </si>
  <si>
    <t>atika: 2*(11,20+6,40)*0,25</t>
  </si>
  <si>
    <t>8,80*1,02</t>
  </si>
  <si>
    <t xml:space="preserve">skladba S1: </t>
  </si>
  <si>
    <t>2*(11,10+6,30)*0,25</t>
  </si>
  <si>
    <t>11,10*6,30+2*(13,20+6,30)*1,05</t>
  </si>
  <si>
    <t>119,60*1,15</t>
  </si>
  <si>
    <t>prvky konzoly:</t>
  </si>
  <si>
    <t>K1.1: 120/35 mm dĺ.670 mm - 72 ks</t>
  </si>
  <si>
    <t>K1.2: 120/35 mm dĺ.420 mm - 36 ks</t>
  </si>
  <si>
    <t>K1.3: 120/35 mm dĺ.940 mm - 36 ks</t>
  </si>
  <si>
    <t>97,20*0,12*0,035*1,02</t>
  </si>
  <si>
    <t>oceľové prvky konzoly: 184 kg</t>
  </si>
  <si>
    <t>Výstuž stropov doskových, trámových, vložkových,konzolových alebo balkónových, 10505</t>
  </si>
  <si>
    <t>411362021</t>
  </si>
  <si>
    <t>Výstuž stropov doskových, trámových, vložkových,konzolových alebo balkónových, zo zváraných sietí KARI</t>
  </si>
  <si>
    <t>454,38/1000</t>
  </si>
  <si>
    <t>530,60/1000</t>
  </si>
  <si>
    <t>AL2: 1800/2400 mm - 1 ks</t>
  </si>
  <si>
    <t>AL1: 1100/2400 mm - 2 ks</t>
  </si>
  <si>
    <t>AL3: 1200/750 mm - 4 ks</t>
  </si>
  <si>
    <t>AL4: 2400/750 mm - 1 ks</t>
  </si>
  <si>
    <t>AL5: 1800/1500 mm - 1 ks</t>
  </si>
  <si>
    <t>AL1</t>
  </si>
  <si>
    <t>AL2</t>
  </si>
  <si>
    <t>AL3</t>
  </si>
  <si>
    <t>AL4</t>
  </si>
  <si>
    <t>AL5</t>
  </si>
  <si>
    <t>Exteriérové hliníkové jednokrídlové dvere 1100/2400 mm plné s prerušeným tepelným mostom, nadsvetlík zasklenie izolačné dvojsklo 6-16-6 mm, max.súčiniteľ prechodu tepla Uw = 1,3 W/(m2.K), sklo číre, povrchová úprava Al profilov - tmavá šedá RAL 7016</t>
  </si>
  <si>
    <t>Exteriérové hliníkové dvojkrídlové dvere 1800/2400 mm plné s prerušeným tepelným mostom, nadsvetlík zasklenie izolačné dvojsklo 6-16-6 mm, max.súčiniteľ prechodu tepla Uw = 1,3 W/(m2.K), sklo číre, povrchová úprava Al profilov - tmavá šedá RAL 7016</t>
  </si>
  <si>
    <t>Exteriérové hliníkové okno 1200/750 mm sklopné s prerušeným tepelným mostom, zasklenie izolačné dvojsklo 6-16-6 mm, max.súčiniteľ prechodu tepla Uw = 1,3 W/(m2.K), sklo číre, povrchová úprava Al profilov - tmavá šedá RAL 7016</t>
  </si>
  <si>
    <t>Exteriérové hliníkové okno 2400/750 mm sklopné s prerušeným tepelným mostom, zasklenie izolačné dvojsklo 6-16-6 mm, max.súčiniteľ prechodu tepla Uw = 1,3 W/(m2.K), sklo číre, povrchová úprava Al profilov - tmavá šedá RAL 7016</t>
  </si>
  <si>
    <t>Exteriérové hliníkové okno 1800/1500 mm v spodnej časti otváravo-sklopné, v hornej časti s pevným zasklením s prerušeným tepelným mostom, zasklenie izolačné dvojsklo 6-16-6 mm, max.súčiniteľ prechodu tepla Uw = 1,3 W/(m2.K), sklo číre, povrchová úprava Al profilov - tmavá šedá RAL 7016</t>
  </si>
  <si>
    <t>M+D nerezové madlo sklopné</t>
  </si>
  <si>
    <t>M+D nerezové madlo pevné</t>
  </si>
  <si>
    <t>O4: dĺ.945 mm - 1 ks</t>
  </si>
  <si>
    <t>O3: madlo dĺ.900 mm - 1 ks</t>
  </si>
  <si>
    <t>D+M oplechovanie parapetnej dosky z poplastovaného plechu š.150 mm</t>
  </si>
  <si>
    <t>D+M oplechovania atiky z poplastovaného plechu rš 250 mm vr.kotviacich prvkov</t>
  </si>
  <si>
    <t>atika: 2*(13,20+8,40)</t>
  </si>
  <si>
    <t>M+D strešná vpusť</t>
  </si>
  <si>
    <t>Fasádny obklad z tehál 210x60x12 mm</t>
  </si>
  <si>
    <t>skladba F2</t>
  </si>
  <si>
    <t>skladba F1</t>
  </si>
  <si>
    <t>dtto skladba F1</t>
  </si>
  <si>
    <t>dtto skladba F2</t>
  </si>
  <si>
    <t>sokel: 2*(11,90+7,10)*0,35-(2*1,10+1,80)*0,35</t>
  </si>
  <si>
    <t>stena: 2,78*6,50-(2*1,10+1,80)*2,05</t>
  </si>
  <si>
    <t xml:space="preserve"> - odpočet stena skladba F2: 9,90 m2</t>
  </si>
  <si>
    <t>Kontaktný zatepľovací systém stien z polystyrénu hr. 50 mm, bez povrchovej úpravy, vr.kotviacich prvkov a 2x sklotextilná sieťka</t>
  </si>
  <si>
    <r>
      <t xml:space="preserve">strešná vpusť DZ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- 2 ks</t>
    </r>
  </si>
  <si>
    <t>M+D vetracia hlavica</t>
  </si>
  <si>
    <t>Extrudovaný polystyrén (Styrodur 3035 CS) hrúbka 200 mm</t>
  </si>
  <si>
    <t>71,70*1,02</t>
  </si>
  <si>
    <t>Montáž tepelnej izolácie striech plochých do 10° spádovými doskami z polystyrénu v jednej vrstve</t>
  </si>
  <si>
    <t>11,20*6,40</t>
  </si>
  <si>
    <t>Spádové dosky EPS hr.20-70 mm</t>
  </si>
  <si>
    <t>skladba S1: 11,20*6,40</t>
  </si>
  <si>
    <t>71,70*1,15</t>
  </si>
  <si>
    <t>Parozábrana (napr. fólia LDS)</t>
  </si>
  <si>
    <t>Zhotovenie vegetačnej strechy vr.substrátu a odvodňovacieho systému so separačnou vrstvou</t>
  </si>
  <si>
    <t>skldba S1: vegetačná strecha</t>
  </si>
  <si>
    <t>vegetačná strecha je zložená z nasl.vrstiev</t>
  </si>
  <si>
    <t xml:space="preserve"> - vegetačná vrstva z rozchodníka hr. 40 mm</t>
  </si>
  <si>
    <t xml:space="preserve"> - substrát z minerálnej vlny hr. 40 mm</t>
  </si>
  <si>
    <t xml:space="preserve"> - odvodňovací systém so separačnou vrstvou</t>
  </si>
  <si>
    <t>poznámka: v ochrannom pásme inžinierskych sietí je nutné výkopové práce realizovať ručným výkopom</t>
  </si>
  <si>
    <t>Vytvorenie prestupu v základových konštrukciách dĺžky do 600 mm</t>
  </si>
  <si>
    <t>prestup 100x250 mm dĺ.600 mm - 1 ks</t>
  </si>
  <si>
    <t>prestup 100x100 mm dĺ.600 mm - 1 ks</t>
  </si>
  <si>
    <t>prestup 200x200 mm dĺ.600 mm - 5 ks</t>
  </si>
  <si>
    <t>prestup 250x250 mm dĺ.600 mm - 1 ks</t>
  </si>
  <si>
    <t>999_PC001</t>
  </si>
  <si>
    <t>999_PC002</t>
  </si>
  <si>
    <r>
      <t xml:space="preserve">PM1: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80 mm dĺ.300 mm - 1 ks</t>
    </r>
  </si>
  <si>
    <r>
      <t xml:space="preserve">PM2: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50 mm dĺ.125 mm - 1 ks</t>
    </r>
  </si>
  <si>
    <r>
      <t xml:space="preserve">PM3: </t>
    </r>
    <r>
      <rPr>
        <sz val="8"/>
        <color theme="1" tint="0.34998626667073579"/>
        <rFont val="Calibri"/>
        <family val="2"/>
        <charset val="238"/>
      </rPr>
      <t>Ф</t>
    </r>
    <r>
      <rPr>
        <sz val="8"/>
        <color theme="1" tint="0.34998626667073579"/>
        <rFont val="Arial CE"/>
        <family val="2"/>
        <charset val="238"/>
      </rPr>
      <t xml:space="preserve"> 100 mm dĺ.300 mm - 2 ks</t>
    </r>
  </si>
  <si>
    <t>Vybúranie otvoru v murovaných priečkach a stenách do profilu 60 mm, hr. do 150 mm,  -0,00100t</t>
  </si>
  <si>
    <t>Vybúranie otvoru v murovaných priečkach a stenách plochy do 0,0225 m2, do 300 mm,  -0,01500t</t>
  </si>
  <si>
    <t>971042131.1</t>
  </si>
  <si>
    <t>971042241.1</t>
  </si>
  <si>
    <t>27910005.1</t>
  </si>
  <si>
    <t>56425PC1001</t>
  </si>
  <si>
    <t>62525PC1001</t>
  </si>
  <si>
    <t>62525PC1002</t>
  </si>
  <si>
    <t>62825PC1003</t>
  </si>
  <si>
    <t>632PC2001</t>
  </si>
  <si>
    <t>63257PC2002</t>
  </si>
  <si>
    <t>Príplatok za prvý a každý ďalší i začatý mesiac použitia lešenia ľahkého pracovného radového s podlahami šírky nad 1,00 do 1,20 m, výšky do 10 m</t>
  </si>
  <si>
    <t>Demontáž lešenia ľahkého pracovného radového s podlahami šírky nad 1,00 do 1,20 m, výšky do 10 m</t>
  </si>
  <si>
    <t>Maľby z maliarskych zmesí Primalex, Farmal, ručne nanášané dvojnásobné základné na podklad jemnozrnný výšky do 3,80 m - 2-násobný náter vr. Penetrácie</t>
  </si>
  <si>
    <t>767PC3001</t>
  </si>
  <si>
    <t>767PC3002</t>
  </si>
  <si>
    <t>767PC3003</t>
  </si>
  <si>
    <t>767PC3004</t>
  </si>
  <si>
    <t>766PC4001</t>
  </si>
  <si>
    <t>17,70 m2</t>
  </si>
  <si>
    <t>764PC7641</t>
  </si>
  <si>
    <t>764PC7642</t>
  </si>
  <si>
    <t>712PC7121</t>
  </si>
  <si>
    <t>KRYCÍ LIST ROZPOČTU</t>
  </si>
  <si>
    <t>Názov stavby</t>
  </si>
  <si>
    <t>JKSO</t>
  </si>
  <si>
    <t xml:space="preserve"> </t>
  </si>
  <si>
    <t>Kód stavby</t>
  </si>
  <si>
    <t>11-514</t>
  </si>
  <si>
    <t>Názov objektu</t>
  </si>
  <si>
    <t>EČO</t>
  </si>
  <si>
    <t>Kód objektu</t>
  </si>
  <si>
    <t>E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</si>
  <si>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</si>
  <si>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</si>
  <si>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</si>
  <si>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</si>
  <si>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</si>
  <si>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</si>
  <si>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</si>
  <si>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</si>
  <si>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</si>
  <si>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STAPRING</t>
  </si>
  <si>
    <t>Zhotoviteľ</t>
  </si>
  <si>
    <t>Rozpočet číslo</t>
  </si>
  <si>
    <t>Spracoval</t>
  </si>
  <si>
    <t>Dňa: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</si>
  <si>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</si>
  <si>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</si>
  <si>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</si>
  <si>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</si>
  <si>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</si>
  <si>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</si>
  <si>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</si>
  <si>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</si>
  <si>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</si>
  <si>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</si>
  <si>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</si>
  <si>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</si>
  <si>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</si>
  <si>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</si>
  <si>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</si>
  <si>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</si>
  <si>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</si>
  <si>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</si>
  <si>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</si>
  <si>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</si>
  <si>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</si>
  <si>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</si>
  <si>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</si>
  <si>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</si>
  <si>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</si>
  <si>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</si>
  <si>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</si>
  <si>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</si>
  <si>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</si>
  <si>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</si>
  <si>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</si>
  <si>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</si>
  <si>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</si>
  <si>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</si>
  <si>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</si>
  <si>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</si>
  <si>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</si>
  <si>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</si>
  <si>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</si>
  <si>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</si>
  <si>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</si>
  <si>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</si>
  <si>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Prípočty a odpočty</t>
  </si>
  <si>
    <t>Dodávky objednávateľa</t>
  </si>
  <si>
    <t>Kĺzavá doložka</t>
  </si>
  <si>
    <t>Zvýhodnenie + -</t>
  </si>
  <si>
    <t>Rekapitulácia  stavby</t>
  </si>
  <si>
    <t>Stavba:</t>
  </si>
  <si>
    <t xml:space="preserve">Investor:        </t>
  </si>
  <si>
    <t>Zhotoviteľ:</t>
  </si>
  <si>
    <t>Kód</t>
  </si>
  <si>
    <t>Zákazka</t>
  </si>
  <si>
    <t>Cena bez DPH</t>
  </si>
  <si>
    <t>Cena s DPH</t>
  </si>
  <si>
    <t>STAVBA:</t>
  </si>
  <si>
    <t>VRN</t>
  </si>
  <si>
    <t>VRN (BOZP, zariadenie staveniska, doprava, odvoz a likvid. odpadu, atď)</t>
  </si>
  <si>
    <t>Celkom</t>
  </si>
  <si>
    <t>SO-01</t>
  </si>
  <si>
    <t>E.1.1,2</t>
  </si>
  <si>
    <t>Zdravotechnika</t>
  </si>
  <si>
    <t>Elektroinštalácia</t>
  </si>
  <si>
    <t>Slaboprúd / slaboprúd,kamerový systém /</t>
  </si>
  <si>
    <t>E.1.3</t>
  </si>
  <si>
    <t>E.1.4</t>
  </si>
  <si>
    <t>E.1.5</t>
  </si>
  <si>
    <t>PRÍPRAVA ÚZEMIA</t>
  </si>
  <si>
    <t>Objekt pre správcu</t>
  </si>
  <si>
    <t>MULTIFUNKČNÉ A BASKETBALOVÉ IHRISKO</t>
  </si>
  <si>
    <t>SO-02</t>
  </si>
  <si>
    <t>SO-03</t>
  </si>
  <si>
    <t>MOBILIÁR</t>
  </si>
  <si>
    <t>SO-04</t>
  </si>
  <si>
    <t>SPEVNENÉ PLOCHY</t>
  </si>
  <si>
    <t>AREÁLOVÝ ROZVOD PITNEJ VODY</t>
  </si>
  <si>
    <t>AREÁLOVÁ VODOVODNÁ  PRÍPOJKA PRE VODNÚ HMLU</t>
  </si>
  <si>
    <t>STUDŇA NA POLIEVANIE</t>
  </si>
  <si>
    <t>AREÁLOVÁ KANALIZAČNÁ  PRÍPOJKA SPLAŠKOVEJ KANALIZÁCIE</t>
  </si>
  <si>
    <t>DAŽĎOVÁ KANALIZÁCIA A VSAKOVANIE</t>
  </si>
  <si>
    <t>AREÁLOVÉ OSVETLENIE</t>
  </si>
  <si>
    <t>SADOVÉ ÚPRAVY</t>
  </si>
  <si>
    <t>DETSKÉ IHRISKO</t>
  </si>
  <si>
    <t>OPLOTENIE AREÁLU ŠKOLY</t>
  </si>
  <si>
    <t>OPLOTENIE ŠKOLSKÉHO DVORA</t>
  </si>
  <si>
    <t>SO-05</t>
  </si>
  <si>
    <t>SO-06</t>
  </si>
  <si>
    <t>SO-07</t>
  </si>
  <si>
    <t>SO-08</t>
  </si>
  <si>
    <t>SO-09</t>
  </si>
  <si>
    <t>SO-10</t>
  </si>
  <si>
    <t>SO-11</t>
  </si>
  <si>
    <t>SO-12</t>
  </si>
  <si>
    <t>SO-13</t>
  </si>
  <si>
    <t>SO-14</t>
  </si>
  <si>
    <t>SO-15</t>
  </si>
  <si>
    <t>ZŠ S MŠ SUT - REKONŠTRUKCIA AREÁLU TRNAVA</t>
  </si>
  <si>
    <t>OBJEKT:</t>
  </si>
  <si>
    <t>SO O1 OBJEKT PRE SPRÁVCU</t>
  </si>
  <si>
    <t>INVESTOR:</t>
  </si>
  <si>
    <t>MESTO TRNAVA, HLAVNÁ č.1 , 917 71 TRNAVA</t>
  </si>
  <si>
    <t>NÁZOV PROFESIE:</t>
  </si>
  <si>
    <t>DODÁVATEĽ:</t>
  </si>
  <si>
    <t>STAPRING, a.s., Piaristická ul. 2, 949 24 NITRA</t>
  </si>
  <si>
    <t>DÁTUM:</t>
  </si>
  <si>
    <t>04/2021</t>
  </si>
  <si>
    <t>P.č.</t>
  </si>
  <si>
    <t>Popis položky</t>
  </si>
  <si>
    <t>Označenie / referenčné číslo</t>
  </si>
  <si>
    <t>Merná jednotka (MJ)</t>
  </si>
  <si>
    <t>Množstvo</t>
  </si>
  <si>
    <t>Dodávka (cena za MJ bez DPH)</t>
  </si>
  <si>
    <t>Dodávka spolu (cena bez DPH)</t>
  </si>
  <si>
    <t>Montáž položky (cena za MJ bez DPH)</t>
  </si>
  <si>
    <t>Montáž položiek  spolu (cena bez DPH)</t>
  </si>
  <si>
    <t>Poznámka</t>
  </si>
  <si>
    <t>Slaboprúdové rozvody</t>
  </si>
  <si>
    <t>Nástenný rozvádzač S‑RACK, Š=600 V=646 H=600, 19", 12U</t>
  </si>
  <si>
    <t>DTWA126060</t>
  </si>
  <si>
    <t>19" pevná polica, 1U, max. nosnosť 30Kg, H=300mm, nízka</t>
  </si>
  <si>
    <t>DTFT1300</t>
  </si>
  <si>
    <t>19" vyväzovací panel, 1U, 5x kovové oko, RAL7035</t>
  </si>
  <si>
    <t>DTBC105R</t>
  </si>
  <si>
    <t>19" napájací panel 8x230V STN, červený UPS, 10A, 2m, C14</t>
  </si>
  <si>
    <t>IU070131</t>
  </si>
  <si>
    <t>19" zaslepovací panel, skrutkový, vetran., 19", 1U, RAL7035</t>
  </si>
  <si>
    <t>DTZO14801V</t>
  </si>
  <si>
    <t>Montážna sada M6, 50x matica, skrutka, podložka</t>
  </si>
  <si>
    <t>DSSRA050</t>
  </si>
  <si>
    <t>Samolepiaca schránka na dokumenty A4</t>
  </si>
  <si>
    <t>ASDRA400</t>
  </si>
  <si>
    <t>bal</t>
  </si>
  <si>
    <t>Opt. vaňa 19" 1U, 12×LC OS2, 9/125µm + pigtaily a kazeta</t>
  </si>
  <si>
    <t>HSELS129LG</t>
  </si>
  <si>
    <t>Opt.prep.kábel duplex LC/LC, 9/125µm OS2, LS0H‑3, žltý, 1.0m</t>
  </si>
  <si>
    <t>HLP29LL01F</t>
  </si>
  <si>
    <t>Opt.kábel A/I‑DQ(ZN)BH 12x 9/125µm OS2,LS0H‑3,s ochranou</t>
  </si>
  <si>
    <t>HSEAIBH129</t>
  </si>
  <si>
    <t>Optická chránička OPTOPIPE HDPE 40, hrúbka steny 3,0mm, -40°C/+75°C farba, kódovanie</t>
  </si>
  <si>
    <t>KSX-PE 40x3,0 HDPE</t>
  </si>
  <si>
    <t>19" 1U patchpanel pre 24 modulov (SFA/SFB),neosadený,RAL7035</t>
  </si>
  <si>
    <t>HSER0240GS</t>
  </si>
  <si>
    <t>Záslepka prázdneho portu v patchpaneli HSER0240GS, RAL9010</t>
  </si>
  <si>
    <t>HSEMRZ01WF</t>
  </si>
  <si>
    <t>TOOLLESS LINE keystone RJ45 tienený Cat.5e</t>
  </si>
  <si>
    <t>HSEMRJ5GWS</t>
  </si>
  <si>
    <t>Dátová zásuvka, pod omietku, 2 moduly (45st.), neosadená</t>
  </si>
  <si>
    <t>HSED02UW2S</t>
  </si>
  <si>
    <t>Prístrojová škatuľa zápustná 67x45, pre rúrky M20, čierna</t>
  </si>
  <si>
    <t>GTDU810</t>
  </si>
  <si>
    <t>Prepoj.kábel,Cat.5e,tienený,2xRJ45,dĺžka 0,5m,farba modrá</t>
  </si>
  <si>
    <t>H5GLB00K5B</t>
  </si>
  <si>
    <t>Kábel F/UTP Cat.5e 4x2xAWG24, LSOH plášť </t>
  </si>
  <si>
    <t>HSEKF424H1</t>
  </si>
  <si>
    <t>Záložný zdroj – 1000 VA/600 W, 2U rack, Line interactive, 2×IEC Jumpers, 4×IEC 320 C13, USB a Ethernet</t>
  </si>
  <si>
    <t>APC Smart-UPS C 1000VA 2U RM LCD</t>
  </si>
  <si>
    <t>Elektroninštalačná lišta - bezhalogénová</t>
  </si>
  <si>
    <t>LHD 40x20HF</t>
  </si>
  <si>
    <t>Montáž kábla FTP, STP, UTP do káblovej drážky</t>
  </si>
  <si>
    <t>220511033</t>
  </si>
  <si>
    <t>Sekanie drážky</t>
  </si>
  <si>
    <t>973042351</t>
  </si>
  <si>
    <t>Značenie zásuviek</t>
  </si>
  <si>
    <t>220512130</t>
  </si>
  <si>
    <t>Meranie certifikácie cat.5, vystavenie protokolu</t>
  </si>
  <si>
    <t>MER cat.5e</t>
  </si>
  <si>
    <t>Obojsmerné meranie certifikácie opt. prepoja, vystavenie protokolu</t>
  </si>
  <si>
    <t>MER OTDR</t>
  </si>
  <si>
    <t>SPOLU Slaboprúdové rozvody</t>
  </si>
  <si>
    <t>OPCIA</t>
  </si>
  <si>
    <t>Budova správcu</t>
  </si>
  <si>
    <t>-</t>
  </si>
  <si>
    <t>Menežovateľný gigabitový switch  - Huawei S1720-10GW-2P 1 Gbps switch, 8 portov 10/100/1000, 2 porty SFP 1 Gbps, switchovacia kapacita: 68 Gbit/s, forwarding performance: 15 Mbps, webrozhranie</t>
  </si>
  <si>
    <t>Huaawei S1720-10GW-2P</t>
  </si>
  <si>
    <t>SFP modul-  LC connector, TX:1310nm/RX:1550nm, single-mode, 10km rychlost 1Gbps, kompatibilita s  Huawei S1720-10GW-2P </t>
  </si>
  <si>
    <t>Budova - Pavilón A</t>
  </si>
  <si>
    <t>Menežovateľný gigabitový switch - 1 Gbps switch, 48 portov 10/100/1000, 4 porty SFP 1 Gbit, switchovacia kapacita: 104 Gbit/s, forwarding performance: 78 Mbps, web/snmp rozhranie</t>
  </si>
  <si>
    <t>Huawei S1720-52GWR-4P-E</t>
  </si>
  <si>
    <t>SFP modul - LC connector, TX:1550nm/RX:1310nm, single-mode, 10km rychlost 1Gbps, kompatibilita s Huawei S1720-52GWR-4P-E</t>
  </si>
  <si>
    <t>SPOLU OPCIA</t>
  </si>
  <si>
    <t>Kamerový systém</t>
  </si>
  <si>
    <t>2 Mpx (Full HD) Starlight PTZ kamera IP exteriérová antivandal, Day/Night s mechanickým IR filtrom, 1/2.8” STARVIS™ CMOS, rozlíšenie 1920 x 1080 px @ 50 fps, citlivosť 0,005 lx / F1.6, B/W 0,0005 lx / F1.6, motor zoom objektív 4,8–120 mm / F1.6–F4.4, 25x optický zoom, uhol záberu 59,2°–2,4°, horizontálne natáčanie 360°, vertikálny náklon 0°–90°, BLC, HLC, AWB, AGC, EIS, DEFOG, WDR, ROI, 3DNR, inteligentné funkcie, kompresie H.265+ / H.265 / H.264+ / H.264, ONVIF kompatibilné</t>
  </si>
  <si>
    <t> SD50225U-HNI</t>
  </si>
  <si>
    <t>Smoke kryt</t>
  </si>
  <si>
    <t>Dahua PFA151 adaptér na roh</t>
  </si>
  <si>
    <t>PFA151</t>
  </si>
  <si>
    <t>Dahua PFA120 inštalačná skrinka</t>
  </si>
  <si>
    <t>PFA120</t>
  </si>
  <si>
    <t>Dahua 10/100/1000 Mb/s HPoE injector malých rozmerov, podporujúce zariadenia o spotrebe až 30 W.</t>
  </si>
  <si>
    <t>TAM1GT1GT-30</t>
  </si>
  <si>
    <t>Videorekordér IP sieťový 4kanálový, OS Linux, Quad-core procesor, podporované formáty H.264/H.265, záznam max. do 80 Mbps, maximálne rozlíšenie 8 Mpx na kameru, audio 1/1, 1x SATA III 3,5" HDD max. 6 TB (bez HDD), 1x HDMI (4K) + 1x VGA výstup, podpora ONVIF, podpora IP PTZ Dahua, 1x RJ-45 port (10/100 Mbps), 2x USB 2.0, rozmery 1U, 260 × 225 × 48 mm, hmotnosť 0,8 kg (bez HDD)</t>
  </si>
  <si>
    <t>NVR4104HS-4KS2</t>
  </si>
  <si>
    <t>SATA DISK 2000GB, 5900 rpm, vhodný do podmienok 24/7, pre PC Videoserver, DVR, NAS</t>
  </si>
  <si>
    <t>HDD2000S 24/7</t>
  </si>
  <si>
    <t>LCD monitor Quad HD 2560×1440, displej IPS, 16:9, odozva 4ms, obnovovacia frekvencia 75Hz, FreeSync, jas 350cd/m2, kontrast 1000:1, DisplayPort 1.2, HDMI 1.4, slúchadlový výstup, repro, VESA</t>
  </si>
  <si>
    <t>27" Dell S2721D</t>
  </si>
  <si>
    <t>Video kábel prepájací, dĺžka 10 m, male konektory: 1× HDMI (HDMI 1.4), 1× HDMI (HDMI 1.4)</t>
  </si>
  <si>
    <t>PremiumCord HDMI 1.4</t>
  </si>
  <si>
    <t>označenie prvku</t>
  </si>
  <si>
    <t>ZnP</t>
  </si>
  <si>
    <t>SPOLU Kamerový systém</t>
  </si>
  <si>
    <t>SPOLU CELKOM</t>
  </si>
  <si>
    <t>Architektonické a stavebné riešenie a statika</t>
  </si>
  <si>
    <t>SO 01   Objekt pre správcu</t>
  </si>
  <si>
    <t>E1.1,2  Architektonicko-stavebné riešenie + statika</t>
  </si>
  <si>
    <t>E1.5  SLABOPRÚD/ KAMEROVÝ SYSTÉM</t>
  </si>
  <si>
    <t>ROZPOČET</t>
  </si>
  <si>
    <t>SO 15 Oplotenie školského dvora</t>
  </si>
  <si>
    <t>133211101</t>
  </si>
  <si>
    <t>Hĺbenie šachiet v  hornine tr. 3 súdržných - ručným náradím plocha výkopu do 4 m2</t>
  </si>
  <si>
    <t>oplotenie časť 04</t>
  </si>
  <si>
    <t>3*0,50*0,30*0,80+3*0,50*0,30*0,70+(2,98+0,76)*0,30*0,20</t>
  </si>
  <si>
    <t>oplotenie časť 05</t>
  </si>
  <si>
    <t>76*0,50*0,50*3,14/4*0,70+2*0,75*0,50*0,70</t>
  </si>
  <si>
    <t>vykopaná zemina určená na skládku: 11,87 m3</t>
  </si>
  <si>
    <t>162501105</t>
  </si>
  <si>
    <t>predpoklad ďalších 12 km: 11,87*12</t>
  </si>
  <si>
    <t>11,87*1,78</t>
  </si>
  <si>
    <t>Zásyp sypaninou v uzavretých priestoroch s urovnaním povrchu zásypu</t>
  </si>
  <si>
    <t>(90,65+26,28+4*7,80)*0,30*0,10</t>
  </si>
  <si>
    <t>583310003700</t>
  </si>
  <si>
    <t>Štrkopiesok frakcia 8-16 mm, STN EN 13242 + A1</t>
  </si>
  <si>
    <t>4,50*1,95</t>
  </si>
  <si>
    <t>Betón základových pätiek, prostý tr. C 20/25</t>
  </si>
  <si>
    <t>zákl.pätka pre brány 500/300 mm: 3*0,50*0,30*0,80</t>
  </si>
  <si>
    <t>zákl.pätka pre panel P 500/300 mm: 3*0,50*0,30*0,80</t>
  </si>
  <si>
    <r>
      <t xml:space="preserve">zákl.pätka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500</t>
    </r>
    <r>
      <rPr>
        <sz val="8"/>
        <color theme="1" tint="0.34998626667073579"/>
        <rFont val="Arial CE"/>
        <family val="2"/>
        <charset val="238"/>
      </rPr>
      <t xml:space="preserve"> mm: 76*0,50*0,50*3,14/4*0,60</t>
    </r>
  </si>
  <si>
    <t>zákl.pätka 750/500 mm: 2*0,75*0,50*0,60</t>
  </si>
  <si>
    <t>Osadzovanie stĺpikov plotových železobetónových s drážkami pre železobetónové dosky okrasné výšky 2,75 m so zabetónovaním</t>
  </si>
  <si>
    <t>časť 05: 68+3+4+1</t>
  </si>
  <si>
    <t>S1</t>
  </si>
  <si>
    <t>Betónový stĺpik - priebežný 100x100x2720 mm</t>
  </si>
  <si>
    <t>S2</t>
  </si>
  <si>
    <t>Betónový stĺpik - koncový 100x130x2720 mm</t>
  </si>
  <si>
    <t>S3</t>
  </si>
  <si>
    <t>Betónový stĺpik - rohový 130x130x2720 mm</t>
  </si>
  <si>
    <t>S4</t>
  </si>
  <si>
    <t>Betónový stĺpik - T profil 130x130x2720 mm</t>
  </si>
  <si>
    <t>Montáž dielca plotového prefabrikovaného</t>
  </si>
  <si>
    <t>časť 05: 244+8+120+3+2+76</t>
  </si>
  <si>
    <t>Panel pre plot - betónová doska 1850x50x500 mm</t>
  </si>
  <si>
    <t>D1a</t>
  </si>
  <si>
    <t>Panel pre plot - betónová doska 800x50x500 mm</t>
  </si>
  <si>
    <t>Panel pre plot - drevená doska 1850x50x200 mm</t>
  </si>
  <si>
    <t>T1</t>
  </si>
  <si>
    <t>Panel na plot - doska na kreslenie, laminát HPL  s extrémnou odolnosťou 1600x10x1400 mm</t>
  </si>
  <si>
    <t>T2</t>
  </si>
  <si>
    <t>Panel na plot - doska náučný panel, laminát HPL 1600x10x1400 mm</t>
  </si>
  <si>
    <t>S</t>
  </si>
  <si>
    <t>Strieška na stĺpik</t>
  </si>
  <si>
    <t>567144112</t>
  </si>
  <si>
    <t>Podklad z podkladového betónu PB I tr. C 20/25 hr. 200 mm</t>
  </si>
  <si>
    <t>(2,98+0,76)*0,30</t>
  </si>
  <si>
    <t>970PC1001</t>
  </si>
  <si>
    <t>Vybúranie oceľovej brány</t>
  </si>
  <si>
    <t>brána šírky 3,57 m</t>
  </si>
  <si>
    <t>R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</si>
  <si>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</si>
  <si>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</si>
  <si>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</si>
  <si>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</si>
  <si>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</si>
  <si>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</si>
  <si>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</si>
  <si>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</si>
  <si>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odhad 15 km</t>
  </si>
  <si>
    <t>979082111</t>
  </si>
  <si>
    <t>Vnútrostavenisková doprava sutiny a vybúraných hmôt do 10 m</t>
  </si>
  <si>
    <t>979082121</t>
  </si>
  <si>
    <t>Vnútrostavenisková doprava sutiny a vybúraných hmôt za každých ďalších 5 m</t>
  </si>
  <si>
    <t>979089012</t>
  </si>
  <si>
    <t>Poplatok za skladovanie - betón, tehly, dlaždice (17 01 ), ostatné</t>
  </si>
  <si>
    <t>M+D kovové konštrukcie zo žiarom zinkovanej ocele vr.povrchovej úpravy a kotvenia do betónu</t>
  </si>
  <si>
    <t>oceľové oplotenie P: 110 kg</t>
  </si>
  <si>
    <t>oceľový rám pre tabule T1, T2: 165 kg</t>
  </si>
  <si>
    <t>767920010</t>
  </si>
  <si>
    <t>Montáž vrát a vrátok k panelovému oploteniu osadzovaných na stĺpiky oceľové, s plochou jednotlivo do 2 m2</t>
  </si>
  <si>
    <t>časť 04 - B1: 3,32x1,80 m - 1 ks</t>
  </si>
  <si>
    <t>časť 04 - B2: 1,10x1,80 m - 1 ks</t>
  </si>
  <si>
    <t>časť 05 - B1: 3,30x2,00 m - 1 ks</t>
  </si>
  <si>
    <t>B1 časť 04</t>
  </si>
  <si>
    <t>Brána, dvojkrídlová, šxv 3,32x1,80 m, úprava pozinkovanie, výplň oceľovými profilmi, uzamykací systém</t>
  </si>
  <si>
    <t>B2 časť 04</t>
  </si>
  <si>
    <t>Brána, jednokrídlová, šxv 1,10x1,80 m, úprava pozinkovanie, výplň oceľovými profilmi, uzamykací systém</t>
  </si>
  <si>
    <t>B1 časť 05</t>
  </si>
  <si>
    <t>Brána, dvojkrídlová, šxv 3,30x2,00 m, úprava pozinkovanie, výplň oceľovými profilmi, uzamykací systém</t>
  </si>
  <si>
    <t>783102812.1</t>
  </si>
  <si>
    <t>Odstránenie starých náterov z oceľových konštrukcií stredných "B" plnostenných "D" prebrúsením vr.následného očistenia</t>
  </si>
  <si>
    <t>repasované oplotenie: 165,85 m2</t>
  </si>
  <si>
    <t>783225100</t>
  </si>
  <si>
    <t>Nátery kov.stav.doplnk.konštr. syntetické na vzduchu schnúce dvojnás. 1x s emailov. - 105µm</t>
  </si>
  <si>
    <t>brána b1 a B2: 13,65 m2</t>
  </si>
  <si>
    <t>oplotenie P: 6,80 m2</t>
  </si>
  <si>
    <t>oceľový rám pre tabule T1, T2: 3,50 m2</t>
  </si>
  <si>
    <t>brána B1: 6,70 m2</t>
  </si>
  <si>
    <t>783226100</t>
  </si>
  <si>
    <t>Nátery kov.stav.doplnk.konštr. syntetické na vzduchu schnúce základný - 35µm</t>
  </si>
  <si>
    <t>dtto syntetický náter</t>
  </si>
  <si>
    <t>25*0,20*0,20*3,14/4*0,70</t>
  </si>
  <si>
    <t>vykopaná zemina určená na skládku: 0,60 m3</t>
  </si>
  <si>
    <t>predpoklad ďalších 12 km: 0,60*12</t>
  </si>
  <si>
    <t>0,60*1,78</t>
  </si>
  <si>
    <t>41,46*0,30*0,10</t>
  </si>
  <si>
    <t>1,30*1,95</t>
  </si>
  <si>
    <r>
      <t xml:space="preserve">zákl.pätka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200</t>
    </r>
    <r>
      <rPr>
        <sz val="8"/>
        <color theme="1" tint="0.34998626667073579"/>
        <rFont val="Arial CE"/>
        <family val="2"/>
        <charset val="238"/>
      </rPr>
      <t xml:space="preserve"> mm: 25*0,20*0,20*3,14/4*0,60</t>
    </r>
  </si>
  <si>
    <t>Montáž oplotenia rámového, na oceľové stĺpiky, vo výške do 1,0 m</t>
  </si>
  <si>
    <t>2,505+6,384+16,788+15,782</t>
  </si>
  <si>
    <t>B1: 0,90x1,0 m - 1 ks</t>
  </si>
  <si>
    <t>B2: 2,0x1,0 m - 2 ks</t>
  </si>
  <si>
    <t>B1</t>
  </si>
  <si>
    <t>Bránka, jednokrídlová, šxv 0,90x1,00 m, úprava pozinkovanie, výplň oceľovými profilmi, uzamykací systém</t>
  </si>
  <si>
    <t>B2</t>
  </si>
  <si>
    <t>Brána, dvojkrídlová, šxv 2,00x1,00 m, úprava pozinkovanie, výplň oceľovými profilmi, uzamykací systém</t>
  </si>
  <si>
    <t>783122710</t>
  </si>
  <si>
    <t>Nátery oceľ.konštr. syntetické na vzduchu schnúce ťažkých A základné</t>
  </si>
  <si>
    <t>110,10*0,128+61,40*0,140+308,52*0,038</t>
  </si>
  <si>
    <t xml:space="preserve">Nátery kov.stav.doplnk.konštr. polyuretánové farby modrej jednonásobné </t>
  </si>
  <si>
    <t>dtto základný náter</t>
  </si>
  <si>
    <t>JKSO:</t>
  </si>
  <si>
    <t>Objednávateľ:</t>
  </si>
  <si>
    <t>TV</t>
  </si>
  <si>
    <t>Popis</t>
  </si>
  <si>
    <t>Množstvo celkom</t>
  </si>
  <si>
    <t>Hmotnosť</t>
  </si>
  <si>
    <t>Hmotnosť celkom</t>
  </si>
  <si>
    <t>Hmotnosť sute</t>
  </si>
  <si>
    <t>Hmotnosť sute celkom</t>
  </si>
  <si>
    <t>Sadzba DPH</t>
  </si>
  <si>
    <t>Typ položky</t>
  </si>
  <si>
    <t>Úroveň</t>
  </si>
  <si>
    <t>Dodávateľ</t>
  </si>
  <si>
    <t>Práce a dodávky M</t>
  </si>
  <si>
    <t>0</t>
  </si>
  <si>
    <t>21-M</t>
  </si>
  <si>
    <t>Elektroinštalácia - montáž</t>
  </si>
  <si>
    <t>1</t>
  </si>
  <si>
    <t>921</t>
  </si>
  <si>
    <t>210010301</t>
  </si>
  <si>
    <t>Krabica prístrojová bez zapojenia (1901, KP 68, KZ 3)</t>
  </si>
  <si>
    <t>2</t>
  </si>
  <si>
    <t>210010321</t>
  </si>
  <si>
    <t>Krabica odbočná s viečkom, svorkovnicou vrátane zapojenia (1903, KR 68) kruhová</t>
  </si>
  <si>
    <t>210800003</t>
  </si>
  <si>
    <t>Vodič  medený  uložený pod omietkou CYY 4</t>
  </si>
  <si>
    <t>210800005</t>
  </si>
  <si>
    <t>Vodič  medený  uložený pod omietkou CYY 10</t>
  </si>
  <si>
    <t>210800101</t>
  </si>
  <si>
    <t>Kábel medený uložený pod omietkou CYKY 2 x 1, 5</t>
  </si>
  <si>
    <t>210800105</t>
  </si>
  <si>
    <t>Kábel medený uložený pod omietkou CYKY 3 x 1, 5</t>
  </si>
  <si>
    <t>210800106</t>
  </si>
  <si>
    <t>Kábel medený uložený pod omietkou CYKY 3 x 2, 5</t>
  </si>
  <si>
    <t>210800118</t>
  </si>
  <si>
    <t>Kábel medený uložený pod omietkou CYKY 5 x 1,5</t>
  </si>
  <si>
    <t>210800123</t>
  </si>
  <si>
    <t>Kábel medený uložený pod omietkou CYKY 4 x 10,0</t>
  </si>
  <si>
    <t>210100101</t>
  </si>
  <si>
    <t>Ukončenie Cu a Al drôtov a lán včítane zapojenie, jedna žila, vodič s prierezom do 16 mm2</t>
  </si>
  <si>
    <t>210110041</t>
  </si>
  <si>
    <t>Spínače polozapustené a zapustené vrátane zapojenia jednopólový - radenie 1</t>
  </si>
  <si>
    <t>210110041p</t>
  </si>
  <si>
    <t>Spínače polozapustené a zapustené vrátane zapojenia tlačítko - radenie 1/0</t>
  </si>
  <si>
    <t>210110043</t>
  </si>
  <si>
    <t xml:space="preserve">Spínač polozapustený a zapustený vrátane zapojenia sériový prep.stried. - radenie 5 </t>
  </si>
  <si>
    <t>210110045</t>
  </si>
  <si>
    <t xml:space="preserve">Spínač polozapustený a zapustený vrátane zapojenia stried.prep.- radenie 6   </t>
  </si>
  <si>
    <t>210110046</t>
  </si>
  <si>
    <t xml:space="preserve">Spínač polozapustený a zapustený vrátane zapojenia krížový prep.- radenie 7   </t>
  </si>
  <si>
    <t>210111012</t>
  </si>
  <si>
    <t>Domová zásuvka polozapustená alebo zapustená, 10/16 A 250 V 2P + Z 2 x zapojenie</t>
  </si>
  <si>
    <t>210111021</t>
  </si>
  <si>
    <t xml:space="preserve">Domová zásuvka v krabici obyč. alebo do vlhka, vrátane zapojenia 10/16 A 250 V 2P + Z   </t>
  </si>
  <si>
    <t>220730102</t>
  </si>
  <si>
    <t>Svietidlá LED</t>
  </si>
  <si>
    <t>210200004</t>
  </si>
  <si>
    <t>A- Montáž svietidla stropné  LED 20W  4000k IP20</t>
  </si>
  <si>
    <t>210200005</t>
  </si>
  <si>
    <t>B- Montáž svietidla stropné  LED 40W  4000k IP20</t>
  </si>
  <si>
    <t>210200006</t>
  </si>
  <si>
    <t>C- Montáž svietidla stropné  LED 40W  4000k IP20</t>
  </si>
  <si>
    <t>210200007</t>
  </si>
  <si>
    <t>G- Montáž svietidla  LED 20W nástenné so senzorom poh. IP54</t>
  </si>
  <si>
    <t>210190007</t>
  </si>
  <si>
    <t>Montáž rozvádzača RS</t>
  </si>
  <si>
    <t>210190905</t>
  </si>
  <si>
    <t>Montáž nul.svorkovnice EPP</t>
  </si>
  <si>
    <t>210191579</t>
  </si>
  <si>
    <t>Osadenie skrine SR4-Z402  zapustená  a zapojenie</t>
  </si>
  <si>
    <t>210191580d</t>
  </si>
  <si>
    <t>Demontáž a odpoj. Jestvujúcej skrine SR</t>
  </si>
  <si>
    <t>2199011</t>
  </si>
  <si>
    <t>PPV</t>
  </si>
  <si>
    <t>2199021</t>
  </si>
  <si>
    <t>Revízna správa</t>
  </si>
  <si>
    <t>kpl</t>
  </si>
  <si>
    <t>21990315</t>
  </si>
  <si>
    <t>Sekanie drážok,kapes a prierazy</t>
  </si>
  <si>
    <t>21-M21m</t>
  </si>
  <si>
    <t>Elektroinštalácia  - materiál</t>
  </si>
  <si>
    <t>3450906510</t>
  </si>
  <si>
    <t>Krabica  KU 68-1901</t>
  </si>
  <si>
    <t>3450907517</t>
  </si>
  <si>
    <t>Krabica  KU 68-1903 so svorkami Wago</t>
  </si>
  <si>
    <t>3410950900</t>
  </si>
  <si>
    <t>Kábel/vodič pre pevné uloženie - medený CY 4 žltozelený</t>
  </si>
  <si>
    <t>3410405300</t>
  </si>
  <si>
    <t>Kábel/vodič pre pevné uloženie - medený CY 10 žltozelený</t>
  </si>
  <si>
    <t>3410103000</t>
  </si>
  <si>
    <t>Kábel/vodič pre pevné uloženie - medený CYKY-O   2x 1,5</t>
  </si>
  <si>
    <t>3410104300</t>
  </si>
  <si>
    <t>Kábel/vodič pre pevné uloženie - medený CYKY-O   3x  1,5</t>
  </si>
  <si>
    <t>3410105000</t>
  </si>
  <si>
    <t>Kábel/vodič pre pevné uloženie - medený CYKY-J   3x  1,5</t>
  </si>
  <si>
    <t>3410105100</t>
  </si>
  <si>
    <t>Kábel/vodič pre pevné uloženie - medený CYKY-J   3x  2,5</t>
  </si>
  <si>
    <t>3410109400</t>
  </si>
  <si>
    <t>Kábel/vodič pre pevné uloženie - medený CYKY-J   5x 1,5</t>
  </si>
  <si>
    <t>3410118000</t>
  </si>
  <si>
    <t>Kábel/vodič pre pevné uloženie - medený CYKY-J   4x 10,0</t>
  </si>
  <si>
    <t>3450201270</t>
  </si>
  <si>
    <t>Spínač 1 komplet  IP20  LEG-Niloe biely</t>
  </si>
  <si>
    <t>3450201430</t>
  </si>
  <si>
    <t>Spínač 5 komplet  IP20  LEG-Niloe biely</t>
  </si>
  <si>
    <t>3450201521</t>
  </si>
  <si>
    <t>Spínač 7 komplet  IP20  LEG-Niloe biely</t>
  </si>
  <si>
    <t>3450201522</t>
  </si>
  <si>
    <t>Spínač 6 komplet  IP20  LEG-Niloe biely</t>
  </si>
  <si>
    <t>3450201612</t>
  </si>
  <si>
    <t>Tlač.spínač 1/0 komplet IP20 Niloe biely</t>
  </si>
  <si>
    <t>3580263100</t>
  </si>
  <si>
    <t>Zásuvka 20V 16A IP44</t>
  </si>
  <si>
    <t>3450317700</t>
  </si>
  <si>
    <t>Zásuvka  LEG-Niloe biela 16A 230V jednoduchá</t>
  </si>
  <si>
    <t>3450323107</t>
  </si>
  <si>
    <t xml:space="preserve">A-svietidlo LED 20W  4000k stropné IP20 </t>
  </si>
  <si>
    <t>3450323113</t>
  </si>
  <si>
    <t>B-svietidlo LED 40W  4000k stropné IP20</t>
  </si>
  <si>
    <t>3450323119</t>
  </si>
  <si>
    <t>C-svietidlo LED 40W  4000k stropné IP20</t>
  </si>
  <si>
    <t>3450323125</t>
  </si>
  <si>
    <t>G-svietidlo LED 20W IP54 nástenné s pohyb.senzorom</t>
  </si>
  <si>
    <t>3450323131</t>
  </si>
  <si>
    <t>Skrina SR4-Z402VV1/4 P1 IP2X/3x50A</t>
  </si>
  <si>
    <t>3450323137</t>
  </si>
  <si>
    <t>Rozvádzač RS s náplnou</t>
  </si>
  <si>
    <t>3450323103</t>
  </si>
  <si>
    <t>Nul.svorkovnica EPP</t>
  </si>
  <si>
    <t>9990000003</t>
  </si>
  <si>
    <t>Podružný materiál</t>
  </si>
  <si>
    <t>21-M22</t>
  </si>
  <si>
    <t>Bleskozvod - montáž</t>
  </si>
  <si>
    <t>210220101</t>
  </si>
  <si>
    <t>Zvodový vodič včítane podpery FeZn do D 10 mm, A1 D 10 mm FeZn  D 8 mm</t>
  </si>
  <si>
    <t>210220022</t>
  </si>
  <si>
    <t>Uzemňovacie vedenie v zemi včít. svoriek, prepojenia, izolácie spojov FeZn D 8 - 10 mm</t>
  </si>
  <si>
    <t>210220021</t>
  </si>
  <si>
    <t xml:space="preserve">Uzemňovacie vedenie v zemi včít. svoriek, prepojenia, izolácie spojov FeZn do 120 mm2   </t>
  </si>
  <si>
    <t>210220401</t>
  </si>
  <si>
    <t>Označenie zvodov štítkami smaltované, z umelej hmoty</t>
  </si>
  <si>
    <t>210220301</t>
  </si>
  <si>
    <t>Bleskozvodová svorka do 2 skrutiek (SS, SR 03)</t>
  </si>
  <si>
    <t>210220302</t>
  </si>
  <si>
    <t>Bleskozvodová svorka nad 2 skrutky (ST, SJ, SK, SZ, SR 01, 02)</t>
  </si>
  <si>
    <t>210010313</t>
  </si>
  <si>
    <t>Krabica odbočná s viečkom, bez zapojenia (KO 125) štvorcová</t>
  </si>
  <si>
    <t>210010004</t>
  </si>
  <si>
    <t>Rúrka ohybná elektroinštalačná, uložená pod omietkou, typ 23 - 29 mm</t>
  </si>
  <si>
    <t>210220010</t>
  </si>
  <si>
    <t>Náter územnenia asfaltom -prechod z betonu</t>
  </si>
  <si>
    <t>21-M22m</t>
  </si>
  <si>
    <t>Bleskozvod - materiál</t>
  </si>
  <si>
    <t>1561522500</t>
  </si>
  <si>
    <t>Drôt ťahaný  pozinkovaný mäkký   d 10,00mm</t>
  </si>
  <si>
    <t>1561523504</t>
  </si>
  <si>
    <t>Drôt ťahaný ALMGSI mäkký   d 8.00mm</t>
  </si>
  <si>
    <t>1561523507</t>
  </si>
  <si>
    <t>Drôt ťahaný ALMGSI mäkký   d 8.00mm izolovaný</t>
  </si>
  <si>
    <t>3541267581</t>
  </si>
  <si>
    <t>Pás FeZn 30/4mm</t>
  </si>
  <si>
    <t>3539539619</t>
  </si>
  <si>
    <t>Štítok do 5 písmen 10x15 mm</t>
  </si>
  <si>
    <t>Podpera PV xx</t>
  </si>
  <si>
    <t>3534355733</t>
  </si>
  <si>
    <t>HR-Svorka SS</t>
  </si>
  <si>
    <t>3540408300</t>
  </si>
  <si>
    <t>HR-Svorka SZ</t>
  </si>
  <si>
    <t>3540406200</t>
  </si>
  <si>
    <t>HR-Svorka SO</t>
  </si>
  <si>
    <t>3540405901</t>
  </si>
  <si>
    <t>HR-Svorka SR 02</t>
  </si>
  <si>
    <t>3540405902</t>
  </si>
  <si>
    <t>HR-Svorka SR 03</t>
  </si>
  <si>
    <t>3450913000</t>
  </si>
  <si>
    <t>Krabica  KO-125</t>
  </si>
  <si>
    <t>3450704200</t>
  </si>
  <si>
    <t>I-Rúrka FXP  25</t>
  </si>
  <si>
    <t>3540405904</t>
  </si>
  <si>
    <t>Asfalt náter</t>
  </si>
  <si>
    <t>46-M</t>
  </si>
  <si>
    <t>Zemné práce pre napojenie nn</t>
  </si>
  <si>
    <t>946</t>
  </si>
  <si>
    <t>460200164</t>
  </si>
  <si>
    <t>Hĺbenie káblovej ryhy 35 cm širokej a 80 cm hlbokej</t>
  </si>
  <si>
    <t>460200283</t>
  </si>
  <si>
    <t>Hĺbenie káblovej ryhy 50 cm širokej a 100 cm hlbokej</t>
  </si>
  <si>
    <t>460560164</t>
  </si>
  <si>
    <t>Zásyp káblovej ryhy 35 cm širokej a 80 cm hlbokej</t>
  </si>
  <si>
    <t xml:space="preserve">Zásyp  káblovej ryhy 50 cm širokej a 100 cm hlbokej, </t>
  </si>
  <si>
    <t>46051025</t>
  </si>
  <si>
    <t>PVC chránička Kopoflex d-63mm</t>
  </si>
  <si>
    <t>460420302</t>
  </si>
  <si>
    <t xml:space="preserve">Zriadenie káblového lôžka z preosiatej zeminy so zakrytím tehlami naprieč smeru kábla na šír. 35 cm   </t>
  </si>
  <si>
    <t>460490012</t>
  </si>
  <si>
    <t>Rozvinutie a uloženie výstražnej fólie z PVC do ryhy, šírka 33 cm</t>
  </si>
  <si>
    <t>F</t>
  </si>
  <si>
    <t>46-Mm</t>
  </si>
  <si>
    <t>Zemné práce - materiál</t>
  </si>
  <si>
    <t>2830002000</t>
  </si>
  <si>
    <t>Fólia červená v m</t>
  </si>
  <si>
    <t>2830002003</t>
  </si>
  <si>
    <t>Trubka kopoflex 63mm</t>
  </si>
  <si>
    <t>2830002006</t>
  </si>
  <si>
    <t>Krycia pltna KPL 30</t>
  </si>
  <si>
    <t>Obsypová drt 0-4mm</t>
  </si>
  <si>
    <t>Elektromontáže</t>
  </si>
  <si>
    <t>210204011</t>
  </si>
  <si>
    <t>Osvetľovací stožiar - oceľový do dľžky 10 m</t>
  </si>
  <si>
    <t>210204201</t>
  </si>
  <si>
    <t>Elektrovýstroj stožiara pre 1 okruh</t>
  </si>
  <si>
    <t>210202011</t>
  </si>
  <si>
    <t>Svietidlo vonkajšie A-LED 40W IP68</t>
  </si>
  <si>
    <t>3</t>
  </si>
  <si>
    <t>210810017</t>
  </si>
  <si>
    <t xml:space="preserve">Silový kábel medený 750 - 1000 V /mm2/ voľne uložený CYKY-CYKYm 750 V 5x4   </t>
  </si>
  <si>
    <t>210810005</t>
  </si>
  <si>
    <t>Silový kábel medený 750 - 1000 V /mm2/ voľne uložený CYKY-CYKYm 750 V 3x1.5</t>
  </si>
  <si>
    <t>210810006</t>
  </si>
  <si>
    <t>Silový kábel medený 750 - 1000 V /mm2/ voľne uložený CYKY-CYKYm 750 V 3x2,5  /studňa/</t>
  </si>
  <si>
    <t xml:space="preserve">Príplatok na zaťahovanie káblov, váha kábla do 2 kg   </t>
  </si>
  <si>
    <t>Ukončenie celoplastových káblov zmrašť. záklopkou alebo páskou do 4x16mm2</t>
  </si>
  <si>
    <t>210102001</t>
  </si>
  <si>
    <t xml:space="preserve">Spojka epoxidová pre celoplastové káble SVPe do 1 kV do 4 x 25 mm2   </t>
  </si>
  <si>
    <t>Uzemňovacie vedenie v zemi včít. svoriek, prepojenia, izolácie spojov FeZn do 120 mm2</t>
  </si>
  <si>
    <t>Bleskozvodová svorka do 2 skrutie  SR 03</t>
  </si>
  <si>
    <t>Bleskozvodová svorka nad 2 skrutky ( SR 01, 02)</t>
  </si>
  <si>
    <t>210204001P</t>
  </si>
  <si>
    <t>Demontáž jestvuj.stožiarov a svietidiel a uloženie na skládku</t>
  </si>
  <si>
    <t>Demontáž jestvuj. Betón.základov a uloženie na skládku</t>
  </si>
  <si>
    <t>210984587</t>
  </si>
  <si>
    <t>Plošina Avia</t>
  </si>
  <si>
    <t>210215484</t>
  </si>
  <si>
    <t>222585451</t>
  </si>
  <si>
    <t>Projekt skutočného vyhotovenia</t>
  </si>
  <si>
    <t>21-MD</t>
  </si>
  <si>
    <t>Dodávka materiálu</t>
  </si>
  <si>
    <t>3201258457</t>
  </si>
  <si>
    <t>Stožiar STK 60/40/3  pozink. 5m</t>
  </si>
  <si>
    <t>3652102145</t>
  </si>
  <si>
    <t>Stožiarová svorkovnica TB1 1POIST.</t>
  </si>
  <si>
    <t>3480148500</t>
  </si>
  <si>
    <t>A-Svietidlo vonk. LED 40W 50000hod  40W IP68</t>
  </si>
  <si>
    <t>Kábel/vodič pre pevné uloženie - medený CYKY-J   3x1,5</t>
  </si>
  <si>
    <t>3410105001</t>
  </si>
  <si>
    <t>Kábel pre pevné uloženie - medený CYKY-J   3x2,5  /studna/</t>
  </si>
  <si>
    <t>3410108000</t>
  </si>
  <si>
    <t>Kábel/vodič pre pevné uloženie - CYKY-J 5x4,0mm2</t>
  </si>
  <si>
    <t>3410108033</t>
  </si>
  <si>
    <t>Spojka kábel.  SVCZ 4x25 strhávacia</t>
  </si>
  <si>
    <t>1561523500</t>
  </si>
  <si>
    <t>Guľatina FeZn D10</t>
  </si>
  <si>
    <t>3544112000</t>
  </si>
  <si>
    <t>Páska uzemňovacia FeZn 30x4 mm</t>
  </si>
  <si>
    <t>3544112001</t>
  </si>
  <si>
    <t xml:space="preserve">HR-Svorka SR03 </t>
  </si>
  <si>
    <t>3544112002</t>
  </si>
  <si>
    <t>HR-Svorka SR02</t>
  </si>
  <si>
    <t>3202589542</t>
  </si>
  <si>
    <t>Púzdrový základ pre stožiar 4m</t>
  </si>
  <si>
    <t>PM</t>
  </si>
  <si>
    <t>460230004</t>
  </si>
  <si>
    <t xml:space="preserve">Výkop pre káblovú spojku a odbočnicu, ryha pre kábel do 10 kV v zemina triedy 4   </t>
  </si>
  <si>
    <t>460050004</t>
  </si>
  <si>
    <t>Jama pre jednoduchý stožiar nepätkovaný dĺžky 5-8 m, v rovine,zásyp a zhutnenie,zemina tr.4</t>
  </si>
  <si>
    <t>460109959</t>
  </si>
  <si>
    <t xml:space="preserve">Zriadenie púzdrového základu pre stožiar </t>
  </si>
  <si>
    <t>ZŚ s MŚ SUT - REKONŚTRUKCIA AREÁLU - TRNAVA</t>
  </si>
  <si>
    <t xml:space="preserve"> SO 11 Areálové osvetlenie</t>
  </si>
  <si>
    <t/>
  </si>
  <si>
    <t>Datum:</t>
  </si>
  <si>
    <t>Zadavatel:</t>
  </si>
  <si>
    <t>Zhotovitel:</t>
  </si>
  <si>
    <t>Projektant:</t>
  </si>
  <si>
    <t>základní</t>
  </si>
  <si>
    <t>Cena celkem [EUR]</t>
  </si>
  <si>
    <t>-1</t>
  </si>
  <si>
    <t>PČ</t>
  </si>
  <si>
    <t>Typ</t>
  </si>
  <si>
    <t>Množství</t>
  </si>
  <si>
    <t>J.cena [EUR]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</si>
  <si>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</si>
  <si>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</si>
  <si>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</si>
  <si>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</si>
  <si>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</si>
  <si>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</si>
  <si>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</si>
  <si>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 xml:space="preserve"> Práce a dodávky HSV</t>
  </si>
  <si>
    <t>ROZPOCET</t>
  </si>
  <si>
    <t>121101101_R</t>
  </si>
  <si>
    <t>4</t>
  </si>
  <si>
    <t>243359498</t>
  </si>
  <si>
    <t>PP</t>
  </si>
  <si>
    <t>Zakládání</t>
  </si>
  <si>
    <t>693111460</t>
  </si>
  <si>
    <t>GEOFILTEX 63 63/30 300 g/m2 do š 8,8 m D+ M</t>
  </si>
  <si>
    <t>8</t>
  </si>
  <si>
    <t>-1189593450</t>
  </si>
  <si>
    <t>59217017_R</t>
  </si>
  <si>
    <t>5</t>
  </si>
  <si>
    <t>Komunikace pozemní</t>
  </si>
  <si>
    <t>564231111</t>
  </si>
  <si>
    <t>232026926</t>
  </si>
  <si>
    <t>564760111</t>
  </si>
  <si>
    <t>1724381769</t>
  </si>
  <si>
    <t>565191111A</t>
  </si>
  <si>
    <t>-348801081</t>
  </si>
  <si>
    <t>57922122_R</t>
  </si>
  <si>
    <t>1571037800</t>
  </si>
  <si>
    <t>-832021754</t>
  </si>
  <si>
    <t>-1738658847</t>
  </si>
  <si>
    <t>PW3</t>
  </si>
  <si>
    <t>512</t>
  </si>
  <si>
    <t>1980157074</t>
  </si>
  <si>
    <t>PW1</t>
  </si>
  <si>
    <t>-1187355513</t>
  </si>
  <si>
    <t>PW2</t>
  </si>
  <si>
    <t>PW4</t>
  </si>
  <si>
    <t>PW5</t>
  </si>
  <si>
    <t>PF1</t>
  </si>
  <si>
    <t>PF3</t>
  </si>
  <si>
    <t>PF2</t>
  </si>
  <si>
    <t>PF4</t>
  </si>
  <si>
    <t>PF5</t>
  </si>
  <si>
    <t>PF6</t>
  </si>
  <si>
    <t>998</t>
  </si>
  <si>
    <t>998225111</t>
  </si>
  <si>
    <t>2062050430</t>
  </si>
  <si>
    <t>SO 03  Multifunkčné ihrisko</t>
  </si>
  <si>
    <t>Dátum:</t>
  </si>
  <si>
    <t>Náklady rozpočtu celkom</t>
  </si>
  <si>
    <t>560513444</t>
  </si>
  <si>
    <t>57922122_R1</t>
  </si>
  <si>
    <t>57922122_R2</t>
  </si>
  <si>
    <t>57922122_R3</t>
  </si>
  <si>
    <t>Dopadová plocha, gumové rohože</t>
  </si>
  <si>
    <t>HP1</t>
  </si>
  <si>
    <t>HP2</t>
  </si>
  <si>
    <t>HP3</t>
  </si>
  <si>
    <t>HP4</t>
  </si>
  <si>
    <t>HP5</t>
  </si>
  <si>
    <t>HP6</t>
  </si>
  <si>
    <t>HP7</t>
  </si>
  <si>
    <t>HP8</t>
  </si>
  <si>
    <t>HP9</t>
  </si>
  <si>
    <t>HP10</t>
  </si>
  <si>
    <t>HP11</t>
  </si>
  <si>
    <t>HP12</t>
  </si>
  <si>
    <t>SO 13  Detské ihrisko</t>
  </si>
  <si>
    <t>False</t>
  </si>
  <si>
    <t>Miesto:</t>
  </si>
  <si>
    <t>Spracovateľ:</t>
  </si>
  <si>
    <t>Ing.Ján Štrba</t>
  </si>
  <si>
    <t>Náklady z rozpočtu</t>
  </si>
  <si>
    <t>znížená</t>
  </si>
  <si>
    <t>Cena celkom [EUR]</t>
  </si>
  <si>
    <t>J. materiál [EUR]</t>
  </si>
  <si>
    <t>J. montáž [EUR]</t>
  </si>
  <si>
    <t>Cenová sústava</t>
  </si>
  <si>
    <t>Materiál celkom [EUR]</t>
  </si>
  <si>
    <t>Montáž celkom [EUR]</t>
  </si>
  <si>
    <t>Nh celkom [h]</t>
  </si>
  <si>
    <t>J. hmotnosť [t]</t>
  </si>
  <si>
    <t>Hmotnosť celkom [t]</t>
  </si>
  <si>
    <t>Suť Celkom [t]</t>
  </si>
  <si>
    <t>175101101.S</t>
  </si>
  <si>
    <t>Obsyp potrubia sypaninou z vhodných hornín 1 až 4 bez prehodenia sypaniny</t>
  </si>
  <si>
    <t>-1413111208</t>
  </si>
  <si>
    <t>VV</t>
  </si>
  <si>
    <t>Splašková kanalizácia K1-K7</t>
  </si>
  <si>
    <t>True</t>
  </si>
  <si>
    <t>(0,8-0,125)*0,125*(1+3,5+1+1+1+8+5)</t>
  </si>
  <si>
    <t>0,8*0,3*(1+3,5+1+1+1+8+5)</t>
  </si>
  <si>
    <t>Dažďová kanalizácia D1-D2</t>
  </si>
  <si>
    <t>(0,8-0,125)*0,125*(3,5+3,5)</t>
  </si>
  <si>
    <t>0,8*0,15*(3,5+3,5)</t>
  </si>
  <si>
    <t>Chránička vysokotlak. potrubie voda</t>
  </si>
  <si>
    <t>0,6*0,3*9,5</t>
  </si>
  <si>
    <t>Súčet</t>
  </si>
  <si>
    <t>583310000600.S</t>
  </si>
  <si>
    <t>Kamenivo ťažené drobné frakcia 0-4 mm</t>
  </si>
  <si>
    <t>-926834852</t>
  </si>
  <si>
    <t>(0,8-0,125)*0,125*(1+3,5+1+1+1+8+5)*1,65</t>
  </si>
  <si>
    <t>0,8*0,3*(1+3,5+1+1+1+8+5)*1,65</t>
  </si>
  <si>
    <t>(0,8-0,125)*0,125*(3,5+3,5)*1,65</t>
  </si>
  <si>
    <t>0,8*0,15*(3,5+3,5)*1,65</t>
  </si>
  <si>
    <t>0,6*0,3*9,5*1,65</t>
  </si>
  <si>
    <t>451573111</t>
  </si>
  <si>
    <t>Lôžko pod potrubie, stoky a drobné objekty, v otvorenom výkope z piesku a štrkopiesku do 63 mm</t>
  </si>
  <si>
    <t>-1696128607</t>
  </si>
  <si>
    <t>0,8*0,15*(1+3,5+1+1+1+8+5)</t>
  </si>
  <si>
    <t>0,6*0,15*9,5</t>
  </si>
  <si>
    <t>1312901333</t>
  </si>
  <si>
    <t>0,8*0,15*(1+3,5+1+1+1+8+5)*1,65</t>
  </si>
  <si>
    <t>0,6*0,15*9,5*1,65</t>
  </si>
  <si>
    <t>Rúrové vedenie</t>
  </si>
  <si>
    <t>871181002.S</t>
  </si>
  <si>
    <t>Montáž vodovodného potrubia z dvojvsrtvového PE 100 SDR11/PN16 zváraných natupo D 40x3,7 mm</t>
  </si>
  <si>
    <t>-2081130504</t>
  </si>
  <si>
    <t>VYSOKOLAKÝ ROZVOD VODY-VODNÁ HMLA- CHRÁNIČKA</t>
  </si>
  <si>
    <t>10</t>
  </si>
  <si>
    <t>6</t>
  </si>
  <si>
    <t>286130033500.S</t>
  </si>
  <si>
    <t>Rúra HDPE na vodu PE100 PN16 SDR11 40x3,7x100 m</t>
  </si>
  <si>
    <t>1489280320</t>
  </si>
  <si>
    <t>713</t>
  </si>
  <si>
    <t>Izolácie tepelné</t>
  </si>
  <si>
    <t>7</t>
  </si>
  <si>
    <t>713482121.S</t>
  </si>
  <si>
    <t>Montáž trubíc z PE, hr.13-20 mm,vnút.priemer do 38 mm</t>
  </si>
  <si>
    <t>16</t>
  </si>
  <si>
    <t>-1928152213</t>
  </si>
  <si>
    <t>24+10+4</t>
  </si>
  <si>
    <t>283310002900.S</t>
  </si>
  <si>
    <t>Izolačná PE trubica dxhr. 22x13 mm, nadrezaná, na izolovanie rozvodov vody, kúrenia, zdravotechniky</t>
  </si>
  <si>
    <t>32</t>
  </si>
  <si>
    <t>1566959680</t>
  </si>
  <si>
    <t>23</t>
  </si>
  <si>
    <t>9</t>
  </si>
  <si>
    <t>283310003100.S</t>
  </si>
  <si>
    <t>Izolačná PE trubica dxhr. 28x13 mm, nadrezaná, na izolovanie rozvodov vody, kúrenia, zdravotechniky</t>
  </si>
  <si>
    <t>-1390382220</t>
  </si>
  <si>
    <t>283310003300.S</t>
  </si>
  <si>
    <t>Izolačná PE trubica dxhr. 35x13 mm, nadrezaná, na izolovanie rozvodov vody, kúrenia, zdravotechniky</t>
  </si>
  <si>
    <t>1359051735</t>
  </si>
  <si>
    <t>11</t>
  </si>
  <si>
    <t>283310004700.S</t>
  </si>
  <si>
    <t>Izolačná PE trubica dxhr. 22x20 mm, nadrezaná, na izolovanie rozvodov vody, kúrenia, zdravotechniky</t>
  </si>
  <si>
    <t>-420733782</t>
  </si>
  <si>
    <t>1*1,02 'Prepočítané koeficientom množstva</t>
  </si>
  <si>
    <t>12</t>
  </si>
  <si>
    <t>998713101.S</t>
  </si>
  <si>
    <t>Presun hmôt pre izolácie tepelné v objektoch výšky do 6 m</t>
  </si>
  <si>
    <t>-1053545029</t>
  </si>
  <si>
    <t>721</t>
  </si>
  <si>
    <t>Zdravotechnika - vnútorná kanalizácia</t>
  </si>
  <si>
    <t>13</t>
  </si>
  <si>
    <t>721171109.S</t>
  </si>
  <si>
    <t>Potrubie z PVC - U odpadové ležaté hrdlové D 110 mm</t>
  </si>
  <si>
    <t>-42028373</t>
  </si>
  <si>
    <t>Splašková kanalizácia K4-K7</t>
  </si>
  <si>
    <t>2+2,5+1+1</t>
  </si>
  <si>
    <t>14</t>
  </si>
  <si>
    <t>721171110.S</t>
  </si>
  <si>
    <t>Potrubie z PVC - U odpadové ležaté hrdlové D 125 mm</t>
  </si>
  <si>
    <t>1746962152</t>
  </si>
  <si>
    <t>Splašková kanalizácia K1,K2, K3, K6, K7</t>
  </si>
  <si>
    <t>1+3,5+1+2,5+3,5</t>
  </si>
  <si>
    <t>3,5+3,5</t>
  </si>
  <si>
    <t>15</t>
  </si>
  <si>
    <t>721171112.S</t>
  </si>
  <si>
    <t>Potrubie z PVC - U odpadové ležaté hrdlové D 160 mm</t>
  </si>
  <si>
    <t>1932620845</t>
  </si>
  <si>
    <t>Splašková kanalizácia K6</t>
  </si>
  <si>
    <t>3,5</t>
  </si>
  <si>
    <t>721172403.S</t>
  </si>
  <si>
    <t>Montáž odhlučneného odpadového potrubia vodorovného DN 50</t>
  </si>
  <si>
    <t>-829973770</t>
  </si>
  <si>
    <t>Splašková kanalizácia K1, K2, K4, K5</t>
  </si>
  <si>
    <t>17</t>
  </si>
  <si>
    <t>721172424.S</t>
  </si>
  <si>
    <t>Montáž odhlučneného odpadového potrubia zvislého DN 50</t>
  </si>
  <si>
    <t>2083749491</t>
  </si>
  <si>
    <t>2+1+1+1</t>
  </si>
  <si>
    <t>Splašková kanalizácia K6,K7</t>
  </si>
  <si>
    <t>18</t>
  </si>
  <si>
    <t>286140042400.S</t>
  </si>
  <si>
    <t>Rúra PP odhlučnená D 50 mm dĺ. 1 m, tichý systém pre rozvod vnútorného odpadu</t>
  </si>
  <si>
    <t>-1946866391</t>
  </si>
  <si>
    <t>19</t>
  </si>
  <si>
    <t>721172409.S</t>
  </si>
  <si>
    <t>Montáž odhlučneného odpadového potrubia vodorovného DN 110</t>
  </si>
  <si>
    <t>-587530855</t>
  </si>
  <si>
    <t>Splašková kanalizácia K1</t>
  </si>
  <si>
    <t>Splašková kanalizácia K2</t>
  </si>
  <si>
    <t>Splašková kanalizácia K3</t>
  </si>
  <si>
    <t>20</t>
  </si>
  <si>
    <t>721172430.S</t>
  </si>
  <si>
    <t>Montáž odhlučneného odpadového potrubia zvislého DN 110</t>
  </si>
  <si>
    <t>-115009961</t>
  </si>
  <si>
    <t>4*2</t>
  </si>
  <si>
    <t>21</t>
  </si>
  <si>
    <t>286140043700.S</t>
  </si>
  <si>
    <t>Rúra PP odhlučnená DN 110 mm dĺ. 1 m, tichý systém pre rozvod vnútorného odpadu</t>
  </si>
  <si>
    <t>423828036</t>
  </si>
  <si>
    <t>22</t>
  </si>
  <si>
    <t>721172451.S</t>
  </si>
  <si>
    <t>Montáž kolena pre odhlučnené potrubia DN 110</t>
  </si>
  <si>
    <t>-482892383</t>
  </si>
  <si>
    <t>286540056900.S</t>
  </si>
  <si>
    <t>Koleno odhlučnené DN 110, tichý odpadový systém</t>
  </si>
  <si>
    <t>160810751</t>
  </si>
  <si>
    <t>24</t>
  </si>
  <si>
    <t>721172472.S</t>
  </si>
  <si>
    <t>Montáž odbočky pre odhlučnené potrubia DN 110</t>
  </si>
  <si>
    <t>-562675592</t>
  </si>
  <si>
    <t>1+1+1</t>
  </si>
  <si>
    <t>25</t>
  </si>
  <si>
    <t>286540104600.S</t>
  </si>
  <si>
    <t>Odbočka odhlučnená DN 110, tichý odpadový systém</t>
  </si>
  <si>
    <t>650469089</t>
  </si>
  <si>
    <t>26</t>
  </si>
  <si>
    <t>721172487.S</t>
  </si>
  <si>
    <t>Montáž redukcie pre odhlučnené potrubia DN 75</t>
  </si>
  <si>
    <t>-929286652</t>
  </si>
  <si>
    <t>Splašková kanalizácia K4,K5</t>
  </si>
  <si>
    <t>27</t>
  </si>
  <si>
    <t>286540082300.S</t>
  </si>
  <si>
    <t>Redukcia odhlučnená PP DN 75/50, tichý odpadový systém</t>
  </si>
  <si>
    <t>-1577134185</t>
  </si>
  <si>
    <t>28</t>
  </si>
  <si>
    <t>721172490.S</t>
  </si>
  <si>
    <t>Montáž redukcie pre odhlučnené potrubia DN 110</t>
  </si>
  <si>
    <t>1300172205</t>
  </si>
  <si>
    <t>29</t>
  </si>
  <si>
    <t>286540083100.S</t>
  </si>
  <si>
    <t>Redukcia odhlučnená krátka PP DN 110/50, tichý odpadový systém</t>
  </si>
  <si>
    <t>-1594314206</t>
  </si>
  <si>
    <t>30</t>
  </si>
  <si>
    <t>286540083200.S</t>
  </si>
  <si>
    <t>Redukcia odhlučnená krátka PP DN 110/75, tichý odpadový systém</t>
  </si>
  <si>
    <t>-203902972</t>
  </si>
  <si>
    <t>31</t>
  </si>
  <si>
    <t>721172493.S</t>
  </si>
  <si>
    <t>Montáž redukcie pre odhlučnené potrubia DN 125</t>
  </si>
  <si>
    <t>1494821635</t>
  </si>
  <si>
    <t>Splašková kanalizácia K1-K3</t>
  </si>
  <si>
    <t>286540082600.S</t>
  </si>
  <si>
    <t>Redukcia odhlučnená PP DN 125/100, tichý odpadový systém</t>
  </si>
  <si>
    <t>-1172804481</t>
  </si>
  <si>
    <t>33</t>
  </si>
  <si>
    <t>721172503.S</t>
  </si>
  <si>
    <t>Montáž čistiaceho kusu pre odhlučnené potrubia DN 110</t>
  </si>
  <si>
    <t>748847408</t>
  </si>
  <si>
    <t>34</t>
  </si>
  <si>
    <t>286540142100.S</t>
  </si>
  <si>
    <t>Čistiaci kus odhlučnený PP DN 110, tichý odpadový systém</t>
  </si>
  <si>
    <t>-689291330</t>
  </si>
  <si>
    <t>35</t>
  </si>
  <si>
    <t>721172233.S</t>
  </si>
  <si>
    <t>Montáž odpadového HT potrubia zvislého DN 100</t>
  </si>
  <si>
    <t>1931704550</t>
  </si>
  <si>
    <t>3+3+3</t>
  </si>
  <si>
    <t>36</t>
  </si>
  <si>
    <t>286140038600.S</t>
  </si>
  <si>
    <t>HT rúra hrdlová DN 100 dĺ. 1 m, PP systém pre rozvod vnútorného odpadu</t>
  </si>
  <si>
    <t>2064772213</t>
  </si>
  <si>
    <t>37</t>
  </si>
  <si>
    <t>721172393.S</t>
  </si>
  <si>
    <t>Montáž vetracej hlavice pre HT potrubie DN 100</t>
  </si>
  <si>
    <t>-540846837</t>
  </si>
  <si>
    <t>38</t>
  </si>
  <si>
    <t>429720001200.S</t>
  </si>
  <si>
    <t>Hlavica vetracia HT DN 100, PP systém pre rozvod vnútorného odpadu</t>
  </si>
  <si>
    <t>-463551517</t>
  </si>
  <si>
    <t>39</t>
  </si>
  <si>
    <t>721194104.S</t>
  </si>
  <si>
    <t>Zriadenie prípojky na potrubí vyvedenie a upevnenie odpadových výpustiek D 40 mm</t>
  </si>
  <si>
    <t>2077964089</t>
  </si>
  <si>
    <t>Miestnosť 1.02, 1.03, 1.06, 1.08-U</t>
  </si>
  <si>
    <t>40</t>
  </si>
  <si>
    <t>721194105.S</t>
  </si>
  <si>
    <t>Zriadenie prípojky na potrubí vyvedenie a upevnenie odpadových výpustiek D 50 mm</t>
  </si>
  <si>
    <t>1679066028</t>
  </si>
  <si>
    <t>Miestnosť 1.05-V</t>
  </si>
  <si>
    <t>Miestnosť 1.06-P</t>
  </si>
  <si>
    <t>41</t>
  </si>
  <si>
    <t>721194109.S</t>
  </si>
  <si>
    <t>Zriadenie prípojky na potrubí vyvedenie a upevnenie odpadových výpustiek D 110 mm</t>
  </si>
  <si>
    <t>-1267859134</t>
  </si>
  <si>
    <t>Miestnosť 1.04, 1.07, 1.08-WC</t>
  </si>
  <si>
    <t>2+2+1</t>
  </si>
  <si>
    <t>42</t>
  </si>
  <si>
    <t>721230047.S</t>
  </si>
  <si>
    <t>Montáž strešného vtoku "izolovaného boxu" pre fóliové izolácie mechanicky kotveného DN 110</t>
  </si>
  <si>
    <t>657221747</t>
  </si>
  <si>
    <t>43</t>
  </si>
  <si>
    <t>286630019400.S</t>
  </si>
  <si>
    <t>Strešný vtok s izolačným tanierom, vertikálny odtok DN 110, záchytný kôš D 180 mm, pre zabudovanie do tepelných izolácií 100 - 160 mm</t>
  </si>
  <si>
    <t>524754529</t>
  </si>
  <si>
    <t>44</t>
  </si>
  <si>
    <t>721274112.S</t>
  </si>
  <si>
    <t>Montáž ventilačných hlavíc - iných typov DN 100</t>
  </si>
  <si>
    <t>-1314789111</t>
  </si>
  <si>
    <t>45</t>
  </si>
  <si>
    <t>429720001350.S</t>
  </si>
  <si>
    <t>Hlavica nerezová, vetracia štandardná D 110 mm</t>
  </si>
  <si>
    <t>1704642220</t>
  </si>
  <si>
    <t>46</t>
  </si>
  <si>
    <t>721290111.S</t>
  </si>
  <si>
    <t>Ostatné - skúška tesnosti kanalizácie v objektoch vodou do DN 125</t>
  </si>
  <si>
    <t>2003324152</t>
  </si>
  <si>
    <t xml:space="preserve">Splašková kanalizácia </t>
  </si>
  <si>
    <t>4+7+2+3+3+9+6,5+11,5</t>
  </si>
  <si>
    <t xml:space="preserve">Dažďová kanalizácia </t>
  </si>
  <si>
    <t>4+4+3,5+3,5</t>
  </si>
  <si>
    <t>47</t>
  </si>
  <si>
    <t>721290112.S</t>
  </si>
  <si>
    <t>Ostatné - skúška tesnosti kanalizácie v objektoch vodou DN 150 alebo DN 200</t>
  </si>
  <si>
    <t>-197724614</t>
  </si>
  <si>
    <t>48</t>
  </si>
  <si>
    <t>998721101.S</t>
  </si>
  <si>
    <t>Presun hmôt pre vnútornú kanalizáciu v objektoch výšky do 6 m</t>
  </si>
  <si>
    <t>-701394451</t>
  </si>
  <si>
    <t>722</t>
  </si>
  <si>
    <t>Zdravotechnika - vnútorný vodovod</t>
  </si>
  <si>
    <t>49</t>
  </si>
  <si>
    <t>722171132.S</t>
  </si>
  <si>
    <t>Potrubie plasthliníkové D 20 mm</t>
  </si>
  <si>
    <t>743200865</t>
  </si>
  <si>
    <t>Studená pitná voda (vodorovne)</t>
  </si>
  <si>
    <t>1+1,5+1,5+2+1,5+0,5+0,5+1+1+4+0,5+2</t>
  </si>
  <si>
    <t>Studená pitná voda (zvisle)</t>
  </si>
  <si>
    <t>0,5+0,5+0,5+0,5+0,5+0,5+1+1+0,5+0,5+1</t>
  </si>
  <si>
    <t>50</t>
  </si>
  <si>
    <t>722171133.S</t>
  </si>
  <si>
    <t>Potrubie plasthliníkové D 26 mm</t>
  </si>
  <si>
    <t>64422921</t>
  </si>
  <si>
    <t>8+1</t>
  </si>
  <si>
    <t>51</t>
  </si>
  <si>
    <t>722171134.S</t>
  </si>
  <si>
    <t>Potrubie plasthliníkové D 32 mm</t>
  </si>
  <si>
    <t>-436820403</t>
  </si>
  <si>
    <t>0,5</t>
  </si>
  <si>
    <t>52</t>
  </si>
  <si>
    <t>722173157.S</t>
  </si>
  <si>
    <t>Montáž plasthliníkového prechodu pre vodu lisovaním D 20 mm</t>
  </si>
  <si>
    <t>1562137428</t>
  </si>
  <si>
    <t>Miestnosť 1.02, 1.03, 1.04, 1.05, 1.06, 1.07, 1.08, 1.09</t>
  </si>
  <si>
    <t>2+3+2+4+3+4+3+1</t>
  </si>
  <si>
    <t>53</t>
  </si>
  <si>
    <t>722190401.S</t>
  </si>
  <si>
    <t>Vyvedenie a upevnenie výpustky DN 15</t>
  </si>
  <si>
    <t>-2022867718</t>
  </si>
  <si>
    <t>Miestnosť 1.02, 1.03, 1.05, 1.06, 1.08, 1.09</t>
  </si>
  <si>
    <t>2+3+4+3+3+1</t>
  </si>
  <si>
    <t>54</t>
  </si>
  <si>
    <t>722220111.S</t>
  </si>
  <si>
    <t>Montáž armatúry závitovej s jedným závitom, nástenka pre výtokový ventil G 1/2</t>
  </si>
  <si>
    <t>-88730411</t>
  </si>
  <si>
    <t>2+3+2+3+3+1</t>
  </si>
  <si>
    <t>55</t>
  </si>
  <si>
    <t>722220121.S</t>
  </si>
  <si>
    <t>Montáž armatúry závitovej s jedným závitom, nástenka pre batériu G 1/2</t>
  </si>
  <si>
    <t>pár</t>
  </si>
  <si>
    <t>-1448602355</t>
  </si>
  <si>
    <t>Miestnosť 1.05</t>
  </si>
  <si>
    <t>56</t>
  </si>
  <si>
    <t>286220049900.S</t>
  </si>
  <si>
    <t>Nástenka lisovacia pre plasthliníkové potrubie D 20x1/2" mm</t>
  </si>
  <si>
    <t>-1852691197</t>
  </si>
  <si>
    <t>57</t>
  </si>
  <si>
    <t>286220023400.S</t>
  </si>
  <si>
    <t>Prechod lisovací pre plasthliníkové potrubia D 20x1/2"</t>
  </si>
  <si>
    <t>1268255759</t>
  </si>
  <si>
    <t>58</t>
  </si>
  <si>
    <t>722221020.S</t>
  </si>
  <si>
    <t>Montáž guľového kohúta závitového priameho pre vodu G 1</t>
  </si>
  <si>
    <t>-478837976</t>
  </si>
  <si>
    <t>Miestnosť 1.02</t>
  </si>
  <si>
    <t>59</t>
  </si>
  <si>
    <t>551110005100.S</t>
  </si>
  <si>
    <t>Guľový uzáver pre vodu 1", niklovaná mosadz, so šrobením</t>
  </si>
  <si>
    <t>-2121461012</t>
  </si>
  <si>
    <t>60</t>
  </si>
  <si>
    <t>722221275.S</t>
  </si>
  <si>
    <t>Montáž spätného ventilu závitového G 1</t>
  </si>
  <si>
    <t>-459718526</t>
  </si>
  <si>
    <t>61</t>
  </si>
  <si>
    <t>551110016500.S</t>
  </si>
  <si>
    <t>Spätný ventil kontrolovateľný, 1" FF, PN 16, mosadz, disk plast</t>
  </si>
  <si>
    <t>-1390006063</t>
  </si>
  <si>
    <t>62</t>
  </si>
  <si>
    <t>725819401.S</t>
  </si>
  <si>
    <t>Montáž ventilu rohového s pripojovacou rúrkou G 1/2</t>
  </si>
  <si>
    <t>821073640</t>
  </si>
  <si>
    <t>63</t>
  </si>
  <si>
    <t>551110020100.S</t>
  </si>
  <si>
    <t>Guľový ventil rohový, 1/2" - 3/8", s filtrom, chrómovaná mosadz</t>
  </si>
  <si>
    <t>-618108360</t>
  </si>
  <si>
    <t>Miestnosť 1.02, 1.03, 1.05, 1.06, 1.08</t>
  </si>
  <si>
    <t>2+3+2+3+3</t>
  </si>
  <si>
    <t>64</t>
  </si>
  <si>
    <t>551110020200.S</t>
  </si>
  <si>
    <t>Guľový ventil pračkový, 1/2" - 3/4", so spätnou klapkou, chrómovaná mosadz</t>
  </si>
  <si>
    <t>-1025957606</t>
  </si>
  <si>
    <t>Miestnosť  1.09</t>
  </si>
  <si>
    <t>65</t>
  </si>
  <si>
    <t>722221430.S</t>
  </si>
  <si>
    <t>Montáž pripojovacej sanitárnej flexi hadice G 1/2</t>
  </si>
  <si>
    <t>1985998932</t>
  </si>
  <si>
    <t>3+5+2+5+4</t>
  </si>
  <si>
    <t>66</t>
  </si>
  <si>
    <t>552270004800.S</t>
  </si>
  <si>
    <t>Hadica flexi nerezová sanitárna ohybná F 3/8" x F 1/2", dĺ. 600 mm, pripojovacia do sanitárnych rozvodov</t>
  </si>
  <si>
    <t>2062378294</t>
  </si>
  <si>
    <t>67</t>
  </si>
  <si>
    <t>552270005000.S</t>
  </si>
  <si>
    <t>Hadica flexi nerezová sanitárna ohybná F 3/8" x F 1/2", dĺ. 1000 mm, pripojovacia do sanitárnych rozvodov</t>
  </si>
  <si>
    <t>-879262849</t>
  </si>
  <si>
    <t>Miestnosť 1.02, 1.03, 1.06, 1.08</t>
  </si>
  <si>
    <t>1+2+2+1</t>
  </si>
  <si>
    <t>68</t>
  </si>
  <si>
    <t>722221435.S</t>
  </si>
  <si>
    <t>Montáž pripojovacej sanitárnej flexi hadice G 3/4</t>
  </si>
  <si>
    <t>1545634154</t>
  </si>
  <si>
    <t>69</t>
  </si>
  <si>
    <t>552270000700.S</t>
  </si>
  <si>
    <t>Hadica flexi nerezová 3/4", dĺ. 1000 mm, priemyselná pripojovacia pre vykurovanie, chladenie, sanitu</t>
  </si>
  <si>
    <t>-1573826431</t>
  </si>
  <si>
    <t>70</t>
  </si>
  <si>
    <t>722290226.S</t>
  </si>
  <si>
    <t>Tlaková skúška vodovodného potrubia závitového do DN 50</t>
  </si>
  <si>
    <t>-1808604453</t>
  </si>
  <si>
    <t>71</t>
  </si>
  <si>
    <t>722290234.S</t>
  </si>
  <si>
    <t>Prepláchnutie a dezinfekcia vodovodného potrubia do DN 80</t>
  </si>
  <si>
    <t>257533203</t>
  </si>
  <si>
    <t>72</t>
  </si>
  <si>
    <t>998722101.S</t>
  </si>
  <si>
    <t>Presun hmôt pre vnútorný vodovod v objektoch výšky do 6 m</t>
  </si>
  <si>
    <t>1890500940</t>
  </si>
  <si>
    <t>725</t>
  </si>
  <si>
    <t>Zdravotechnika - zariaďovacie predmety</t>
  </si>
  <si>
    <t>73</t>
  </si>
  <si>
    <t>725149701.S</t>
  </si>
  <si>
    <t>Montáž predstenového systému záchodov do masívnej murovanej konštrukcie</t>
  </si>
  <si>
    <t>-1155858770</t>
  </si>
  <si>
    <t>Miestnosť 1.04, 1.07</t>
  </si>
  <si>
    <t>2+2</t>
  </si>
  <si>
    <t>74</t>
  </si>
  <si>
    <t>552370000100.S</t>
  </si>
  <si>
    <t>Predstenový systém pre závesné WC so splachovacou podomietkovou nádržou do ľahkých montovaných konštrukcií</t>
  </si>
  <si>
    <t>868164900</t>
  </si>
  <si>
    <t>75</t>
  </si>
  <si>
    <t>725149720.S</t>
  </si>
  <si>
    <t>Montáž záchodu do predstenového systému</t>
  </si>
  <si>
    <t>160301006</t>
  </si>
  <si>
    <t>76</t>
  </si>
  <si>
    <t>642360000500.S</t>
  </si>
  <si>
    <t>Misa záchodová keramická závesná so splachovacím okruhom</t>
  </si>
  <si>
    <t>-10578138</t>
  </si>
  <si>
    <t>77</t>
  </si>
  <si>
    <t>725291112.S</t>
  </si>
  <si>
    <t>Montáž záchodového sedadla s poklopom</t>
  </si>
  <si>
    <t>-1161421773</t>
  </si>
  <si>
    <t>78</t>
  </si>
  <si>
    <t>554330000200.S</t>
  </si>
  <si>
    <t>Záchodové sedadlo plastové s poklopom s automatickým pozvoľným sklápaním</t>
  </si>
  <si>
    <t>1644500965</t>
  </si>
  <si>
    <t>79</t>
  </si>
  <si>
    <t>725119415.S</t>
  </si>
  <si>
    <t>Montáž záchodovej misy keramickej bezbariérovej</t>
  </si>
  <si>
    <t>-1006545590</t>
  </si>
  <si>
    <t>Miestnosť  1.08</t>
  </si>
  <si>
    <t>80</t>
  </si>
  <si>
    <t>642360004900.S</t>
  </si>
  <si>
    <t>Misa záchodová keramická závesná bezbariérová, bez splachovacieho okruhu</t>
  </si>
  <si>
    <t>859099502</t>
  </si>
  <si>
    <t>81</t>
  </si>
  <si>
    <t>725119107.S</t>
  </si>
  <si>
    <t>Montáž splachovacej nádržky keramickej s bočným napúštaním</t>
  </si>
  <si>
    <t>1736369941</t>
  </si>
  <si>
    <t>82</t>
  </si>
  <si>
    <t>642370000800.S</t>
  </si>
  <si>
    <t>Nádržka keramická s dvojitým splachovaním</t>
  </si>
  <si>
    <t>787260267</t>
  </si>
  <si>
    <t>83</t>
  </si>
  <si>
    <t>-549650034</t>
  </si>
  <si>
    <t>Miestnosť 1.08</t>
  </si>
  <si>
    <t>84</t>
  </si>
  <si>
    <t>1133254537</t>
  </si>
  <si>
    <t>85</t>
  </si>
  <si>
    <t>725149730.S</t>
  </si>
  <si>
    <t>Montáž predstenového systému pisoárov do masívnej murovanej konštrukcie</t>
  </si>
  <si>
    <t>1334874875</t>
  </si>
  <si>
    <t>Miestnosť  1.07</t>
  </si>
  <si>
    <t>86</t>
  </si>
  <si>
    <t>552370002000.S</t>
  </si>
  <si>
    <t>Predstenový systém pre pisoár do murovaných alebo betónových konštrukcií</t>
  </si>
  <si>
    <t>-1496758379</t>
  </si>
  <si>
    <t>87</t>
  </si>
  <si>
    <t>725149745.S</t>
  </si>
  <si>
    <t>Montáž pisoáru do predstenového systému</t>
  </si>
  <si>
    <t>-485891593</t>
  </si>
  <si>
    <t>88</t>
  </si>
  <si>
    <t>642510000200.S</t>
  </si>
  <si>
    <t>Pisoár so senzorom keramický</t>
  </si>
  <si>
    <t>-2024128443</t>
  </si>
  <si>
    <t>89</t>
  </si>
  <si>
    <t>725149750.S</t>
  </si>
  <si>
    <t>Montáž predstenového systému umývadiel do masívnej murovanej konštrukcie</t>
  </si>
  <si>
    <t>64626671</t>
  </si>
  <si>
    <t>Miestnosť 1.03, 1.06</t>
  </si>
  <si>
    <t>90</t>
  </si>
  <si>
    <t>552370001200.S</t>
  </si>
  <si>
    <t>Predstenový systém pre umývadlo do murovaných alebo betónových konštrukcií</t>
  </si>
  <si>
    <t>-49389432</t>
  </si>
  <si>
    <t>91</t>
  </si>
  <si>
    <t>725149765.S</t>
  </si>
  <si>
    <t>Montáž umývadla do predstenového systému</t>
  </si>
  <si>
    <t>-770414779</t>
  </si>
  <si>
    <t>92</t>
  </si>
  <si>
    <t>642110004300.S</t>
  </si>
  <si>
    <t>Umývadlo keramické bežný typ</t>
  </si>
  <si>
    <t>1006214678</t>
  </si>
  <si>
    <t>93</t>
  </si>
  <si>
    <t>725219401.S</t>
  </si>
  <si>
    <t>Montáž umývadla keramického na skrutky do muriva, bez výtokovej armatúry</t>
  </si>
  <si>
    <t>-1743759341</t>
  </si>
  <si>
    <t>Miestnosť 1.02, 1.08</t>
  </si>
  <si>
    <t>1+1</t>
  </si>
  <si>
    <t>94</t>
  </si>
  <si>
    <t>-2090933537</t>
  </si>
  <si>
    <t>95</t>
  </si>
  <si>
    <t>642110005300.S</t>
  </si>
  <si>
    <t>Umývadlo keramické asymetrické</t>
  </si>
  <si>
    <t>-1874783437</t>
  </si>
  <si>
    <t>96</t>
  </si>
  <si>
    <t>725332320.S</t>
  </si>
  <si>
    <t>Montáž výlevky keramickej závesnej bez výtokovej armatúry</t>
  </si>
  <si>
    <t>-580320652</t>
  </si>
  <si>
    <t>97</t>
  </si>
  <si>
    <t>642710000100.S</t>
  </si>
  <si>
    <t>Výlevka stojatá keramická s plastovou mrežou</t>
  </si>
  <si>
    <t>-1149162717</t>
  </si>
  <si>
    <t>98</t>
  </si>
  <si>
    <t>725291113.S</t>
  </si>
  <si>
    <t>Montaž doplnkov zariadení kúpeľní a záchodov, drobné predmety (držiak na uterák, mydelnička)</t>
  </si>
  <si>
    <t>1601329914</t>
  </si>
  <si>
    <t>Miestnosť 1.02, 1.03, 1.04, 1.06, 1.07, 1.08</t>
  </si>
  <si>
    <t>99</t>
  </si>
  <si>
    <t>552280013400.S</t>
  </si>
  <si>
    <t>Držiak toaletného papiera</t>
  </si>
  <si>
    <t>278863944</t>
  </si>
  <si>
    <t>Miestnosť  1.04, 1.07, 1.08</t>
  </si>
  <si>
    <t>100</t>
  </si>
  <si>
    <t>552280014100.S</t>
  </si>
  <si>
    <t>Zásobník mydla s keramickým dávkovačom</t>
  </si>
  <si>
    <t>1899090995</t>
  </si>
  <si>
    <t>101</t>
  </si>
  <si>
    <t>634650000200.S</t>
  </si>
  <si>
    <t>Zrkadlo nerezové pre telesne postihnuté osoby</t>
  </si>
  <si>
    <t>-1044629333</t>
  </si>
  <si>
    <t>102</t>
  </si>
  <si>
    <t>634650000100.S</t>
  </si>
  <si>
    <t>Zrkadlo nerezové opatrené proti vandalom</t>
  </si>
  <si>
    <t>1330772789</t>
  </si>
  <si>
    <t>Miestnosť 1.02, 1.03, 1.06</t>
  </si>
  <si>
    <t>103</t>
  </si>
  <si>
    <t>725291114.S</t>
  </si>
  <si>
    <t>Montáž doplnkov zariadení kúpeľní a záchodov, madlá</t>
  </si>
  <si>
    <t>724687212</t>
  </si>
  <si>
    <t>104</t>
  </si>
  <si>
    <t>552380012400.S</t>
  </si>
  <si>
    <t>Madlo nerezové univerzálne pevné</t>
  </si>
  <si>
    <t>1957291748</t>
  </si>
  <si>
    <t>105</t>
  </si>
  <si>
    <t>725539140.S</t>
  </si>
  <si>
    <t>Montáž elektrického prietokového ohrievača malolitrážneho do 5 L</t>
  </si>
  <si>
    <t>-1494779010</t>
  </si>
  <si>
    <t>1+2+1+2+1</t>
  </si>
  <si>
    <t>106</t>
  </si>
  <si>
    <t>541310000200.S</t>
  </si>
  <si>
    <t>Elektrický prietokový ohrievač beztlakový malolitrážny s batériou, inštalácia pod umývadlo, objem 5 l</t>
  </si>
  <si>
    <t>630951319</t>
  </si>
  <si>
    <t>107</t>
  </si>
  <si>
    <t>725829601.S</t>
  </si>
  <si>
    <t>Montáž batérie umývadlovej a drezovej stojankovej, pákovej alebo klasickej s mechanickým ovládaním</t>
  </si>
  <si>
    <t>61079195</t>
  </si>
  <si>
    <t>108</t>
  </si>
  <si>
    <t>551450003800.S</t>
  </si>
  <si>
    <t>Batéria umývadlová stojanková páková</t>
  </si>
  <si>
    <t>-608363460</t>
  </si>
  <si>
    <t>109</t>
  </si>
  <si>
    <t>725829201.S</t>
  </si>
  <si>
    <t>Montáž batérie umývadlovej a drezovej nástennej pákovej alebo klasickej s mechanickým ovládaním</t>
  </si>
  <si>
    <t>-1854846032</t>
  </si>
  <si>
    <t>110</t>
  </si>
  <si>
    <t>551450003500.S</t>
  </si>
  <si>
    <t>Batéria umývadlová nástenná páková</t>
  </si>
  <si>
    <t>154303809</t>
  </si>
  <si>
    <t>111</t>
  </si>
  <si>
    <t>725869301.S</t>
  </si>
  <si>
    <t>Montáž zápachovej uzávierky pre zariaďovacie predmety, umývadlovej do D 40 mm</t>
  </si>
  <si>
    <t>-484037143</t>
  </si>
  <si>
    <t>112</t>
  </si>
  <si>
    <t>551620006400.S</t>
  </si>
  <si>
    <t>Zápachová uzávierka - sifón pre umývadlá DN 40</t>
  </si>
  <si>
    <t>-432471995</t>
  </si>
  <si>
    <t>113</t>
  </si>
  <si>
    <t>725869302.S</t>
  </si>
  <si>
    <t>Montáž zápachovej uzávierky pre zariaďovacie predmety, umývadlovej do D 50 mm (podomietková)</t>
  </si>
  <si>
    <t>-2029017797</t>
  </si>
  <si>
    <t>114</t>
  </si>
  <si>
    <t>551620005600.S</t>
  </si>
  <si>
    <t>Zápachová uzávierka - sifón pre umývadlá DN 50</t>
  </si>
  <si>
    <t>1429736833</t>
  </si>
  <si>
    <t>115</t>
  </si>
  <si>
    <t>725869351.S</t>
  </si>
  <si>
    <t>Montáž zápachovej uzávierky pre zariaďovacie predmety, výlevkovej do D 50 mm</t>
  </si>
  <si>
    <t>-1243488978</t>
  </si>
  <si>
    <t>116</t>
  </si>
  <si>
    <t>551620014100.S</t>
  </si>
  <si>
    <t>Zápachová uzávierka kolenová d 50/50 mm, pre výlevku</t>
  </si>
  <si>
    <t>-235514665</t>
  </si>
  <si>
    <t>117</t>
  </si>
  <si>
    <t>725869371.S</t>
  </si>
  <si>
    <t>Montáž zápachovej uzávierky pre zariaďovacie predmety, pisoárovej do D 50 mm</t>
  </si>
  <si>
    <t>-1569103822</t>
  </si>
  <si>
    <t>Miestnosť 1.07</t>
  </si>
  <si>
    <t>118</t>
  </si>
  <si>
    <t>551620011000.S</t>
  </si>
  <si>
    <t>Zápachová uzávierka - sifón pre pisoáre DN 50</t>
  </si>
  <si>
    <t>-1950025020</t>
  </si>
  <si>
    <t>119</t>
  </si>
  <si>
    <t>998725101.S</t>
  </si>
  <si>
    <t>Presun hmôt pre zariaďovacie predmety v objektoch výšky do 6 m</t>
  </si>
  <si>
    <t>-231629303</t>
  </si>
  <si>
    <t>4. 3. 2021</t>
  </si>
  <si>
    <t>725119109.S</t>
  </si>
  <si>
    <t>Montáž tlakového tlačidlového splachovača</t>
  </si>
  <si>
    <t>-84015252</t>
  </si>
  <si>
    <t>2+4</t>
  </si>
  <si>
    <t>552380000200</t>
  </si>
  <si>
    <t>Ovládacie tlačidlo podomietkové pre dvojité splachovanie, biela/biela</t>
  </si>
  <si>
    <t>1862661465</t>
  </si>
  <si>
    <t>120</t>
  </si>
  <si>
    <t>121</t>
  </si>
  <si>
    <t xml:space="preserve">Časť: </t>
  </si>
  <si>
    <t>E 1.3  ZDRAVOTECHNIKA</t>
  </si>
  <si>
    <t>SO05 - SO 05 Spevnené plochy</t>
  </si>
  <si>
    <t>Námestie SUT, Trnava</t>
  </si>
  <si>
    <t>Mesto Trnava</t>
  </si>
  <si>
    <t>STAPRING, a.s. Nitra</t>
  </si>
  <si>
    <t>113107131.S</t>
  </si>
  <si>
    <t>Odstránenie krytu v ploche do 200 m2 z betónu prostého, hr. vrstvy do 150 mm,  -0,22500t</t>
  </si>
  <si>
    <t>167604663</t>
  </si>
  <si>
    <t>113107241.S</t>
  </si>
  <si>
    <t>Odstránenie krytu v ploche nad 200 m2 asfaltového, hr. vrstvy do 50 mm,  -0,09800t</t>
  </si>
  <si>
    <t>152633160</t>
  </si>
  <si>
    <t>113307112.S</t>
  </si>
  <si>
    <t>Odstránenie podkladu v ploche do 200 m2 z kameniva ťaženého, hr.100- 200mm,  -0,24000t</t>
  </si>
  <si>
    <t>1346802096</t>
  </si>
  <si>
    <t>113307212.S</t>
  </si>
  <si>
    <t>Odstránenie podkladu v ploche nad 200 m2 z kameniva ťaženého, hr. vrstvy 100 do 200 mm,  -0,24000t</t>
  </si>
  <si>
    <t>-970270699</t>
  </si>
  <si>
    <t>113307231.S</t>
  </si>
  <si>
    <t>Odstránenie podkladu v ploche nad 200 m2 z betónu prostého, hr. vrstvy do 150 mm,  -0,22500t</t>
  </si>
  <si>
    <t>332818852</t>
  </si>
  <si>
    <t>122201102.S</t>
  </si>
  <si>
    <t>Odkopávka a prekopávka nezapažená v hornine 3, nad 100 do 1000 m3</t>
  </si>
  <si>
    <t>-533343295</t>
  </si>
  <si>
    <t>162501122.S</t>
  </si>
  <si>
    <t>1811917395</t>
  </si>
  <si>
    <t>162501123.S</t>
  </si>
  <si>
    <t>Vodorovné premiestnenie výkopku po spevnenej ceste z horniny tr.1-4, nad 100 do 1000 m3, príplatok k cene za každých ďalšich a začatých 1000 m</t>
  </si>
  <si>
    <t>2019620236</t>
  </si>
  <si>
    <t>171209002.S</t>
  </si>
  <si>
    <t>Poplatok za skladovanie</t>
  </si>
  <si>
    <t>587681044</t>
  </si>
  <si>
    <t>564851111.S</t>
  </si>
  <si>
    <t>Podklad zo štrkodrviny s rozprestretím a zhutnením, po zhutnení hr. 150 mm</t>
  </si>
  <si>
    <t>1398034404</t>
  </si>
  <si>
    <t>564851114.S</t>
  </si>
  <si>
    <t>Podklad zo štrkodrviny s rozprestretím a zhutnením, po zhutnení hr. 180 mm</t>
  </si>
  <si>
    <t>1191420823</t>
  </si>
  <si>
    <t>567114411.S</t>
  </si>
  <si>
    <t>Podklad z podkladového betónu tr. C 8/10 hr. 80 mm</t>
  </si>
  <si>
    <t>-800990467</t>
  </si>
  <si>
    <t>577134211.S</t>
  </si>
  <si>
    <t>Asfaltový betón vrstva obrusná AC 11 O v pruhu š. do 3 m z nemodifik. asfaltu tr. I, po zhutnení hr. 40 mm</t>
  </si>
  <si>
    <t>-13966436</t>
  </si>
  <si>
    <t>577134219.S</t>
  </si>
  <si>
    <t>Asfaltový betón vrstva obrusná AC 11 O v pruhu š. do 3 m z nemodifik. asfaltu tr. I, po zhutnení hr. 40 mm, červenej farby</t>
  </si>
  <si>
    <t>870978517</t>
  </si>
  <si>
    <t>596912214.S</t>
  </si>
  <si>
    <t>Kladenie betónovej dlažby z vegetačných tvárnic hr. do 80 mm, do lôžka z kameniva ťaženého, veľkosti do 0,25 m2, plochy nad 300 m2</t>
  </si>
  <si>
    <t>2016788651</t>
  </si>
  <si>
    <t>592460013501.S</t>
  </si>
  <si>
    <t>Dlažba betónová drenážna, rozmer 100x100x60 mm, prírodná,špáry 10mm na zatravnenie</t>
  </si>
  <si>
    <t>112315113</t>
  </si>
  <si>
    <t>592460013502.S</t>
  </si>
  <si>
    <t>Dlažba betónová drenážna, rozmer 200x200x80 mm, prírodná,špáry 10mm vysypané štrkodrvou</t>
  </si>
  <si>
    <t>894439275</t>
  </si>
  <si>
    <t>Úpravy povrchov, podlahy, osadenie</t>
  </si>
  <si>
    <t>631571009.S</t>
  </si>
  <si>
    <t>Štrková plocha z vynývaného kameniva fr. 32-63 mm</t>
  </si>
  <si>
    <t>531821564</t>
  </si>
  <si>
    <t>Ostatné konštrukcie a práce-búranie</t>
  </si>
  <si>
    <t>916561111.S</t>
  </si>
  <si>
    <t>Osadenie záhonového alebo parkového obrubníka betón., do lôžka z bet. pros. tr. C 12/15 s bočnou oporou</t>
  </si>
  <si>
    <t>-1612395841</t>
  </si>
  <si>
    <t>592170001800.S</t>
  </si>
  <si>
    <t>Obrubník parkový, lxšxv 1000x50x200 mm, prírodný</t>
  </si>
  <si>
    <t>-2004336360</t>
  </si>
  <si>
    <t>917511121.S</t>
  </si>
  <si>
    <t>Osadenie obruby plechovej výšky 100 mm</t>
  </si>
  <si>
    <t>815715260</t>
  </si>
  <si>
    <t>553550500131.S</t>
  </si>
  <si>
    <t>Oceľová pásovina, hr. 0,4 mm, výška 100 mm</t>
  </si>
  <si>
    <t>751416810</t>
  </si>
  <si>
    <t>917511139.S</t>
  </si>
  <si>
    <t>Osadenie obruby plastovej</t>
  </si>
  <si>
    <t>-1991297142</t>
  </si>
  <si>
    <t>283550500169.S</t>
  </si>
  <si>
    <t>Plastový obrubník v. 80 mm</t>
  </si>
  <si>
    <t>1955015282</t>
  </si>
  <si>
    <t>919725112.S</t>
  </si>
  <si>
    <t>Vložka pod liaty asfalt bez upevnenia z pásu asfaltového bez krycej vrstvy (A 400 H)</t>
  </si>
  <si>
    <t>-745450614</t>
  </si>
  <si>
    <t>979082213.S</t>
  </si>
  <si>
    <t>Vodorovná doprava sutiny so zložením a hrubým urovnaním na vzdialenosť do 1 km</t>
  </si>
  <si>
    <t>-1291227048</t>
  </si>
  <si>
    <t>979082219.S</t>
  </si>
  <si>
    <t>Príplatok k cene za každý ďalší aj začatý 1 km nad 1 km pre vodorovnú dopravu sutiny</t>
  </si>
  <si>
    <t>808713113</t>
  </si>
  <si>
    <t>979087212.S</t>
  </si>
  <si>
    <t>Nakladanie na dopravné prostriedky pre vodorovnú dopravu sutiny</t>
  </si>
  <si>
    <t>889659365</t>
  </si>
  <si>
    <t>979089212.S</t>
  </si>
  <si>
    <t>565572659</t>
  </si>
  <si>
    <t>Presun hmôt HSV</t>
  </si>
  <si>
    <t>998223011.S</t>
  </si>
  <si>
    <t>Presun hmôt pre pozemné komunikácie s krytom dláždeným (822 2.3, 822 5.3) akejkoľvek dĺžky objektu</t>
  </si>
  <si>
    <t>-1896343091</t>
  </si>
  <si>
    <t>711</t>
  </si>
  <si>
    <t>Izolácie proti vode a vlhkosti</t>
  </si>
  <si>
    <t>711131102.S</t>
  </si>
  <si>
    <t>Zhotovenie geotextílie alebo tkaniny na plochu vodorovnú</t>
  </si>
  <si>
    <t>-795460541</t>
  </si>
  <si>
    <t>693110004500.S</t>
  </si>
  <si>
    <t>Geotextília polypropylénová netkaná 300 g/m2</t>
  </si>
  <si>
    <t>-1255452280</t>
  </si>
  <si>
    <t>998711201.S</t>
  </si>
  <si>
    <t>Presun hmôt pre izoláciu proti vode v objektoch výšky do 6 m</t>
  </si>
  <si>
    <t>-1388294413</t>
  </si>
  <si>
    <t>ZŠ s MŠ SUT - Rekonštrukcia areálu Trnava</t>
  </si>
  <si>
    <t>19. 4. 2021</t>
  </si>
  <si>
    <t xml:space="preserve">ROZPOČET  </t>
  </si>
  <si>
    <t>Stavba:   ZŠ S MŠ SUT - REKONŠTRUKCIA AREÁLU TRNAVA</t>
  </si>
  <si>
    <t>Objekt:   SO 06 Areálová rozvod pitnej vody a požiarna nádrž</t>
  </si>
  <si>
    <t xml:space="preserve">Objednávateľ:   </t>
  </si>
  <si>
    <t xml:space="preserve">Zhotoviteľ:   </t>
  </si>
  <si>
    <t xml:space="preserve">Spracoval:   </t>
  </si>
  <si>
    <t>Miesto:   Ul. Parašutistov, Trnava</t>
  </si>
  <si>
    <t>Č.</t>
  </si>
  <si>
    <t>Dodávka</t>
  </si>
  <si>
    <t xml:space="preserve">Práce a dodávky HSV   </t>
  </si>
  <si>
    <t xml:space="preserve">Zemné práce   </t>
  </si>
  <si>
    <t>001</t>
  </si>
  <si>
    <t>130001101.S</t>
  </si>
  <si>
    <t xml:space="preserve">Príplatok k cenám za sťaženie výkopu v blízkosti podzemného vedenia alebo výbušbnín - pre všetky triedy   </t>
  </si>
  <si>
    <t>132101202.S</t>
  </si>
  <si>
    <t xml:space="preserve">Výkop ryhy šírky 600-2000mm hor 1-2 od 100 do 1000 m3   </t>
  </si>
  <si>
    <t>132201202.S</t>
  </si>
  <si>
    <t xml:space="preserve">Výkop ryhy šírky 600-2000mm horn.3 od 100 do 1000 m3   </t>
  </si>
  <si>
    <t>132201209.S</t>
  </si>
  <si>
    <t xml:space="preserve">Príplatok k cenám za lepivosť pri hĺbení rýh š. nad 600 do 2 000 mm zapaž. i nezapažených, s urovnaním dna v hornine 3   </t>
  </si>
  <si>
    <t>141720011.S</t>
  </si>
  <si>
    <t xml:space="preserve">Neriadené zemné pretláčanie v hornine tr. 3-4, priemer pretláčania do 50 mm   </t>
  </si>
  <si>
    <t>171201202.S</t>
  </si>
  <si>
    <t xml:space="preserve">Uloženie sypaniny na skládky nad 100 do 1000 m3   </t>
  </si>
  <si>
    <t>174101002.S</t>
  </si>
  <si>
    <t xml:space="preserve">Zásyp sypaninou so zhutnením jám, šachiet, rýh, zárezov alebo okolo objektov nad 100 do 1000 m3   </t>
  </si>
  <si>
    <t xml:space="preserve">Obsyp potrubia sypaninou z vhodných hornín 1 až 4 bez prehodenia sypaniny   </t>
  </si>
  <si>
    <t>583</t>
  </si>
  <si>
    <t>583310002700.S</t>
  </si>
  <si>
    <t xml:space="preserve">Štrkopiesok frakcia 0-8 mm   </t>
  </si>
  <si>
    <t xml:space="preserve">Vodorovné konštrukcie   </t>
  </si>
  <si>
    <t>271</t>
  </si>
  <si>
    <t>451573111.S</t>
  </si>
  <si>
    <t xml:space="preserve">Lôžko pod potrubie, stoky a drobné objekty, v otvorenom výkope z piesku a štrkopiesku do 63 mm   </t>
  </si>
  <si>
    <t>452311151.S</t>
  </si>
  <si>
    <t xml:space="preserve">Dosky, bloky, sedlá z betónu v otvorenom výkope tr. C 25/30, pod AŠ+PN   </t>
  </si>
  <si>
    <t>452351101.S</t>
  </si>
  <si>
    <t xml:space="preserve">Debnenie v otvorenom výkope dosiek, sedlových lôžok a blokov pod potrubie,stoky a drobné objekty   </t>
  </si>
  <si>
    <t>4523611111.S</t>
  </si>
  <si>
    <t xml:space="preserve">Výstuž podkladových dosiek, blokov alebo podvalov v otvorenom výkope, z KARI 81 BXB oká 100X100   </t>
  </si>
  <si>
    <t xml:space="preserve">Rúrové vedenie   </t>
  </si>
  <si>
    <t>837PC02</t>
  </si>
  <si>
    <t xml:space="preserve">Výsek a vyspravenie otvoru do šachty pre potrubie  DN 25,  odvoz na skládku,  poplatok, napojenie potrubia na existujúci rozvod   </t>
  </si>
  <si>
    <t>871171000.S</t>
  </si>
  <si>
    <t xml:space="preserve">Montáž vodovodného potrubia z dvojvsrtvového PE 100 SDR11/PN16 zváraných natupo D 32x3,0 mm   </t>
  </si>
  <si>
    <t>286</t>
  </si>
  <si>
    <t>286130030700</t>
  </si>
  <si>
    <t xml:space="preserve">Rúra HDPE na vodu PE100 PN10 SDR17 32x2x100 m,   </t>
  </si>
  <si>
    <t>286130030700,1</t>
  </si>
  <si>
    <t xml:space="preserve">Rúra HDPE na vodu PE100 PN10 SDR17 25x1,8   </t>
  </si>
  <si>
    <t>891181221.S1</t>
  </si>
  <si>
    <t xml:space="preserve">Montáž vodovodnej armatúry na potrubí, posúvač v šachte s ručným kolieskom DN 25   </t>
  </si>
  <si>
    <t>422PC03</t>
  </si>
  <si>
    <t xml:space="preserve">Posúvač uzatvárací DN 25, s ručným kolečkom   </t>
  </si>
  <si>
    <t xml:space="preserve">Posúvač uzatvárací DN 25 s vypúšťaním, s ručným kolečkom   </t>
  </si>
  <si>
    <t>891PC</t>
  </si>
  <si>
    <t xml:space="preserve">Montáž odberovej súpravy na potrubí V-Ia , s osadením a obsyp štrkom, spev. plochu  pod  poklop   </t>
  </si>
  <si>
    <t>kompl</t>
  </si>
  <si>
    <t>422PC06</t>
  </si>
  <si>
    <t xml:space="preserve">Odberová  súprava - potrubie DN 25 krytie 1,25 m,  (V-Ia v km 0,039 ukončenie potrubia ), obsyp štrkom   </t>
  </si>
  <si>
    <t>892233111</t>
  </si>
  <si>
    <t xml:space="preserve">Preplach a dezinfekcia vodovodného potrubia DN od 40 do 70   </t>
  </si>
  <si>
    <t>892241111</t>
  </si>
  <si>
    <t xml:space="preserve">Ostatné práce na rúrovom vedení, tlakové skúšky vodovodného potrubia DN do 80   </t>
  </si>
  <si>
    <t>893301001.S</t>
  </si>
  <si>
    <t xml:space="preserve">Osadenie vodomernej šachty železobetónovej, hmotnosti do 3 t alebo prefabrikovaná stropní doska   </t>
  </si>
  <si>
    <t>594</t>
  </si>
  <si>
    <t>594300000100</t>
  </si>
  <si>
    <t xml:space="preserve">Vodomerná a armatúrna šachta BG, lxšxv 1200x900x1800 mm, objem 1,9 m3, železobetónová, + vstupný komín, poklop   </t>
  </si>
  <si>
    <t>894101113.S</t>
  </si>
  <si>
    <t xml:space="preserve">Osadenie požiarnej nádrže železobetónovej, hmotnosti nad 10 t   </t>
  </si>
  <si>
    <t>59434PC01</t>
  </si>
  <si>
    <t xml:space="preserve">Požiarna nádrž, lxšxv 4000x3600x2600 mm  + stropná doska,  objem nádrže Vúžit=22,0 m3, železobetónová,   </t>
  </si>
  <si>
    <t>894401111.S</t>
  </si>
  <si>
    <t xml:space="preserve">Osadenie betónového dielca pre šachty, rovná alebo prechodová skruž TBS   </t>
  </si>
  <si>
    <t>592</t>
  </si>
  <si>
    <t>592240004500</t>
  </si>
  <si>
    <t xml:space="preserve">Elastomerové tesnenie EMT DN 1000 pre spojenie šachtových dielov kanalizačnej šachty DN 1000   </t>
  </si>
  <si>
    <t>592240002800.S</t>
  </si>
  <si>
    <t xml:space="preserve">Kónus betónový so stúpadlom pre kanalizačnú šachtu DN 1000, hr. steny 90 mm, rozmer 1000x625x580 mm   </t>
  </si>
  <si>
    <t>899101111.3</t>
  </si>
  <si>
    <t xml:space="preserve">Osadenie poklopu hydrantového  pre DN 80  vrátane rámu hmotn. do 50 kg -Odberovú súpravu s odvodnením   </t>
  </si>
  <si>
    <t>5922PC01</t>
  </si>
  <si>
    <t xml:space="preserve">Hydranrový poklop pre DN 80 - pre odberovú súpravu s odvodnením   </t>
  </si>
  <si>
    <t>899103111.S</t>
  </si>
  <si>
    <t xml:space="preserve">Osadenie poklopu liatinového a oceľového vrátane rámu hmotn. nad 100 do 150 kg   </t>
  </si>
  <si>
    <t>592240008400</t>
  </si>
  <si>
    <t xml:space="preserve">Poklop BEGU betón - liatina 1000 PL600/B125 pre zaťaženie do 40 t prePN  DN 630 až 1000   </t>
  </si>
  <si>
    <t>899721131</t>
  </si>
  <si>
    <t xml:space="preserve">Označenie vodovodného potrubia bielou výstražnou fóliou   </t>
  </si>
  <si>
    <t xml:space="preserve">Presun hmôt HSV   </t>
  </si>
  <si>
    <t>221</t>
  </si>
  <si>
    <t>998225311.S</t>
  </si>
  <si>
    <t xml:space="preserve">Presun hmôt pre opravy a údržbu komunikácií a letísk s krytom asfaltovým alebo betónovým   </t>
  </si>
  <si>
    <t>998276101.S</t>
  </si>
  <si>
    <t xml:space="preserve">Presun hmôt pre rúrové vedenie hĺbené z rúr z plast., hmôt alebo sklolamin. v otvorenom výkope   </t>
  </si>
  <si>
    <t xml:space="preserve">Celkom   </t>
  </si>
  <si>
    <t>Objekt:   SO 07 Areálová vodovodná prípojka pre vodnú hmlu</t>
  </si>
  <si>
    <t>132101101.S</t>
  </si>
  <si>
    <t xml:space="preserve">Výkop ryhy do šírky 600 mm v horn.1a2 do 100 m3   </t>
  </si>
  <si>
    <t>132201101.S</t>
  </si>
  <si>
    <t xml:space="preserve">Výkop ryhy do šírky 600 mm v horn.3 do 100 m3   </t>
  </si>
  <si>
    <t>132201109.S</t>
  </si>
  <si>
    <t xml:space="preserve">Príplatok k cene za lepivosť pri hĺbení rýh šírky do 600 mm zapažených i nezapažených s urovnaním dna v hornine 3   </t>
  </si>
  <si>
    <t>171201201.S</t>
  </si>
  <si>
    <t>174101001.S</t>
  </si>
  <si>
    <t xml:space="preserve">Zásyp sypaninou so zhutnením jám, šachiet, rýh, zárezov alebo okolo objektov do 100 m3   </t>
  </si>
  <si>
    <t>871PC01</t>
  </si>
  <si>
    <t xml:space="preserve">Montáž vodovodného  potrubia vysokotlaké hydraulické potrubie 3/4 " (DN20) tlak do 100 barrov   </t>
  </si>
  <si>
    <t>28613PC01</t>
  </si>
  <si>
    <t xml:space="preserve">Vysokotlaké hydraulické potrubie 3/4 " (DN20) tlak do 100 barrov - pre vytvorenie vodnej hmly   </t>
  </si>
  <si>
    <t>892241111.S</t>
  </si>
  <si>
    <t xml:space="preserve">Práce a dodávky PSV   </t>
  </si>
  <si>
    <t xml:space="preserve">Zdravotechnika - vnútorný vodovod   </t>
  </si>
  <si>
    <t>722PC01</t>
  </si>
  <si>
    <t xml:space="preserve">Montáž dvojstupňového filtra pred čerpadlom, uzatváracie armatúry a armatúra na vypustenie vody v AŠ (SO 06)   </t>
  </si>
  <si>
    <t>551</t>
  </si>
  <si>
    <t>551PC01</t>
  </si>
  <si>
    <t xml:space="preserve">Uzávery pre vodu 3/8"  (vysokotlake 100 bar), dvojstupňový filter   </t>
  </si>
  <si>
    <t>724</t>
  </si>
  <si>
    <t xml:space="preserve">Zdravotechnika - strojné vybavenie   </t>
  </si>
  <si>
    <t>724141000.S</t>
  </si>
  <si>
    <t xml:space="preserve">Montáž čerpadla vodovodného samonasávacieho, povrchového DN 20   </t>
  </si>
  <si>
    <t>426</t>
  </si>
  <si>
    <t>426PC01</t>
  </si>
  <si>
    <t xml:space="preserve">Čerpadlo vysokotlaké - 100 barov pre vytvorenie vodnej hmly   </t>
  </si>
  <si>
    <t xml:space="preserve">Samonasávacie čerpadlá SVA sú určené na čerpanie vody do 90°C bez mechanických nečistôt. Sú to malé čerpadlá širokého použitia, vhodné hlavne v zariadeniach domácich vodární, v trvalých sídliskách a chatách, na postrek záhradiek a všade tam, kde sacia výška vrátane odporov v potrubí neprekročí 8 m. V prevedení s mechanickou upchávkou sa tiež používajú niektoré veľkosti na čerpanie horľavín I. - IV. triedy. Je možné ich použiť aj na čerpanie olejov do max. kinematickej viskozity 37 mm^2/s.   </t>
  </si>
  <si>
    <t>Objekt:   SO 08 Studňa na polievanie</t>
  </si>
  <si>
    <t>Dátum:   14. 4. 2021</t>
  </si>
  <si>
    <t>131101101.S</t>
  </si>
  <si>
    <t xml:space="preserve">Výkop nezapaženej jamy v hornine 1-2, do 100 m3   </t>
  </si>
  <si>
    <t>131201101.S</t>
  </si>
  <si>
    <t>131201109.S</t>
  </si>
  <si>
    <t xml:space="preserve">Hĺbenie nezapažených jám a zárezov. Príplatok za lepivosť horniny 3   </t>
  </si>
  <si>
    <t>14PC01</t>
  </si>
  <si>
    <t xml:space="preserve">Vŕtanie DN 406/200 do hĺbky 25,0 m, vystrojenie vrtu DN 200 - 21 m - 1x plná, perforovaná+ plná časť, obsyp výstroja, zaílovanie vrtu, oceľové záhlavie, vyčistenie vrtu, dovoz techniky   </t>
  </si>
  <si>
    <t xml:space="preserve">Armatúrna šachta  vnút. rozmery 1500x1400x1800 mm, objem 3,78 m3, železobetónová prefabrikovaná  + vstupný komín, poklop   </t>
  </si>
  <si>
    <t>893301002.S</t>
  </si>
  <si>
    <t xml:space="preserve">Osadenie vodomernej šachty železobetónovej, hmotnosti nad 3 do 6 t   </t>
  </si>
  <si>
    <t>998276111.S</t>
  </si>
  <si>
    <t xml:space="preserve">Presun hmôt pre rúrové vedenie hĺbené z rúr z plastických hmôt alebo sklolaminátových v štôlni   </t>
  </si>
  <si>
    <t>724232PC01</t>
  </si>
  <si>
    <t xml:space="preserve">Montáž ponorného čerpadla do studne, príslušenstva domácej vodárne, ovládací spínač tlakový, tlaková nádoba 75 l,potrubia DN, ovládacia skkrinka, uzáver DN 40, uzáver s napojením na hadicu,uvedenie do prevádzky, zaškolenie   </t>
  </si>
  <si>
    <t xml:space="preserve">Čerpadlo ponorné do hĺbky cca 21 m, výtlak do  h=40 m , prípojka čerpadla Rp 1 1/2, P1= 2,32kW, P2=1,55 kW, 220-240v   </t>
  </si>
  <si>
    <t>426PC02</t>
  </si>
  <si>
    <t xml:space="preserve">KáBEL 3 G 1,5mm2 - 25,0m,spojka kábelová, tlaková nádoba GT-U-100 PN 10 - 75 l, Tlakový spínač, Ovládacia skrinka, uzatváracie ventíly, ventíl na napojenie hadice, potrubie dN 40 -1,0 m, zaslepenie   </t>
  </si>
  <si>
    <t>724PC02</t>
  </si>
  <si>
    <t>Objekt:   SO 09 Areálová kanalizačná prípojka splaškovej kanalizácie</t>
  </si>
  <si>
    <t>Dátum:   31. 3. 2021</t>
  </si>
  <si>
    <t xml:space="preserve">Zvislé a kompletné konštrukcie   </t>
  </si>
  <si>
    <t>359901111.S</t>
  </si>
  <si>
    <t xml:space="preserve">Vyčistenie stôk akejkoľvek výšky   </t>
  </si>
  <si>
    <t xml:space="preserve">Výsek a vyspravenie otvoru do šachty pre potrubie  DN 200, odvoz na skládku,  poplatok   </t>
  </si>
  <si>
    <t>871326004.S</t>
  </si>
  <si>
    <t xml:space="preserve">Montáž kanalizačného PVC-U potrubia hladkého viacvrstvového DN 150   </t>
  </si>
  <si>
    <t>286110002400</t>
  </si>
  <si>
    <t xml:space="preserve">Rúra kanalizačná PVC-U gravitačná, hladká SN8 - KG, SW - plnostenná, DN 160, dĺ. 1 m   </t>
  </si>
  <si>
    <t>871356006.S</t>
  </si>
  <si>
    <t xml:space="preserve">Montáž kanalizačného PVC-U potrubia hladkého viacvrstvového DN 200   </t>
  </si>
  <si>
    <t>286110000200.S</t>
  </si>
  <si>
    <t xml:space="preserve">Rúra PVC-U hladký, kanalizačný, gravitačný systém Dxr 200x5,9 mm, dĺ. 5m, SN8 - napenená (viacvrstvová)   </t>
  </si>
  <si>
    <t>877326004.S</t>
  </si>
  <si>
    <t xml:space="preserve">Montáž kanalizačného PVC-U kolena DN 150   </t>
  </si>
  <si>
    <t>286510004400.S</t>
  </si>
  <si>
    <t xml:space="preserve">Koleno PVC-U, DN 160x15°, 30°, 45° pre hladký, kanalizačný, gravitačný systém   </t>
  </si>
  <si>
    <t>877326052.S</t>
  </si>
  <si>
    <t xml:space="preserve">Montáž kanalizačnej PVC-U redukcie DN 150/125   </t>
  </si>
  <si>
    <t>286510008100</t>
  </si>
  <si>
    <t xml:space="preserve">Redukcia PVC-U, DN 160/125 hladká pre gravitačnú kanalizáciu KG potrubia   </t>
  </si>
  <si>
    <t>877356030.S</t>
  </si>
  <si>
    <t xml:space="preserve">Montáž kanalizačnej PVC-U odbočky DN 200   </t>
  </si>
  <si>
    <t>286510017500.S</t>
  </si>
  <si>
    <t xml:space="preserve">Odbočka 87° PVC, DN 200/160 pre hladký, kanalizačný, gravitačný systém   </t>
  </si>
  <si>
    <t>877356102.S</t>
  </si>
  <si>
    <t xml:space="preserve">Montáž kanalizačnej PVC-U presuvky DN 200   </t>
  </si>
  <si>
    <t>286520012100</t>
  </si>
  <si>
    <t xml:space="preserve">Presuvka PVC DN 200 hladký kanalizačný systém   </t>
  </si>
  <si>
    <t>892311000.S</t>
  </si>
  <si>
    <t xml:space="preserve">Skúška tesnosti kanalizácie D 150 mm   </t>
  </si>
  <si>
    <t>892351000.S</t>
  </si>
  <si>
    <t xml:space="preserve">Skúška tesnosti kanalizácie D 200 mm   </t>
  </si>
  <si>
    <t>894431151.S</t>
  </si>
  <si>
    <t xml:space="preserve">Montáž revíznej šachty z PVC, DN 400/200 (DN šachty/DN potr. ved.), tlak 12,5 t, hĺ. 900 do 1300mm   </t>
  </si>
  <si>
    <t>28661PC01</t>
  </si>
  <si>
    <t xml:space="preserve">Šachtové dno pre šachtu DN 400 pre  potrubie DN 200 (0-90°), s liatinovým poklopom, teleskopická rúra, manžeta, korugovaná rúra do dn 400 do 1,0 m   </t>
  </si>
  <si>
    <t>28661PC02</t>
  </si>
  <si>
    <t xml:space="preserve">Šachtové dno pre šachtu DN 400, potrubie DN 200 (0-240°), s liatinovým poklopom, teleskopická rúra, manžeta, korugovaná rúra do dn 400 do 1,0 m   </t>
  </si>
  <si>
    <t xml:space="preserve">Presun hmôt pre pozemné komunikácie s krytom dláždeným (822 2.3, 822 5.3) akejkoľvek dĺžky objektu   </t>
  </si>
  <si>
    <t>Objekt:   SO 10 Dažďová kanalizácia a vsakovanie</t>
  </si>
  <si>
    <t>141PC02</t>
  </si>
  <si>
    <t xml:space="preserve">Vŕtanie pre vsakovací vrt DN 1800/1200 do hĺbky 21,0 m, dočasné zaistenie vrtu, výstroj vrtu zelezobet. skruže DN 1000 dl. 1000 - 20 ks, obsyp výstroja, zaílovanie vrtu, doprava techniky   </t>
  </si>
  <si>
    <t>151101101.S</t>
  </si>
  <si>
    <t xml:space="preserve">Paženie a rozopretie stien rýh pre podzemné vedenie, príložné do 2 m   </t>
  </si>
  <si>
    <t>151101111.S</t>
  </si>
  <si>
    <t xml:space="preserve">Odstránenie paženia rýh pre podzemné vedenie, príložné hĺbky do 2 m   </t>
  </si>
  <si>
    <t>58341000PC.S</t>
  </si>
  <si>
    <t xml:space="preserve">Kamenivo frakcia 0-63 mm - drenáž obsyp   </t>
  </si>
  <si>
    <t xml:space="preserve">Zakladanie   </t>
  </si>
  <si>
    <t>211971110.1</t>
  </si>
  <si>
    <t xml:space="preserve">Zhotov. oplášt. výplne z geotex. v ryhe alebo v záreze   </t>
  </si>
  <si>
    <t>693</t>
  </si>
  <si>
    <t>693110002.1</t>
  </si>
  <si>
    <t xml:space="preserve">Geotextília 200 g/m2, netkaná separačno-filtračná geotextília   </t>
  </si>
  <si>
    <t>452112111.S</t>
  </si>
  <si>
    <t xml:space="preserve">Osadenie prstenca alebo rámu pod poklopy a mreže, výšky do 100 mm   </t>
  </si>
  <si>
    <t>59224PC04</t>
  </si>
  <si>
    <t xml:space="preserve">Vyrovnávací prstenec 625/100/120   </t>
  </si>
  <si>
    <t>311</t>
  </si>
  <si>
    <t>871228111.S</t>
  </si>
  <si>
    <t xml:space="preserve">Ukladanie drenážneho potrubia do pripravenej ryhy z tvrdého PVC priemeru nad 90 do 150 mm   </t>
  </si>
  <si>
    <t>2865PC01</t>
  </si>
  <si>
    <t xml:space="preserve">Drenážna rúra s obalením,  DN 125   </t>
  </si>
  <si>
    <t>871238111.S1</t>
  </si>
  <si>
    <t xml:space="preserve">Ukladanie drenážneho potrubia do pripravenej ryhy z tvrdého PVC priemeru nad 200 do 300 mm   </t>
  </si>
  <si>
    <t>2865PC02</t>
  </si>
  <si>
    <t xml:space="preserve">Drenážne potrubie pragma dn 315 dĺ. 6,0 m, perforácia 220°   </t>
  </si>
  <si>
    <t>2865PC03</t>
  </si>
  <si>
    <t xml:space="preserve">Drenážne potrubie pragma DN 200 dĺ. 6,0 m, perforácia 220°   </t>
  </si>
  <si>
    <t>28651PC01</t>
  </si>
  <si>
    <t xml:space="preserve">Spojovací materiál pre drenážne potrubie DN 300: odbočky 300/160, spojovací komplet, kanalizačná redukcia   </t>
  </si>
  <si>
    <t>28651PC02</t>
  </si>
  <si>
    <t xml:space="preserve">Spojovací materiál pre drenážne potrubie DN 200: odbočky 300/160, spojovací komplet, kanalizačná redukcia   </t>
  </si>
  <si>
    <t>286110002700</t>
  </si>
  <si>
    <t xml:space="preserve">Rúra kanalizačná PVC-U gravitačná, hladká SN8 - KG, SW - plnostenná, DN 160, dĺ. 6 m   </t>
  </si>
  <si>
    <t>871376010.S</t>
  </si>
  <si>
    <t xml:space="preserve">Montáž kanalizačného PVC-U potrubia hladkého viacvrstvového DN 300   </t>
  </si>
  <si>
    <t>286110001000.S</t>
  </si>
  <si>
    <t xml:space="preserve">Rúra PVC-U hladký, kanalizačný, gravitačný systém Dxr 315x9,2 mm, dĺ. 5m, SN8 - napenená (viacvrstvová)   </t>
  </si>
  <si>
    <t xml:space="preserve">Montáž -spojovací materiál pre drenážne potrubie DN 200: odbočky 200/160, spojovací komplet, kanalizačná redukcia   </t>
  </si>
  <si>
    <t>871PC02</t>
  </si>
  <si>
    <t>877326028.S</t>
  </si>
  <si>
    <t xml:space="preserve">Montáž kanalizačnej PVC-U odbočky DN 150   </t>
  </si>
  <si>
    <t>286510017100.S</t>
  </si>
  <si>
    <t xml:space="preserve">Odbočka 87° PVC, DN 160/150 pre hladký, kanalizačný, gravitačný systém   </t>
  </si>
  <si>
    <t>877326100.S</t>
  </si>
  <si>
    <t xml:space="preserve">Montáž kanalizačnej PVC-U presuvky DN 150   </t>
  </si>
  <si>
    <t>286510009800</t>
  </si>
  <si>
    <t xml:space="preserve">Presuvka PVC-U, DN 160 hladká pre gravitačnú kanalizáciu KG potrubia   </t>
  </si>
  <si>
    <t>877376034.S</t>
  </si>
  <si>
    <t xml:space="preserve">Montáž kanalizačnej PVC-U odbočky DN 300   </t>
  </si>
  <si>
    <t>286510014900</t>
  </si>
  <si>
    <t xml:space="preserve">Odbočka 45° PVC-U, DN 315/200 hladká pre gravitačnú kanalizáciu KG potrubia   </t>
  </si>
  <si>
    <t>892371000.S</t>
  </si>
  <si>
    <t xml:space="preserve">Skúška tesnosti kanalizácie D 300 mm   </t>
  </si>
  <si>
    <t>894170031.S</t>
  </si>
  <si>
    <t xml:space="preserve">Montáž filtračno-usadzovacej šachty DN 300, výška 1000 mm   </t>
  </si>
  <si>
    <t>894403021.S</t>
  </si>
  <si>
    <t xml:space="preserve">Osadenie betónového dielca pre šachty, dno akéhokoľvek druhu   </t>
  </si>
  <si>
    <t>59224422601</t>
  </si>
  <si>
    <t xml:space="preserve">Šachtové dno 1000/750 DO DN 300   </t>
  </si>
  <si>
    <t>59224422602</t>
  </si>
  <si>
    <t xml:space="preserve">Šachtové dno 1000/1000 DO DN 300   </t>
  </si>
  <si>
    <t>592PC03</t>
  </si>
  <si>
    <t xml:space="preserve">Každý ďalší otvor DN 250 alebo DN 300   </t>
  </si>
  <si>
    <t>592PC04</t>
  </si>
  <si>
    <t xml:space="preserve">Každý ďalší otvor DN 150 alebo DN 200   </t>
  </si>
  <si>
    <t>28661PC03</t>
  </si>
  <si>
    <t xml:space="preserve">Šachtové dno pre šachtu DN 600 pre  potrubie DN 200 (0-90°), s liatinovým poklopom, teleskopická rúra, manžeta, korugovaná rúra do dn 600 do 1,0 m  a betónový roznášací prstenec   </t>
  </si>
  <si>
    <t xml:space="preserve">Šachtové dno pre šachtu DN 600, potrubie DN 300 , s liatinovým poklopom, teleskopická rúra, manžeta, korugovaná rúra do dn 600 do 1,0 m a  betónový roznášací prstenec   </t>
  </si>
  <si>
    <t>592240003000.S</t>
  </si>
  <si>
    <t xml:space="preserve">Skruž betónová so stúpadlom pre kanalizačnú šachtu DN 1000, Dxvxhr 1000x250x90 mm   </t>
  </si>
  <si>
    <t>592240003200.S</t>
  </si>
  <si>
    <t xml:space="preserve">Skruž betónová so stúpadlom pre kanalizačnú šachtu DN 1000, Dxvxhr 1000x500x90 mm   </t>
  </si>
  <si>
    <t>894810009</t>
  </si>
  <si>
    <t xml:space="preserve">Montáž PP revíznej kanalizačnej šachty  plastovej- priemeru 600 mm do výšky šachty 2 m s roznášacím prstencom a poklopom   </t>
  </si>
  <si>
    <t xml:space="preserve">Poklop BEGU betón - liatina 1000 PL600/B125 pre zaťaženie do 40 t pre revízne šachty DN 630 až 1000   </t>
  </si>
  <si>
    <t>592240008200.1</t>
  </si>
  <si>
    <t xml:space="preserve">Poklop BEGU  s odvetraním 1000 PL600/B125 pre zaťaženie do 12,5 t pre revízne šachty DN 630 až 100   </t>
  </si>
  <si>
    <t xml:space="preserve">Objekt:   </t>
  </si>
  <si>
    <t>Zhotoviteľ:   PARTER</t>
  </si>
  <si>
    <t xml:space="preserve">Spracoval:   PARTER </t>
  </si>
  <si>
    <t>Miesto:  TRNAVA</t>
  </si>
  <si>
    <t>Dodávka celkom</t>
  </si>
  <si>
    <t>Montáž celkom</t>
  </si>
  <si>
    <t>111203201.S</t>
  </si>
  <si>
    <t xml:space="preserve">Odstránenie krovín a stromov s priemerom kmeňa do 100mm, s ponechaním koreňov, pri ploche do 1000m2   </t>
  </si>
  <si>
    <t xml:space="preserve">3   </t>
  </si>
  <si>
    <t xml:space="preserve">1   </t>
  </si>
  <si>
    <t>112101113.S</t>
  </si>
  <si>
    <t xml:space="preserve">Vyrúbanie stromu listnatého vo svahu do 1:5 priem. kmeňa nad 300 do 400 mm   </t>
  </si>
  <si>
    <t>112101114.S</t>
  </si>
  <si>
    <t xml:space="preserve">Vyrúbanie stromu listnatého vo svahu do 1:5 priem. kmeňa nad 400 do 500 mm   </t>
  </si>
  <si>
    <t>112101117.S</t>
  </si>
  <si>
    <t xml:space="preserve">Vyrúbanie stromu listnatého vo svahu do 1:5 priem. kmeňa nad 700 do 800 mm   </t>
  </si>
  <si>
    <t>112101221.S</t>
  </si>
  <si>
    <t xml:space="preserve">Vyrúbanie stromu ihl. v rovine alebo vo svahu do 1:5 priemer kmeňa do 200 mm   </t>
  </si>
  <si>
    <t>112101222.S</t>
  </si>
  <si>
    <t xml:space="preserve">Vyrúbanie stromu ihl. na svahu do 1:5 priemer kmeňa nad 200 do 300 mm   </t>
  </si>
  <si>
    <t xml:space="preserve">23   </t>
  </si>
  <si>
    <t>112101223.S</t>
  </si>
  <si>
    <t xml:space="preserve">Vyrúbanie stromu ihl. na svahu do 1:5 priemer kmeňa nad 300 do 400 mm   </t>
  </si>
  <si>
    <t xml:space="preserve">6   </t>
  </si>
  <si>
    <t>112101224.S</t>
  </si>
  <si>
    <t xml:space="preserve">Vyrúbanie stromu ihl. na svahu do 1:5 priemer kmeňa nad 400 do 500 mm   </t>
  </si>
  <si>
    <t xml:space="preserve">5   </t>
  </si>
  <si>
    <t>112101225.S</t>
  </si>
  <si>
    <t xml:space="preserve">Vyrúbanie stromu ihl. na svahu do 1:5 priemer kmeňa nad 500 do 600 mm   </t>
  </si>
  <si>
    <t>112201112.S</t>
  </si>
  <si>
    <t xml:space="preserve">Odstránenie pňa v rovine a na svahu do 1:5, priemer nad 200 do 300 mm   </t>
  </si>
  <si>
    <t>112201113.S</t>
  </si>
  <si>
    <t xml:space="preserve">Odstránenie pňa v rovine a na svahu do 1:5, priemer nad 300 do 400 mm   </t>
  </si>
  <si>
    <t xml:space="preserve">2+6   </t>
  </si>
  <si>
    <t>112201114.Sn</t>
  </si>
  <si>
    <t xml:space="preserve">Odstránenie pňa v rovine a na svahu do 1:5, priemer nad 400 do 500 mm   </t>
  </si>
  <si>
    <t>112201115.S</t>
  </si>
  <si>
    <t xml:space="preserve">Odstránenie pňa v rovine a na svahu do 1:5, priemer nad 500 do 600 mm   </t>
  </si>
  <si>
    <t>112201117.S</t>
  </si>
  <si>
    <t xml:space="preserve">Odstránenie pňa v rovine a na svahu do 1:5, priemer nad 700 do 800 mm   </t>
  </si>
  <si>
    <t>184806113.S</t>
  </si>
  <si>
    <t xml:space="preserve">Rez stromu presvetľovaním, odstraňenie suchých konárov /OS / č.31,61,73,74   </t>
  </si>
  <si>
    <t xml:space="preserve">4   </t>
  </si>
  <si>
    <t>184806113.S1</t>
  </si>
  <si>
    <t xml:space="preserve">Rez stromu presvetľovaním, odstránenie suchých a vyvetvenie/OS,VV/č.32,34,36,40,41,46,47,49,50,52,53,55,56,57,58,59,60,61,86,87,88   </t>
  </si>
  <si>
    <t xml:space="preserve">21   </t>
  </si>
  <si>
    <t>185803411.S</t>
  </si>
  <si>
    <t xml:space="preserve">Vyhrabanie trávnika v rovine alebo na svahu do 1:5   </t>
  </si>
  <si>
    <t xml:space="preserve">100+500   </t>
  </si>
  <si>
    <t xml:space="preserve">Investičné náklady neobsiahnuté v cenách   </t>
  </si>
  <si>
    <t>000200021.S</t>
  </si>
  <si>
    <t xml:space="preserve">Prieskumné práce - ornitologický prieskum I. APRIL - JÚL   </t>
  </si>
  <si>
    <t>eur</t>
  </si>
  <si>
    <t xml:space="preserve">700   </t>
  </si>
  <si>
    <t>000700011.S</t>
  </si>
  <si>
    <t xml:space="preserve">Dopravné náklady - mimostavenisková doprava objektivizácia dopravných nákladov materiálov/odvor biohmoty z asanácií/ do 20km, velkoobjemový kontajner   </t>
  </si>
  <si>
    <t>km</t>
  </si>
  <si>
    <t xml:space="preserve">20*20   </t>
  </si>
  <si>
    <t xml:space="preserve">Objednávateľ:   STAPRING NITRA A.S </t>
  </si>
  <si>
    <t xml:space="preserve">Zhotoviteľ:   PARTER </t>
  </si>
  <si>
    <t>Dátum:   11.4.2021</t>
  </si>
  <si>
    <t>184807111.S</t>
  </si>
  <si>
    <t xml:space="preserve">Ochrana stromu debnením pred poškodením stavebnou činnosťou zhotovenie   </t>
  </si>
  <si>
    <t xml:space="preserve">10,5*1,5   </t>
  </si>
  <si>
    <t xml:space="preserve">58*1,5   </t>
  </si>
  <si>
    <t xml:space="preserve">85,5*1,5   </t>
  </si>
  <si>
    <t xml:space="preserve">34*1,5   </t>
  </si>
  <si>
    <t xml:space="preserve">17*1,5   </t>
  </si>
  <si>
    <t xml:space="preserve">39,5*1,5   </t>
  </si>
  <si>
    <t xml:space="preserve">11,5*1,5   </t>
  </si>
  <si>
    <t xml:space="preserve">8*1,5*5   </t>
  </si>
  <si>
    <t xml:space="preserve">Súčet   </t>
  </si>
  <si>
    <t>184807112.S</t>
  </si>
  <si>
    <t xml:space="preserve">Ochrana stromu debnením pred poškodením stavebnou činnosťou odstránenie   </t>
  </si>
  <si>
    <t>026550000400</t>
  </si>
  <si>
    <t xml:space="preserve">Rastlina popínavá Brečtan popínavý - Hedera helix   </t>
  </si>
  <si>
    <t xml:space="preserve">68   </t>
  </si>
  <si>
    <t>026550001300</t>
  </si>
  <si>
    <t xml:space="preserve">Rastlina popínavá Pavinič trojlaločný - Parthenocissus tricuspidata Veitchii   </t>
  </si>
  <si>
    <t xml:space="preserve">19   </t>
  </si>
  <si>
    <t>05</t>
  </si>
  <si>
    <t xml:space="preserve">9   </t>
  </si>
  <si>
    <t>07</t>
  </si>
  <si>
    <t>08</t>
  </si>
  <si>
    <t>06</t>
  </si>
  <si>
    <t>180402111.S</t>
  </si>
  <si>
    <t xml:space="preserve">Založenie trávnika parkového výsevom v rovine/ s podsevom   </t>
  </si>
  <si>
    <t xml:space="preserve">613+420+2147   </t>
  </si>
  <si>
    <t>005720001300.S</t>
  </si>
  <si>
    <t xml:space="preserve">613*0,02   </t>
  </si>
  <si>
    <t>005720001300.S2</t>
  </si>
  <si>
    <t xml:space="preserve">2147*0,025   </t>
  </si>
  <si>
    <t>005720001500.S</t>
  </si>
  <si>
    <t xml:space="preserve">420*0,035   </t>
  </si>
  <si>
    <t>182001121.S</t>
  </si>
  <si>
    <t xml:space="preserve">Plošná úprava terénu pri nerovnostiach terénu nad 100-150 mm v rovine/ PLOCHY TRAVNIKOVE   </t>
  </si>
  <si>
    <t xml:space="preserve">2930   </t>
  </si>
  <si>
    <t>182303111.S</t>
  </si>
  <si>
    <t xml:space="preserve">Doplnenie ornice hrúbky do 50 mm, /TRAVNIKY   </t>
  </si>
  <si>
    <t>103640000100.SZ</t>
  </si>
  <si>
    <t xml:space="preserve">Zemina pre SADOVNICKE UPRAVY- ZAHONY/S DOPRAVOU   </t>
  </si>
  <si>
    <t xml:space="preserve">308,5*0,3*1,5   </t>
  </si>
  <si>
    <t>103640000100.S</t>
  </si>
  <si>
    <t xml:space="preserve">Zemina pre terénne úpravy - TRAVNIKY/ S DOPRAVOU   </t>
  </si>
  <si>
    <t xml:space="preserve">2930*0,05*1,5   </t>
  </si>
  <si>
    <t>183101111.S</t>
  </si>
  <si>
    <t xml:space="preserve">Hĺbenie jamky /CIBULKY   </t>
  </si>
  <si>
    <t xml:space="preserve">200   </t>
  </si>
  <si>
    <t>183101112.S</t>
  </si>
  <si>
    <t xml:space="preserve">Hĺbenie jamky /POPINAVE   </t>
  </si>
  <si>
    <t xml:space="preserve">87   </t>
  </si>
  <si>
    <t>183101112.ST</t>
  </si>
  <si>
    <t xml:space="preserve">Hĺbenie jamky v rovine/TRVALKY   </t>
  </si>
  <si>
    <t xml:space="preserve">978   </t>
  </si>
  <si>
    <t>183101114.S</t>
  </si>
  <si>
    <t xml:space="preserve">Hĺbenie jamky v rovine/CARPINUS   </t>
  </si>
  <si>
    <t xml:space="preserve">83   </t>
  </si>
  <si>
    <t>183101114.SK</t>
  </si>
  <si>
    <t xml:space="preserve">Hĺbenie jamky /KRIKY   </t>
  </si>
  <si>
    <t xml:space="preserve">138   </t>
  </si>
  <si>
    <t>183101121.S</t>
  </si>
  <si>
    <t xml:space="preserve">Hĺbenie jamky /STROMY   </t>
  </si>
  <si>
    <t>183204112.S</t>
  </si>
  <si>
    <t xml:space="preserve">Výsadba kvetín do pripravovanej pôdy so zaliatím s jednoduchými koreňami trvaliek   </t>
  </si>
  <si>
    <t>183204113.S</t>
  </si>
  <si>
    <t xml:space="preserve">Výsadba kvetín / cibuliek   </t>
  </si>
  <si>
    <t>183205111.S</t>
  </si>
  <si>
    <t xml:space="preserve">Založenie záhonu na svahu nad 1:5 do 1:2 rovine alebo na svahu do 1:5 v hornine 1 až 2   </t>
  </si>
  <si>
    <t xml:space="preserve">308,5   </t>
  </si>
  <si>
    <t>183403113.S</t>
  </si>
  <si>
    <t xml:space="preserve">Obrobenie pôdy frézovaním /OPAKOVANY UKON   </t>
  </si>
  <si>
    <t xml:space="preserve">2930*2   </t>
  </si>
  <si>
    <t>183403152.S</t>
  </si>
  <si>
    <t xml:space="preserve">Obrobenie pôdy bránením v rovine alebo na svahu do 1:5   </t>
  </si>
  <si>
    <t>183403153.S</t>
  </si>
  <si>
    <t xml:space="preserve">Obrobenie pôdy hrabaním v rovine /OPAKOVANY UKON   </t>
  </si>
  <si>
    <t>183403161.S</t>
  </si>
  <si>
    <t xml:space="preserve">Obrobenie pôdy valcovaním v rovine alebo na svahu do 1:5   </t>
  </si>
  <si>
    <t>184102111.SP</t>
  </si>
  <si>
    <t xml:space="preserve">Výsadba dreviny s balom /POPINAVE   </t>
  </si>
  <si>
    <t>184102112.SKR</t>
  </si>
  <si>
    <t xml:space="preserve">Výsadba dreviny s balom/KRIKY   </t>
  </si>
  <si>
    <t>184102116.S</t>
  </si>
  <si>
    <t xml:space="preserve">Výsadba dreviny s balom /STROMY   </t>
  </si>
  <si>
    <t>184202112.S</t>
  </si>
  <si>
    <t xml:space="preserve">Zakotvenie dreviny troma a viac kolmi pri priemere kolov do 100 mm pri dĺžke kolov do 2 m do 3 m   </t>
  </si>
  <si>
    <t>05217000010st</t>
  </si>
  <si>
    <t xml:space="preserve">drevený kôl frezovaný250/5,špic   </t>
  </si>
  <si>
    <t xml:space="preserve">23*3   </t>
  </si>
  <si>
    <t>184701112.S</t>
  </si>
  <si>
    <t xml:space="preserve">Výsadba živého plota /CARPINUS   </t>
  </si>
  <si>
    <t>184901112.S</t>
  </si>
  <si>
    <t xml:space="preserve">Osadenie kolov k drevine s uviazaním, dĺžky kolov nad 2 do 3 m   </t>
  </si>
  <si>
    <t>184921093.S</t>
  </si>
  <si>
    <t xml:space="preserve">Mulčovanie rastlín   </t>
  </si>
  <si>
    <t xml:space="preserve">113   </t>
  </si>
  <si>
    <t>184921111.KF</t>
  </si>
  <si>
    <t xml:space="preserve">Položenie folie v rovine /KF   </t>
  </si>
  <si>
    <t>bm</t>
  </si>
  <si>
    <t xml:space="preserve">124/2   </t>
  </si>
  <si>
    <t>283220003300.S KF</t>
  </si>
  <si>
    <t xml:space="preserve">Kamienková folia/ 25x0,4m-bal/ GRANIT   </t>
  </si>
  <si>
    <t>05541 PLAST</t>
  </si>
  <si>
    <t xml:space="preserve">OCHRANNA MANZETA PROTI MECHANICKEMU POSKODENIU PäTKY STROMU   </t>
  </si>
  <si>
    <t xml:space="preserve">23-9   </t>
  </si>
  <si>
    <t>10312HNOJIVA</t>
  </si>
  <si>
    <t xml:space="preserve">23/2   </t>
  </si>
  <si>
    <t>03</t>
  </si>
  <si>
    <t xml:space="preserve">KRIK LISTNATY CERPINUS BETULUS ,V 80/100,2,5l   </t>
  </si>
  <si>
    <t>026</t>
  </si>
  <si>
    <t xml:space="preserve">Cibulky /allium caeruleum + narcis   </t>
  </si>
  <si>
    <t xml:space="preserve">100+100   </t>
  </si>
  <si>
    <t>026510000plody</t>
  </si>
  <si>
    <t>026510000PLODY 2</t>
  </si>
  <si>
    <t>553430004700.L</t>
  </si>
  <si>
    <t xml:space="preserve">L profil obrubnik plastový /40X1000   </t>
  </si>
  <si>
    <t>553430004700.L2</t>
  </si>
  <si>
    <t xml:space="preserve">L profil obrubnik plastový / 100x1000   </t>
  </si>
  <si>
    <t>693710000300.S</t>
  </si>
  <si>
    <t xml:space="preserve">Upevňovací kolík 120 mm, /KLINCE KOTVIACE   </t>
  </si>
  <si>
    <t xml:space="preserve">115+140   </t>
  </si>
  <si>
    <t>184921111.S</t>
  </si>
  <si>
    <t xml:space="preserve">Položenie SEPARACNEJ  textílie/POD KAMENIVO   </t>
  </si>
  <si>
    <t xml:space="preserve">13   </t>
  </si>
  <si>
    <t>693710000200</t>
  </si>
  <si>
    <t xml:space="preserve">SEPARACNA  textília   </t>
  </si>
  <si>
    <t>055410000100.S</t>
  </si>
  <si>
    <t xml:space="preserve">Mulčovacia kôra/70l vr   </t>
  </si>
  <si>
    <t>l</t>
  </si>
  <si>
    <t>184921210.S</t>
  </si>
  <si>
    <t xml:space="preserve">Mulčovanie záhonu   </t>
  </si>
  <si>
    <t>583410004300.S</t>
  </si>
  <si>
    <t xml:space="preserve">Štrkodrva frakcia 0-32 mm   </t>
  </si>
  <si>
    <t>589100006.S</t>
  </si>
  <si>
    <t xml:space="preserve">Položenie umelej trávy /CVICNA PLOCHA/VRATANIE lepidla,dovozu, prace prip. pieskovania   </t>
  </si>
  <si>
    <t xml:space="preserve">60   </t>
  </si>
  <si>
    <t>284170005300.S</t>
  </si>
  <si>
    <t>02651000010TRVALKY</t>
  </si>
  <si>
    <t xml:space="preserve">116   </t>
  </si>
  <si>
    <t>0265100001TRVALKY</t>
  </si>
  <si>
    <t xml:space="preserve">25   </t>
  </si>
  <si>
    <t>0265100003TRVALKY</t>
  </si>
  <si>
    <t>0265100004TRVALKY</t>
  </si>
  <si>
    <t xml:space="preserve">15   </t>
  </si>
  <si>
    <t>0265100005TRVALKY</t>
  </si>
  <si>
    <t xml:space="preserve">168   </t>
  </si>
  <si>
    <t>0265100006TRVALKY</t>
  </si>
  <si>
    <t xml:space="preserve">Trvalky/linum perene "saphir"   </t>
  </si>
  <si>
    <t xml:space="preserve">49   </t>
  </si>
  <si>
    <t>0265100007TRVALKY</t>
  </si>
  <si>
    <t xml:space="preserve">Trvalky /liriope muscari " big blue ",white   </t>
  </si>
  <si>
    <t xml:space="preserve">46+238   </t>
  </si>
  <si>
    <t>0265100000TRVALKY</t>
  </si>
  <si>
    <t xml:space="preserve">Trvalky /pachysandra terminalis   </t>
  </si>
  <si>
    <t xml:space="preserve">155   </t>
  </si>
  <si>
    <t xml:space="preserve">Trvalky /sedum floriferum " weihensphaner gold"   </t>
  </si>
  <si>
    <t xml:space="preserve">77   </t>
  </si>
  <si>
    <t>0265100013TRVALKY</t>
  </si>
  <si>
    <t xml:space="preserve">Trvalky /sedum telethium "carl"   </t>
  </si>
  <si>
    <t xml:space="preserve">50   </t>
  </si>
  <si>
    <t>0265100014TRVALKY</t>
  </si>
  <si>
    <t xml:space="preserve">Trvalky/travina/schizachyrium "twilight"   </t>
  </si>
  <si>
    <t xml:space="preserve">26   </t>
  </si>
  <si>
    <t>026510002700</t>
  </si>
  <si>
    <t>0265100027002</t>
  </si>
  <si>
    <t xml:space="preserve">45   </t>
  </si>
  <si>
    <t>026510002600.S</t>
  </si>
  <si>
    <t xml:space="preserve">20   </t>
  </si>
  <si>
    <t>998231311.S</t>
  </si>
  <si>
    <t xml:space="preserve">Presun hmôt pre sadovnícke a krajinárske úpravy do 5000 m vodorovne bez zvislého presunu   </t>
  </si>
  <si>
    <t>Časť</t>
  </si>
  <si>
    <t xml:space="preserve">SO 12  Sadové úpravy </t>
  </si>
  <si>
    <t>01 -Výrub stromov</t>
  </si>
  <si>
    <t>02 - Ochrana drevín</t>
  </si>
  <si>
    <t>03 - realizácia sadových úprav</t>
  </si>
  <si>
    <t xml:space="preserve">   01</t>
  </si>
  <si>
    <t xml:space="preserve">   02</t>
  </si>
  <si>
    <t xml:space="preserve">   03</t>
  </si>
  <si>
    <t xml:space="preserve">   04</t>
  </si>
  <si>
    <t xml:space="preserve">Stavba: </t>
  </si>
  <si>
    <t>M+D hasiaciceho prístroja práškového - 6 kg</t>
  </si>
  <si>
    <t>767PC3005</t>
  </si>
  <si>
    <t>SO 04 Mobiliár</t>
  </si>
  <si>
    <t>4*0,60*0,60*0,80+2*0,30*0,30*0,800+4,0*3,98*0,25</t>
  </si>
  <si>
    <t>M1</t>
  </si>
  <si>
    <t>42*2*0,50*0,30*0,50</t>
  </si>
  <si>
    <t>M2</t>
  </si>
  <si>
    <t>2*2*0,40*0,40*0,90</t>
  </si>
  <si>
    <t>M3</t>
  </si>
  <si>
    <t>3*2*0,40*0,40*0,50</t>
  </si>
  <si>
    <t>M4</t>
  </si>
  <si>
    <t>12*0,35*0,87*0,35</t>
  </si>
  <si>
    <t>M5</t>
  </si>
  <si>
    <t>3*0,40*0,40*0,90</t>
  </si>
  <si>
    <t>M6</t>
  </si>
  <si>
    <t>5*2*0,30*0,30*3,14/4*0,55+5*0,30*1,80*0,25</t>
  </si>
  <si>
    <t>M7</t>
  </si>
  <si>
    <t>8*0,60*0,60*0,90</t>
  </si>
  <si>
    <t>M10</t>
  </si>
  <si>
    <t>8*0,35*1,20*0,40</t>
  </si>
  <si>
    <t>M11</t>
  </si>
  <si>
    <t>vykopaná zemina určená na skládku: 19,34 m3</t>
  </si>
  <si>
    <t>predpoklad ďalších 12 km: 19,34*12</t>
  </si>
  <si>
    <t>19,34*1,78</t>
  </si>
  <si>
    <t>8*0,35*1,20*0,20</t>
  </si>
  <si>
    <t>0,67*1,95</t>
  </si>
  <si>
    <t>Betón základových pätiek, prostý tr. C 16/20</t>
  </si>
  <si>
    <t>M1 - altánok: 4*0,60*0,60*0,90+2*0,30*0,30*0,90</t>
  </si>
  <si>
    <t>M2a - lavička: 11*2*0,50*0,30*0,50</t>
  </si>
  <si>
    <t>M2a1 - lavička: 8*2*0,50*0,30*0,50</t>
  </si>
  <si>
    <t>M2b - lavička: 23*2*0,50*0,30*0,50</t>
  </si>
  <si>
    <t>M3 - hmlová brána: 2*2*0,40*0,40*0,90</t>
  </si>
  <si>
    <t>chýba vo výkrese</t>
  </si>
  <si>
    <t>M4 - info tabuľa: 3*2*0,40*0,40*0,50</t>
  </si>
  <si>
    <t>M5 - stojan na bicykle: 12*0,35*0,87*0,35</t>
  </si>
  <si>
    <t>M6 - pitka: 3*0,40*0,40*0,90</t>
  </si>
  <si>
    <t>M7 - 5*2*0,30*0,30*3,14/4*0,55+5*0,30*0,50*1,80</t>
  </si>
  <si>
    <t>M10 - pergola: 8*0,60*0,60*0,90</t>
  </si>
  <si>
    <t>M11 - odpadk.nádoba: 8*0,35*1,20*0,20</t>
  </si>
  <si>
    <t xml:space="preserve">Podklad alebo podsyp zo kameniva fr.0-64 spolu s rozprestretím, vlhčením a zhutnením, hr.150 mm  po zhutnení </t>
  </si>
  <si>
    <t>M1 - altánok: 4,0*3,98</t>
  </si>
  <si>
    <t>596811330</t>
  </si>
  <si>
    <t>Kladenie betónovej dlažby s vyplnením škár do lôžka z cementovej malty vr.podkladu z kameniva fr.0-4 hr.40 mm</t>
  </si>
  <si>
    <t>592-11</t>
  </si>
  <si>
    <t>Betónová dlažba hr.60 mm</t>
  </si>
  <si>
    <t>15,92*1,05</t>
  </si>
  <si>
    <t>936104212</t>
  </si>
  <si>
    <t>Osadenie odpadkovej nádoby z kovovej konštrukcie na pevný podklad</t>
  </si>
  <si>
    <t>M11 - odpadk.nádoba: 8 ks</t>
  </si>
  <si>
    <t>936124122</t>
  </si>
  <si>
    <t>Osadenie parkovej lavičky kotevnými skrutkami bez zabetónovania nôh na pevný podklad</t>
  </si>
  <si>
    <t>M2a - lavička: 11 ks</t>
  </si>
  <si>
    <t>M2a1 - lavička: 8 ks</t>
  </si>
  <si>
    <t>M2b - lavička: 23 ks</t>
  </si>
  <si>
    <t>M2a</t>
  </si>
  <si>
    <t>M2a1</t>
  </si>
  <si>
    <t>M2b</t>
  </si>
  <si>
    <t>936174312</t>
  </si>
  <si>
    <t>Osadenie stojana na bicykle kotevnými skrutkami na pevný podklad</t>
  </si>
  <si>
    <t>M5 - stojan na bicykle - 12 ks</t>
  </si>
  <si>
    <t>Stojan na bicykle - oceľová konštrukcia v tvare U z tenkostenných oceľových profilov</t>
  </si>
  <si>
    <t>936941131</t>
  </si>
  <si>
    <t>Osadenie reklamnej vitríny, informačného nosiča kotevnými skrutkami bez zabetónovania nôh na pevný podklad</t>
  </si>
  <si>
    <t>M4 - info tabuľa: 3 ks</t>
  </si>
  <si>
    <t>Výveska informačná jednostranná INFO, šxv 1500x1000 mm, nohy z oceľových profilov, bez striešky, vnútorná plocha drevená</t>
  </si>
  <si>
    <t>936_PC001</t>
  </si>
  <si>
    <t>D+M hmlová brána z kovovej konštrukcie zložená z 2 oblúkov s 10 tryskami ukotvenej do železobetónových pätiek</t>
  </si>
  <si>
    <t>M3 - hmlová brána: 2 ks</t>
  </si>
  <si>
    <t>936_PC002</t>
  </si>
  <si>
    <t>D+M pitka z kovovej konštrukcie ukotvenej do železobetónovej pätky</t>
  </si>
  <si>
    <t>M6 - pitka: 3 ks</t>
  </si>
  <si>
    <t>936_PC003</t>
  </si>
  <si>
    <t>D+M drevený stôl ukotvený do železobetónovej pätky</t>
  </si>
  <si>
    <t>M1 - polvalcový drevený stôl (0,85 m3): 1 ks</t>
  </si>
  <si>
    <t>936_PC004</t>
  </si>
  <si>
    <t>D+M betónového bloku 450x250x150 mm vo farebnej imitácii travertín</t>
  </si>
  <si>
    <t>M8 - ohnisko: 1 ks zložený z 24 ks blokov</t>
  </si>
  <si>
    <t>936_PC005</t>
  </si>
  <si>
    <t>D+M piknikový set z drevenej konštrukcie vo farebnej úprave červenohnedá s lazúrovacím olejovým náterom</t>
  </si>
  <si>
    <t>M9 - piknikový set: 9 ks</t>
  </si>
  <si>
    <t>959941123</t>
  </si>
  <si>
    <t xml:space="preserve">Chemická kotva s kotevným svorníkom tesnená chemickou ampulkou do betónu, ŽB, kameňa, s vyvŕtaním otvoru M12x165 mm   </t>
  </si>
  <si>
    <t>M2a - lavička: 22x2</t>
  </si>
  <si>
    <t>M2a1 - lavička: 16x2</t>
  </si>
  <si>
    <t>M2b - lavička: 46x2</t>
  </si>
  <si>
    <t>M3 - hmlová brána: 4x4</t>
  </si>
  <si>
    <t>M4 - info tabuľa: 6x4</t>
  </si>
  <si>
    <t>M5 - stojan na bicykle: 24x1</t>
  </si>
  <si>
    <t>M6 - pitka: 3x4</t>
  </si>
  <si>
    <t>M11 - odpadk.nádoba: 32x1</t>
  </si>
  <si>
    <t>762712110</t>
  </si>
  <si>
    <t>Montáž priestorových viazaných konštrukcií z reziva hraneného prierezovej plochy do 120 cm2 vr.spojov.prostriedkov</t>
  </si>
  <si>
    <t>hranol 100/100 mm: 2*3,0</t>
  </si>
  <si>
    <t>762712120</t>
  </si>
  <si>
    <t>Montáž priestorových viazaných konštrukcií z reziva hraneného prierezovej plochy 120-224 cm2 vr.spojov.prostriedkov</t>
  </si>
  <si>
    <t>hranol 120/120 mm: 4*2,40+4*3,40+4*2,70</t>
  </si>
  <si>
    <t>Montáž priestorových viazaných konštrukcií z reziva hraneného prierezovej plochy 224-288 cm2 vr.spojov.prostriedkov</t>
  </si>
  <si>
    <t>hranol 160/160 mm: 20x1,0</t>
  </si>
  <si>
    <t>Montáž priestorových viazaných konštrukcií z reziva hraneného prierezovej plochy 228-450 cm2 vr.spojov.prostriedkov</t>
  </si>
  <si>
    <t>hranol 160/220 mm: 9*9,60+6*2,20+4*2,70</t>
  </si>
  <si>
    <t>hranol 200/200 mm: 8*2,60</t>
  </si>
  <si>
    <t>762712110.9</t>
  </si>
  <si>
    <t>Montáž konštrukcií z reziva hraneného prierezovej plochy do 120 cm2 vr.spojov.prostriedkov</t>
  </si>
  <si>
    <t>hranol 60/100 mm: 5*6*2,0</t>
  </si>
  <si>
    <t>(6,0*0,10*0,10+34,0*0,120*0,120+20,0*0,160*0,160+110,40*0,160*0,220+20,80*0,20*0,20+5*6*2,0*0,06*0,10)*1,02</t>
  </si>
  <si>
    <t>767PC7001</t>
  </si>
  <si>
    <t xml:space="preserve">Rám  z oceľovej  konštrukcie na upevnenie informačných panelov, povrchová úprava (dvojstĺpik)   </t>
  </si>
  <si>
    <t>767PC7002</t>
  </si>
  <si>
    <t>Kotvenie dreveného sedenia oceľovým profilom, vr.povrchovej úpravy a skrutiek</t>
  </si>
  <si>
    <t>M7 - sedenie: L60/60/6 - 460 mm 5*3 ks á 2,5 kg</t>
  </si>
  <si>
    <t>767995101</t>
  </si>
  <si>
    <t>Montáž ostatných atypických kovových stavebných doplnkových konštrukcií do 5 kg</t>
  </si>
  <si>
    <t>M2a - lavička: kotevná platňa 75/8-150 mm - 22 ks á 0,72 kg</t>
  </si>
  <si>
    <t>M2a1 - lavička: kotevná platňa 75/8-150 mm - 16 ks á 0,72 kg</t>
  </si>
  <si>
    <t>M2b - lavička: kotevná platňa 75/8-150 mm - 46 ks á 0,72 kg</t>
  </si>
  <si>
    <t>M3 - hmlová brána: kotevná platňa 200/10-200 mm - 4 ks á 3,20 kg</t>
  </si>
  <si>
    <t>M4 - informačná tabuľa: kotevná platňa 200/10-200 mm - 6 ks á 3,20 kg</t>
  </si>
  <si>
    <t>M5 - stojan na bicykle: kotevná platňa 70/8-150 mm - 24 ks á 0,67 kg</t>
  </si>
  <si>
    <t>M6 - pítka: kotevná platňa 170/8-170 mm - 3 ks á 1,85 kg</t>
  </si>
  <si>
    <t>M7 - sedenie: kotevná platňa 60/6-300 mm - 15 ks á 0,87 kg</t>
  </si>
  <si>
    <t>M11 - kôš na triedený odpad: kotevná platňa 75/8-100 mm - 32 ks á 0,48 kg</t>
  </si>
  <si>
    <t>K1</t>
  </si>
  <si>
    <t>K2</t>
  </si>
  <si>
    <t>K3</t>
  </si>
  <si>
    <t>K4</t>
  </si>
  <si>
    <t>K5</t>
  </si>
  <si>
    <t>K6</t>
  </si>
  <si>
    <t>767995103</t>
  </si>
  <si>
    <t>Montáž ostatných atypických kovových stavebných doplnkových konštrukcií nad 10 do 20 kg</t>
  </si>
  <si>
    <t>M1 - altánok: kotevná platňa 200x200x10+600x200x10 - 4 ks á 12,8 kg</t>
  </si>
  <si>
    <t>767995104</t>
  </si>
  <si>
    <t>Montáž ostatných atypických kovových stavebných doplnkových konštrukcií nad 20 do 50 kg</t>
  </si>
  <si>
    <t>M10 - pergola: kotevná platňa 300x300x20+600x200x20 - 8 ks á 33,60 kg</t>
  </si>
  <si>
    <t>Nátery tesárskych konštrukcií syntetické na vzduchu schnúce lazurovacím lakom 2x lakovaním</t>
  </si>
  <si>
    <t>6,0*4*0,10+2*2*0,10*0,10+34,0*4*0,12+2*12*0,12*0,12+20,0*4*0,16+2*20*0,16*0,16+110,40*2*(0,16+0,22)+19*2*0,16*0,22+20,80*4*0,20+8*2*0,20*0,20+5*6*2,0*2*0,16+5*6*2*0,06*0,10</t>
  </si>
  <si>
    <t>Nátery tesárskych konštrukcií povrchová impregnácia Bochemitom QB</t>
  </si>
  <si>
    <t>dtto lazurovací náter</t>
  </si>
  <si>
    <t>SO 02 Príprava územia</t>
  </si>
  <si>
    <t>113107113.1</t>
  </si>
  <si>
    <t>Odstránenie krytu v ploche do 200 m2 z piesku, hr.vrstvy 200 do 300 mm</t>
  </si>
  <si>
    <t>B7 - doskočisko: 32 m2</t>
  </si>
  <si>
    <t>Odstránenie krytu v ploche do 200 m2 z betónu prostého, hr. vrstvy 150 do 300 mm,  -0,50000t</t>
  </si>
  <si>
    <t>B1 - futbalové ihrisko: 980 m2</t>
  </si>
  <si>
    <t>B2 - basketbalové ihrisko: 340 m2</t>
  </si>
  <si>
    <t>Odstránenie krytu asfaltového v ploche do 200 m2, hr. nad 50 do 100 mm,  -0,18100t</t>
  </si>
  <si>
    <t>Vytrhanie obrúb betónových, s vybúraním lôžka, z krajníkov alebo obrubníkov stojatých,  -0,14500t</t>
  </si>
  <si>
    <t>B6 - obrubník pieskového doskočiska: 71 m</t>
  </si>
  <si>
    <t>B7 - obrubník okolobežeckej dráhy: 235 m</t>
  </si>
  <si>
    <t>Búranie tehlového a zmiešaného muriva, MV,MVC,v odkopávkach</t>
  </si>
  <si>
    <t>B8 - múrik okolo pieskoviska: 8*0,15*0,40</t>
  </si>
  <si>
    <t>vykopaná zemina určená na skládku: 9,60 m3</t>
  </si>
  <si>
    <t>predpoklad ďalších 12 km: 9,60*12</t>
  </si>
  <si>
    <t>961043111</t>
  </si>
  <si>
    <t>Búranie základov z betónu prostého alebo preloženého kameňom,  -2,20000t</t>
  </si>
  <si>
    <t>B5 - betónové stupne: 26,90 m3</t>
  </si>
  <si>
    <t>961055111</t>
  </si>
  <si>
    <t>Búranie základov alebo vybúranie otvorov plochy nad 4 m2 v základoch železobetónových,  -2,40000t</t>
  </si>
  <si>
    <t>B11 - oceľové oplotenie: 16,60 m3</t>
  </si>
  <si>
    <t>B12 - oplotenie z vlnitého plechu: 1,28 m3</t>
  </si>
  <si>
    <t>B13 - oceľové oplotenie pletivové: 5,0 m3</t>
  </si>
  <si>
    <t>B14 - oceľová brána: 0,36 m3</t>
  </si>
  <si>
    <t>B15 - oceľové oplotenie:  0,45+0,36 m3</t>
  </si>
  <si>
    <t>B16 - oceľové oplotenie: 0,13 m3</t>
  </si>
  <si>
    <t>966001122</t>
  </si>
  <si>
    <t>Demontáž parkovej lavičky kotvenej na pevný podklad, bočnice z betónu, výplň drevené laty 120x40 mm</t>
  </si>
  <si>
    <t>B9 - lavička: 5 ks</t>
  </si>
  <si>
    <t>966068.101</t>
  </si>
  <si>
    <t>Demontáž drevených prvkov rôznych konštrukcií</t>
  </si>
  <si>
    <t>B5 - drevené lavičky (tribúna): 6 ks</t>
  </si>
  <si>
    <t>966068.102</t>
  </si>
  <si>
    <t>Demontáž kovových súčastí rôznych konštrukcií</t>
  </si>
  <si>
    <r>
      <t xml:space="preserve">Vybúranie oceľovej konštrukcie bránky futbalového ihriska z oceľovej rúry </t>
    </r>
    <r>
      <rPr>
        <sz val="9"/>
        <rFont val="Calibri"/>
        <family val="2"/>
        <charset val="238"/>
      </rPr>
      <t>Ф</t>
    </r>
    <r>
      <rPr>
        <sz val="8"/>
        <rFont val="Arial"/>
        <family val="2"/>
        <charset val="238"/>
      </rPr>
      <t xml:space="preserve"> 120/5 mm</t>
    </r>
  </si>
  <si>
    <t>B3 - bránka futbalového ihriska: 2 ks</t>
  </si>
  <si>
    <r>
      <t xml:space="preserve">Vybúranie oceľovej konštrukcie basketbalového koša z oceľovej rúry </t>
    </r>
    <r>
      <rPr>
        <sz val="9"/>
        <rFont val="Calibri"/>
        <family val="2"/>
        <charset val="238"/>
      </rPr>
      <t>Ф</t>
    </r>
    <r>
      <rPr>
        <sz val="8"/>
        <rFont val="Arial"/>
        <family val="2"/>
        <charset val="238"/>
      </rPr>
      <t xml:space="preserve"> 110/5 mm, vr.basketbalovej dosky</t>
    </r>
  </si>
  <si>
    <t>B4: basketbalový kôš: 2 ks</t>
  </si>
  <si>
    <t>Vybúranie (odkopanie) gumových pneumatík</t>
  </si>
  <si>
    <t>B10 - gumové pneumatiky: 4 ks</t>
  </si>
  <si>
    <t xml:space="preserve">Poplatok za skladovanie - betón, tehly, dlaždice (17 01 ), ostatné   </t>
  </si>
  <si>
    <t>B1+B2: 1.320 m2*0,0,50t/m2</t>
  </si>
  <si>
    <t>B8 - múrik okolo pieskoviska: 8 m</t>
  </si>
  <si>
    <t>979089112</t>
  </si>
  <si>
    <t xml:space="preserve">Poplatok za skladovanie - drevo, sklo, plasty (17 02 ), ostatné   </t>
  </si>
  <si>
    <t>979089212</t>
  </si>
  <si>
    <t xml:space="preserve">Poplatok za skladovanie - bitúmenové zmesi, uholný decht, dechtové výrobky (17 03 ), ostatné   </t>
  </si>
  <si>
    <t>B1+B2: 1.320 m2*0,181t/m2</t>
  </si>
  <si>
    <t>B10 - gumové pneumatiky: 36 kg</t>
  </si>
  <si>
    <t>979089312</t>
  </si>
  <si>
    <t>Poplatok za skladovanie - kovy (meď, bronz, mosadz atď.) (17 04 ), ostatné</t>
  </si>
  <si>
    <t>B3+B4: 220+90 kg</t>
  </si>
  <si>
    <t>B11 - oceľové oplotenie: 490+315+907 kg</t>
  </si>
  <si>
    <t>B12 - oplotenie z vlnitého plechu: 490+88,7+255 kg</t>
  </si>
  <si>
    <t>B13 - oceľové oplotenie pletivové: 346+110 kg</t>
  </si>
  <si>
    <t>B14 - oceľová brána: 77+49+30,26 kg</t>
  </si>
  <si>
    <t>B15 - oceľové oplotenie: 24,5+24,3+70 kg</t>
  </si>
  <si>
    <t>B16 - oceľové oplotenie: 8,1+23,5 kg</t>
  </si>
  <si>
    <t>Demontáž oplotenia rámového na oceľové stĺpiky, výšky nad 1 do 2 m,  -0,00900t</t>
  </si>
  <si>
    <t>B11 - oceľové oplotenie: 61,50 m</t>
  </si>
  <si>
    <t>B12 - oplotenie z vlnitého plechu: 17,50 m</t>
  </si>
  <si>
    <t>B13 - oceľové oplotenie: 76,0 m</t>
  </si>
  <si>
    <t>B15 - oceľové oplotenie: 4,90 m</t>
  </si>
  <si>
    <t>B16 - oceľové oplotenie: 1,40 m</t>
  </si>
  <si>
    <t>767920840.1</t>
  </si>
  <si>
    <t>Demontáž vrát a vrátok na oplotenie s plochou jednotlivo nad 6 do 10 m2,  -0,28500t vr.odpílenia stĺpikov</t>
  </si>
  <si>
    <t>B14 - oceľová brána: 3200x1700 mm - 1 ks</t>
  </si>
  <si>
    <t>Náklady stavby bez VRN</t>
  </si>
  <si>
    <t>MÚ Trnava</t>
  </si>
  <si>
    <t>Výrub stromov</t>
  </si>
  <si>
    <t>Ochrana drevín</t>
  </si>
  <si>
    <t>Realizácia sadových úprav</t>
  </si>
  <si>
    <t>SERVIS 1 ROK</t>
  </si>
  <si>
    <t>skladba S3</t>
  </si>
  <si>
    <t>skladba S1</t>
  </si>
  <si>
    <t>skladba S2 a S4</t>
  </si>
  <si>
    <t>basketbalové ihrisko</t>
  </si>
  <si>
    <t>Spolu:</t>
  </si>
  <si>
    <t>cvičisko</t>
  </si>
  <si>
    <t>veľké ihrisko a bežecká dráha</t>
  </si>
  <si>
    <t>multifunkčné ihrisko</t>
  </si>
  <si>
    <t>M+D líniový odvodňovač z prefabrikátov z polymerbetónu vr.liatinovej mreže</t>
  </si>
  <si>
    <t xml:space="preserve"> Práce a dodávky PSV</t>
  </si>
  <si>
    <t>767911130.1</t>
  </si>
  <si>
    <t>Montáž oplotenia strojového pletiva, s výškou nad 1,6 m vr.dodávky pletiva</t>
  </si>
  <si>
    <t>basketbalové ihrisko: 2*15,0*4,0</t>
  </si>
  <si>
    <t>multifunkčné ihrisko: 2*21*5,0</t>
  </si>
  <si>
    <t>338171122.1</t>
  </si>
  <si>
    <t>Osadzovanie stĺpika oceľového plotového výšky nad 2 m so zabetónovaním do vopred vykopaných dier vr.dodávky</t>
  </si>
  <si>
    <t>multifunkčné ihrisko: stĺpik Ф 80 mm dĺ.6,0 m - 16 ks</t>
  </si>
  <si>
    <t>multifunkčné ihrisko: vzpera Ф 80 mm dĺ.5,85 m - 8 ks</t>
  </si>
  <si>
    <r>
      <t xml:space="preserve">basketbalové ihrisko: stĺpik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80 mm dĺ.5,0 m - 12 ks</t>
    </r>
  </si>
  <si>
    <r>
      <t xml:space="preserve">basketbalové ihrisko: vzpera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</t>
    </r>
    <r>
      <rPr>
        <sz val="8"/>
        <color theme="1" tint="0.34998626667073579"/>
        <rFont val="Arial CE"/>
        <family val="2"/>
        <charset val="238"/>
      </rPr>
      <t>80 mm dĺ.5,0 m - 4 ks</t>
    </r>
  </si>
  <si>
    <t>Kovové stavebné doplnkové konštrukcie</t>
  </si>
  <si>
    <t>130101001</t>
  </si>
  <si>
    <t>Výkop jamy a ryhy v obmedzenom priestore horn. tr.1-2 ručne</t>
  </si>
  <si>
    <t>basketbalové uhrisko: 2*6*0,40*0,40*1,20</t>
  </si>
  <si>
    <t>multifunkčné ihrisko: 2*8*0,40*0,40*1,20</t>
  </si>
  <si>
    <t>PC101</t>
  </si>
  <si>
    <t xml:space="preserve">Komunikácie   </t>
  </si>
  <si>
    <t>Dátum:   13.5.2021</t>
  </si>
  <si>
    <t xml:space="preserve">STROM  ACER CAMPESTRE "QUEEN ELIZABETH",18/20   </t>
  </si>
  <si>
    <t xml:space="preserve">STROM PODLA RPD , LIRIODENDRON TULIPIFERA vetv od zeme,18/20 ev vyška 200/250cm   </t>
  </si>
  <si>
    <t xml:space="preserve">STROM PYRUS CLERIANA "CHANTICLEER" , 25/30   </t>
  </si>
  <si>
    <t xml:space="preserve">STROM PODLA RPDACER RUBRUM "OCTOBER GLORY",18/20   </t>
  </si>
  <si>
    <t xml:space="preserve">Trávniková zmes  -B   </t>
  </si>
  <si>
    <t xml:space="preserve">Trávniková zmes športová - A   </t>
  </si>
  <si>
    <t xml:space="preserve">Trávniková zmes - výber  C   </t>
  </si>
  <si>
    <t xml:space="preserve">HYDROABSORBENT   </t>
  </si>
  <si>
    <t xml:space="preserve">Plodové kríky AMELANCHIER GRANDIFLORA PRINC WILLIAMS,co 1,5l   </t>
  </si>
  <si>
    <t xml:space="preserve">Krík RYBIZ CERVENY kmienik/ROVADA,pk, k 2l   </t>
  </si>
  <si>
    <t xml:space="preserve">Trvalky /echinacea  "double decker"  k1l   </t>
  </si>
  <si>
    <t xml:space="preserve">Trvalky /hemerocalis "louise manellis" k2l   </t>
  </si>
  <si>
    <t xml:space="preserve">Trvalky /hosta "cherry berry" k9   </t>
  </si>
  <si>
    <t xml:space="preserve">Krík listnatý Tavoľník bumaldový - Spiraea x japonica Golden Princes, dekoratívny listom,k2l   </t>
  </si>
  <si>
    <t xml:space="preserve">Krík listnatý Tavoľník bumaldový - Spiraea x japonica LittlePrincess, dekoratívny listom,k1,5l   </t>
  </si>
  <si>
    <t xml:space="preserve">Krík listnatý Tavoľník  - Spiraea ALBIFLORA, dekoratívny kvetom,k2l   </t>
  </si>
  <si>
    <t xml:space="preserve">Trvalky /HYPERICUM CYLYCINUM,k1l   </t>
  </si>
  <si>
    <t xml:space="preserve">Trvalky /liatris spicata "kobolt" ,k9   </t>
  </si>
  <si>
    <t xml:space="preserve">Umelá tráva/POLYPR, UV STABIL   </t>
  </si>
  <si>
    <t>76391OCHRANASIETI</t>
  </si>
  <si>
    <t xml:space="preserve">OCHRANNA FOLIA PODZEMNYCH SIETI /1x50bal/   </t>
  </si>
  <si>
    <t xml:space="preserve">ROOTCONTROL   </t>
  </si>
  <si>
    <t xml:space="preserve">71   </t>
  </si>
  <si>
    <t xml:space="preserve">8   </t>
  </si>
  <si>
    <t xml:space="preserve">21+11   </t>
  </si>
  <si>
    <t>001400011.S</t>
  </si>
  <si>
    <t xml:space="preserve">Ostatné náklady stavby - poplatky za skladkovanie / haluzina, biohmoty/eur/t   </t>
  </si>
  <si>
    <t xml:space="preserve">10   </t>
  </si>
  <si>
    <t>ROZPOČET S VÝKAZOM VÝMER</t>
  </si>
  <si>
    <t>Dátum:   17.5.2021</t>
  </si>
  <si>
    <t xml:space="preserve">Založenie trávnika parkového výsevom v rovine do 1:5   </t>
  </si>
  <si>
    <t xml:space="preserve">350   </t>
  </si>
  <si>
    <t>005720001400.S</t>
  </si>
  <si>
    <t xml:space="preserve">Osivá tráv - semená parkovej zmesi   </t>
  </si>
  <si>
    <t>182001131.S</t>
  </si>
  <si>
    <t xml:space="preserve">Plošná úprava terénu pri nerovnostiach terénu nad 150-200 mm v rovine alebo na svahu do 1:5   </t>
  </si>
  <si>
    <t>183402111.S</t>
  </si>
  <si>
    <t xml:space="preserve">Rozrušenie pôdy na hĺbku nad 50 do 15O mm v rovine alebo na svahu do 1:5   </t>
  </si>
  <si>
    <t>183403111.S</t>
  </si>
  <si>
    <t xml:space="preserve">Obrobenie pôdy prekopaním do hĺbky nad 50 do 100 mm v rovine alebo na svahu do 1:5   </t>
  </si>
  <si>
    <t xml:space="preserve">350/5   </t>
  </si>
  <si>
    <t xml:space="preserve">Obrobenie pôdy frézovaním v rovine alebo na svahu do 1:5   </t>
  </si>
  <si>
    <t xml:space="preserve">350*5   </t>
  </si>
  <si>
    <t xml:space="preserve">Obrobenie pôdy hrabaním v rovine alebo na svahu do 1:5   </t>
  </si>
  <si>
    <t>05 - zatrávnenie po rozkopávkach</t>
  </si>
  <si>
    <t xml:space="preserve">   05</t>
  </si>
  <si>
    <t>Zatrávnenie po rozkopávkach</t>
  </si>
  <si>
    <t>Montáž prvkov</t>
  </si>
  <si>
    <t>Presun hmôt, réžie, zariadenie staveniska</t>
  </si>
  <si>
    <t>Podklad alebo kryt z kameniva hrubého drveného  vel. 16-32 mm s rozprestrením a zhutněním, po zhutnění tl. 200 mm</t>
  </si>
  <si>
    <t xml:space="preserve">Lomové kamenivo  fr.0-4 mm </t>
  </si>
  <si>
    <t xml:space="preserve">Podklad alebo podsyp, lomové kamenivo fr.0-4 mm </t>
  </si>
  <si>
    <t>Separačný obrubník z ocelovej pásoviny 5/100 D+ M</t>
  </si>
  <si>
    <t>textilia GEOFILTEX 63 63/30 300 g/m2 do š 8,8 m</t>
  </si>
  <si>
    <t>vr. nákladov na naloženie zloženie a  poplatku za skládku</t>
  </si>
  <si>
    <t>Výkop zeminy pre dopadové a herné plochy, vr. poplatku za skádku</t>
  </si>
  <si>
    <t>Lavičky s operadlom š= 1,8m</t>
  </si>
  <si>
    <t xml:space="preserve">Lavičky s operadlom  š= 1,5m  pre 2ks  altánok </t>
  </si>
  <si>
    <t>Lavičky bez operadla/ 1.8m /</t>
  </si>
  <si>
    <t>Kotevná platňa pre stĺpiky altánku vr. povrchovej úpravy</t>
  </si>
  <si>
    <t>Kotevná platňa pre stĺpiky pergoly vr. povrchovej úpravy</t>
  </si>
  <si>
    <t>Kotevná platňa 75/8-150 mm vr. povrchovej úpravy</t>
  </si>
  <si>
    <t>Kotevná platňa 200/10-200 mm vr. povrchovej úpravy</t>
  </si>
  <si>
    <t>kotevná platňa 70/8-150 mm vr. povrchovej úpravy</t>
  </si>
  <si>
    <t>Kotevná platňa 170/8-170 mm vr. povrchovej úpravy</t>
  </si>
  <si>
    <t>Kotevná platňa 60/6-300 mm  vr. povrchovej úpravy</t>
  </si>
  <si>
    <t>Kotevná platňa 75/8-100 mm vr. povrchovej úpravy</t>
  </si>
  <si>
    <t xml:space="preserve">Drevo podľa projektovej dokumentácie </t>
  </si>
  <si>
    <t>Betonové základy pro montáž prvkov vr. prípravy</t>
  </si>
  <si>
    <t>162501112.S</t>
  </si>
  <si>
    <t xml:space="preserve">Vodorovné premiestnenie výkopku po nespevnenej ceste z horniny tr.1-4, do 100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</si>
  <si>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</si>
  <si>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Poplatok za skladovanie - zemina a kamenivo (17 05) ostatné   </t>
  </si>
  <si>
    <t>162501102.S</t>
  </si>
  <si>
    <t xml:space="preserve">Vodorovné premiestnenie výkopku po spevnenej ceste z horniny tr.1-4, do 100 m3 na vzdialenosť do 3000 m   </t>
  </si>
  <si>
    <t>162501105.S</t>
  </si>
  <si>
    <t xml:space="preserve">Vodorovné premiestnenie výkopku po spevnenej ceste z horniny tr.1-4, do 100 m3, príplatok k cene za každých ďalšich a začatých 1000 m   </t>
  </si>
  <si>
    <t>Dátum:   19.5. 2021</t>
  </si>
  <si>
    <t>Dátum:  19.5. 2021</t>
  </si>
  <si>
    <t xml:space="preserve">Dosky, bloky, sedlá z betónu v otvorenom výkope tr. C 25/30, pod LT   </t>
  </si>
  <si>
    <t>895793330.S</t>
  </si>
  <si>
    <t xml:space="preserve">Montáž vodnej zásuvky pre zavlažovacie systémy   </t>
  </si>
  <si>
    <t>426810018700.S</t>
  </si>
  <si>
    <t xml:space="preserve">Ventilová plastová šachta okrúhla , so vstavaným 3/4" ventilom, priemer 180 - 210 mm, výška 120 mm, vrátane veka   </t>
  </si>
  <si>
    <t>426810021300.S</t>
  </si>
  <si>
    <t xml:space="preserve">Kľúč na rýchlospojný ventil 3/4", mosadz   </t>
  </si>
  <si>
    <t>895793350.S</t>
  </si>
  <si>
    <t xml:space="preserve">Montáž filtrácie závlahových systémov   </t>
  </si>
  <si>
    <t>426810033500.S</t>
  </si>
  <si>
    <t xml:space="preserve">Filter diskový 1" s vonkajším závitom, max. prietok 6 m3/hod., PN 8   </t>
  </si>
  <si>
    <t xml:space="preserve">hadica na polievanie dĺžky 25,0 m + rýchlospojky   </t>
  </si>
  <si>
    <t>Stapring a.s.</t>
  </si>
  <si>
    <t>Dátum: 21.5.2021</t>
  </si>
  <si>
    <t>vr. Nákladov na naloženie, zloženie a poplatku za skládku</t>
  </si>
  <si>
    <t>textília GEOFILTEX 63 63/30 300 g/m2 do š 8,8 m</t>
  </si>
  <si>
    <t>Polyuretanový povrch EPDM,  farba SUR11110-902 ZelenáRAL6017</t>
  </si>
  <si>
    <t>Polyuretanový povrch EPDM, priepustný na podkl. Vrstve</t>
  </si>
  <si>
    <t>Polyuretanový povrch EPDM, farba SUR11111-902 Tmavo zelená RAL6005</t>
  </si>
  <si>
    <t>Polyuretanový povrch EPDM, farba SUR11132-902 Modrá RAL5015</t>
  </si>
  <si>
    <t>Polyuretanový povrch EPDM, farba SUR11109-902 Modrá RAL5005</t>
  </si>
  <si>
    <t>Polyuretanový povrch EPDM, farba SUR11152-902 Tierra blend</t>
  </si>
  <si>
    <t>Dopadová plocha, piesok</t>
  </si>
  <si>
    <t>Dopadová plocha, okruhliakové  kamenivo</t>
  </si>
  <si>
    <t>Presun hmôt, réžie, zariadenie staveniska...</t>
  </si>
  <si>
    <t>ZŠ s MŠ SUT - rekonštrukcia areálu TRNAVA</t>
  </si>
  <si>
    <t>Betonové základy pre montáž prvkov vr. prípravy</t>
  </si>
  <si>
    <t>KOMPAN FSW 101Combi 1 Pro,tmavošedá-workout zostava s lavicou</t>
  </si>
  <si>
    <t>KOMPAN FSW103 Combi 3 Pro,tmavošedá-workout zostava bradlá</t>
  </si>
  <si>
    <t xml:space="preserve">KOMPAN FSW105 Combi 5 Pro, tmavošedá-workout zostava </t>
  </si>
  <si>
    <t>KOMPAN FSW 209,Tmavošedá-hrazda na kliky</t>
  </si>
  <si>
    <t>KOMPAN FSW 201, tmavošedá-bradlá</t>
  </si>
  <si>
    <t>KOMPAN KPX120,Simulácia behu</t>
  </si>
  <si>
    <t>KOMPAN KPX129,Zlepšenie kardiovaskulárnej odolnosti</t>
  </si>
  <si>
    <t>KOMPAN KPX125,Šliapacie zariadenie</t>
  </si>
  <si>
    <t>KOMPAN KPX130,Ručný bicykel</t>
  </si>
  <si>
    <t>KOMPAN KPX131,Budovanie hrudných a ramenných svalov</t>
  </si>
  <si>
    <t>KOMPAN KPX224,Polohovanie hornej časti tela</t>
  </si>
  <si>
    <t>KOMPAN NRO 1027,Veža s visutou dráhou</t>
  </si>
  <si>
    <t>KOMPAN NRO 502,Lemovanie pieskoviska (2m)</t>
  </si>
  <si>
    <t>KOMPAN NRO 509,Vodná hojdačka s 2hernými stolmi</t>
  </si>
  <si>
    <t>KOMPAN NRO 404,Detský domček - obchodík</t>
  </si>
  <si>
    <t>KOMPAN NRO 115,Pružinová hojdačka-slimák</t>
  </si>
  <si>
    <t>KOMPAN NRO 870,Vysutý mostík pre deti</t>
  </si>
  <si>
    <t>KOMPAN GXY 9160,Veľký šikmý rotujúci prstenec</t>
  </si>
  <si>
    <t>KOMPAN KRS8200157,Herná zostava v tvare tekvičky so šmýkalkou</t>
  </si>
  <si>
    <t>KOMPAN NRO 854,4-prekážková dráha</t>
  </si>
  <si>
    <t>KOMPAN NRO 118,Pružinová hojdačka-včela</t>
  </si>
  <si>
    <t>KOMPAN NRO 119,Pružinová hojdačka-mravec</t>
  </si>
  <si>
    <t>KOMPAN NRO 908,Hojdačka so sedákmi</t>
  </si>
  <si>
    <t>Panel pre plot z pozinkovanej ocele, výška panela/dĺžka panela 1,00m/2,00m</t>
  </si>
  <si>
    <t>U1</t>
  </si>
  <si>
    <r>
      <t xml:space="preserve">vetracia hlavica VH </t>
    </r>
    <r>
      <rPr>
        <sz val="8"/>
        <color theme="1" tint="0.34998626667073579"/>
        <rFont val="Calibri"/>
        <family val="2"/>
        <charset val="238"/>
      </rPr>
      <t>Ф</t>
    </r>
    <r>
      <rPr>
        <sz val="6.8"/>
        <color theme="1" tint="0.34998626667073579"/>
        <rFont val="Arial CE"/>
        <family val="2"/>
        <charset val="238"/>
      </rPr>
      <t xml:space="preserve"> 110 mm </t>
    </r>
    <r>
      <rPr>
        <sz val="8"/>
        <color theme="1" tint="0.34998626667073579"/>
        <rFont val="Arial CE"/>
        <family val="2"/>
        <charset val="238"/>
      </rPr>
      <t>- 3 ks</t>
    </r>
  </si>
  <si>
    <t>časť 04 - B3: 1,40x1,80 m - 1 ks</t>
  </si>
  <si>
    <t>34a</t>
  </si>
  <si>
    <t>B3 časť 04</t>
  </si>
  <si>
    <t>Brána, dvojkrídlová, šxv 1,40x1,80 m, úprava pozinkovanie, výplň oceľovými profilmi, uzamykací systém</t>
  </si>
  <si>
    <t>Podkladná pružná vrstva SBR, hr. 50 mm</t>
  </si>
  <si>
    <t>Podklad plôch pro telovýchovu viacvrstvý s vrchnou vrstvou o celkovej hrúbke do 50 mm</t>
  </si>
  <si>
    <t>3a</t>
  </si>
  <si>
    <t>59217018_R</t>
  </si>
  <si>
    <t>O2 Separačný obrubník z ocelovej pásoviny 5/100 D+ M</t>
  </si>
  <si>
    <t>Podklad alebo podsyp, z kameniva  fr.0-8 mm s rozprostrením a zhutnením, po zhutnení hr.60 mm</t>
  </si>
  <si>
    <t>Podklad alebo kryt z kameniva hrubého drveného  vel. 8-16 mm s rozprostrením a zhutnením, po zhutnení hr.80 mm</t>
  </si>
  <si>
    <t>564760110</t>
  </si>
  <si>
    <t>Podklad alebo kryt z kameniva hrubého drveného  vel. 0-63 mm s rozprostrením a zhutnením, po zhutnení hr.150 mm</t>
  </si>
  <si>
    <t>O1 obrubník plastový z PE materiálu hr.4 mm D+ M</t>
  </si>
  <si>
    <t>AL6: 1800/1500 mm - 1 ks</t>
  </si>
  <si>
    <t>AL6</t>
  </si>
  <si>
    <t>104a</t>
  </si>
  <si>
    <t>4*1,20+2,40+1,80+1,80</t>
  </si>
  <si>
    <t>27a</t>
  </si>
  <si>
    <t>27b</t>
  </si>
  <si>
    <t>27c</t>
  </si>
  <si>
    <t>27d</t>
  </si>
  <si>
    <t>27e</t>
  </si>
  <si>
    <t>D+M odrazová doska skoku do diaľky</t>
  </si>
  <si>
    <t>D+M basketbalový kôš</t>
  </si>
  <si>
    <t>D+M futbalová brána</t>
  </si>
  <si>
    <t>D+M volejbalové stĺpy</t>
  </si>
  <si>
    <t>Čiarovanie ihrísk</t>
  </si>
  <si>
    <t>pre volejbalové stĺpy: 2*0,50*0,50*1,0</t>
  </si>
  <si>
    <t>pre basketbalové koše: 2*0,70*0,70*1,0</t>
  </si>
  <si>
    <t>pre futbalové bránky: 2*2*0,60*0,60*0,78</t>
  </si>
  <si>
    <t>pre volejbalové stĺpy: 2*0,50*0,50*1,12</t>
  </si>
  <si>
    <t>pre basketbalové koše: 2*0,70*0,70*1,12</t>
  </si>
  <si>
    <t>pre futbalové bránky: 2*2*0,60*0,60*0,90</t>
  </si>
  <si>
    <t>Podkladná pružná vrstva SBR, hr. 30 mm, zmes SBR + kamenivo fr.4-8</t>
  </si>
  <si>
    <t>Podklad pre športové plochy</t>
  </si>
  <si>
    <t>Polyuretanový povrch EPDM granulát 10 mm, farebnost podľa PD a podľa skladieb,  v.č. A01 - pôdorys ihrísk</t>
  </si>
  <si>
    <t>Polyuretanový povrch SBR granulát 10 mm + EPDM granulát 3 mm, farebnost podľa PD a podľa skladieb,  v.č. A01 - pôdorys ihrísk</t>
  </si>
  <si>
    <t>Podklad plôch pre telovýchovu</t>
  </si>
  <si>
    <t>Podklad z kameniva hrubého drveného vel. 16-32 mm hr. 200 mm</t>
  </si>
  <si>
    <t>Trojitý kôš pre triedený odpad v 3 základných farbách – modrá, žltá a čierna /papier, plast, ostatné – komunálny odpad/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</si>
</sst>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###0;\-###0"/>
    <numFmt numFmtId="166" formatCode="0.000"/>
    <numFmt numFmtId="167" formatCode="#,##0.000;\-#,##0.000"/>
    <numFmt numFmtId="168" formatCode="####;\-####"/>
    <numFmt numFmtId="169" formatCode="#,##0_ ;\-#,##0\ "/>
    <numFmt numFmtId="170" formatCode="#,##0.00\ &quot;€&quot;"/>
    <numFmt numFmtId="171" formatCode="#,##0.00000;\-#,##0.00000"/>
    <numFmt numFmtId="172" formatCode="#,##0.0;\-#,##0.0"/>
    <numFmt numFmtId="173" formatCode="dd\.mm\.yyyy"/>
    <numFmt numFmtId="174" formatCode="#,##0.00000"/>
  </numFmts>
  <fonts count="146">
    <font>
      <sz val="11"/>
      <color theme="1"/>
      <name val="Calibri"/>
      <family val="2"/>
      <charset val="238"/>
      <scheme val="minor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i/>
      <sz val="9"/>
      <color rgb="FF0000FF"/>
      <name val="Arial CE"/>
      <family val="2"/>
      <charset val="238"/>
    </font>
    <font>
      <i/>
      <sz val="9"/>
      <color rgb="FF0000FF"/>
      <name val="Arial"/>
      <family val="2"/>
      <charset val="238"/>
    </font>
    <font>
      <sz val="8"/>
      <name val="Arial CE"/>
      <family val="2"/>
      <charset val="238"/>
    </font>
    <font>
      <b/>
      <sz val="14"/>
      <color indexed="10"/>
      <name val="Arial CE"/>
      <family val="2"/>
      <charset val="238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 tint="0.249977111117893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color theme="1" tint="0.2499771111178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u/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Trebuchet MS"/>
      <family val="2"/>
    </font>
    <font>
      <sz val="9"/>
      <name val="Arial CE"/>
      <family val="2"/>
      <charset val="238"/>
    </font>
    <font>
      <sz val="8"/>
      <color theme="1" tint="0.34998626667073579"/>
      <name val="Arial CE"/>
      <family val="2"/>
      <charset val="238"/>
    </font>
    <font>
      <sz val="8"/>
      <color theme="1" tint="0.34998626667073579"/>
      <name val="Arial"/>
      <family val="2"/>
      <charset val="238"/>
    </font>
    <font>
      <sz val="8"/>
      <color theme="1" tint="0.34998626667073579"/>
      <name val="Arial CE"/>
      <family val="2"/>
      <charset val="238"/>
    </font>
    <font>
      <u/>
      <sz val="8"/>
      <name val="Arial"/>
      <family val="2"/>
      <charset val="238"/>
    </font>
    <font>
      <sz val="9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u/>
      <sz val="9"/>
      <color theme="1"/>
      <name val="Arial CE"/>
      <family val="2"/>
      <charset val="238"/>
    </font>
    <font>
      <b/>
      <u/>
      <sz val="9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7"/>
      <color theme="1"/>
      <name val="Arial CE"/>
      <family val="2"/>
      <charset val="238"/>
    </font>
    <font>
      <sz val="7"/>
      <name val="Arial CE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u/>
      <sz val="8"/>
      <color theme="1" tint="0.34998626667073579"/>
      <name val="Arial CE"/>
      <family val="2"/>
      <charset val="238"/>
    </font>
    <font>
      <sz val="8"/>
      <color theme="1" tint="0.34998626667073579"/>
      <name val="Calibri"/>
      <family val="2"/>
      <charset val="238"/>
    </font>
    <font>
      <sz val="6.8"/>
      <color theme="1" tint="0.34998626667073579"/>
      <name val="Arial CE"/>
      <family val="2"/>
      <charset val="238"/>
    </font>
    <font>
      <i/>
      <sz val="8"/>
      <color theme="1" tint="0.34998626667073579"/>
      <name val="Arial CE"/>
      <family val="2"/>
      <charset val="238"/>
    </font>
    <font>
      <b/>
      <sz val="18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4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9"/>
      <color indexed="12"/>
      <name val="Arial CE"/>
      <family val="2"/>
      <charset val="238"/>
    </font>
    <font>
      <b/>
      <sz val="8"/>
      <color theme="8" tint="-0.249977111117893"/>
      <name val="Arial CE"/>
      <family val="2"/>
      <charset val="238"/>
    </font>
    <font>
      <b/>
      <sz val="9"/>
      <color theme="8" tint="-0.249977111117893"/>
      <name val="Arial CE"/>
      <family val="2"/>
      <charset val="238"/>
    </font>
    <font>
      <b/>
      <sz val="8"/>
      <color indexed="60"/>
      <name val="Arial CE"/>
      <family val="2"/>
      <charset val="238"/>
    </font>
    <font>
      <b/>
      <sz val="9"/>
      <color indexed="60"/>
      <name val="Arial CE"/>
      <family val="2"/>
      <charset val="238"/>
    </font>
    <font>
      <sz val="8"/>
      <name val="Arial"/>
      <family val="2"/>
      <charset val="1"/>
    </font>
    <font>
      <b/>
      <u/>
      <sz val="8"/>
      <color indexed="10"/>
      <name val="Arial CE"/>
      <family val="2"/>
      <charset val="238"/>
    </font>
    <font>
      <b/>
      <u/>
      <sz val="9"/>
      <color indexed="1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9"/>
      <color indexed="60"/>
      <name val="Arial CE"/>
      <family val="2"/>
      <charset val="238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sz val="10"/>
      <name val="Times New Roman CE"/>
      <charset val="238"/>
    </font>
    <font>
      <b/>
      <sz val="10"/>
      <name val="Arial Narrow"/>
      <family val="2"/>
      <charset val="238"/>
    </font>
    <font>
      <b/>
      <sz val="24"/>
      <color theme="8"/>
      <name val="Arial Narrow"/>
      <family val="2"/>
      <charset val="238"/>
    </font>
    <font>
      <sz val="16"/>
      <name val="Arial Narrow"/>
      <family val="2"/>
      <charset val="238"/>
    </font>
    <font>
      <sz val="10"/>
      <name val="Arial Narrow"/>
      <family val="2"/>
    </font>
    <font>
      <b/>
      <sz val="10"/>
      <color rgb="FF0070C0"/>
      <name val="Arial Narrow"/>
      <family val="2"/>
      <charset val="238"/>
    </font>
    <font>
      <sz val="10"/>
      <color rgb="FF0070C0"/>
      <name val="Arial Narrow"/>
      <family val="2"/>
      <charset val="238"/>
    </font>
    <font>
      <i/>
      <sz val="10"/>
      <color theme="4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0000FF"/>
      <name val="Arial"/>
      <family val="2"/>
      <charset val="238"/>
    </font>
    <font>
      <u/>
      <sz val="8"/>
      <color rgb="FF0000FF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sz val="8"/>
      <color rgb="FF2D2DF7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rgb="FF6133F5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8"/>
      <color rgb="FF1809E1"/>
      <name val="Arial"/>
      <family val="2"/>
      <charset val="238"/>
    </font>
    <font>
      <b/>
      <sz val="11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9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sz val="7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9"/>
      <color theme="8" tint="-0.249977111117893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10"/>
      <name val="Arial CE"/>
      <family val="2"/>
      <charset val="238"/>
    </font>
    <font>
      <sz val="7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i/>
      <sz val="7"/>
      <name val="Arial CE"/>
      <family val="2"/>
      <charset val="238"/>
    </font>
    <font>
      <sz val="8"/>
      <name val="Arial CYR"/>
      <charset val="238"/>
    </font>
    <font>
      <sz val="8"/>
      <color indexed="63"/>
      <name val="Arial CE"/>
      <family val="2"/>
      <charset val="238"/>
    </font>
    <font>
      <sz val="8"/>
      <color indexed="61"/>
      <name val="Arial CE"/>
      <family val="2"/>
      <charset val="238"/>
    </font>
    <font>
      <sz val="9"/>
      <name val="Calibri"/>
      <family val="2"/>
      <charset val="238"/>
    </font>
    <font>
      <sz val="7"/>
      <color rgb="FF969696"/>
      <name val="Arial"/>
      <family val="2"/>
      <charset val="238"/>
    </font>
    <font>
      <i/>
      <sz val="8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969696"/>
      <name val="Arial"/>
      <family val="2"/>
      <charset val="238"/>
    </font>
    <font>
      <sz val="8"/>
      <color rgb="FF003366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8"/>
      <name val="MS Sans Serif"/>
      <charset val="1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2D2D2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</fills>
  <borders count="1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0">
    <xf numFmtId="0" fontId="0" fillId="0" borderId="0"/>
    <xf numFmtId="0" fontId="1" fillId="0" borderId="0" applyAlignment="0">
      <alignment vertical="top" wrapText="1"/>
      <protection locked="0"/>
    </xf>
    <xf numFmtId="0" fontId="8" fillId="0" borderId="0"/>
    <xf numFmtId="0" fontId="9" fillId="0" borderId="0" applyAlignment="0">
      <alignment vertical="top" wrapText="1"/>
      <protection locked="0"/>
    </xf>
    <xf numFmtId="0" fontId="22" fillId="0" borderId="0"/>
    <xf numFmtId="0" fontId="2" fillId="0" borderId="0" applyAlignment="0">
      <alignment vertical="top" wrapText="1"/>
      <protection locked="0"/>
    </xf>
    <xf numFmtId="0" fontId="28" fillId="0" borderId="0"/>
    <xf numFmtId="0" fontId="80" fillId="0" borderId="0"/>
    <xf numFmtId="0" fontId="14" fillId="0" borderId="0"/>
    <xf numFmtId="0" fontId="143" fillId="0" borderId="0" applyAlignment="0">
      <alignment vertical="top"/>
      <protection locked="0"/>
    </xf>
  </cellStyleXfs>
  <cellXfs count="1153">
    <xf numFmtId="0" fontId="0" fillId="0" borderId="0" xfId="0"/>
    <xf numFmtId="0" fontId="5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64" fontId="3" fillId="0" borderId="0" xfId="1" applyNumberFormat="1" applyFont="1" applyFill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4" fontId="6" fillId="0" borderId="0" xfId="1" applyNumberFormat="1" applyFont="1" applyFill="1" applyAlignment="1" applyProtection="1">
      <alignment horizontal="right"/>
    </xf>
    <xf numFmtId="0" fontId="4" fillId="0" borderId="0" xfId="1" applyFont="1" applyFill="1" applyAlignment="1" applyProtection="1">
      <alignment horizontal="center" vertical="center"/>
    </xf>
    <xf numFmtId="0" fontId="14" fillId="0" borderId="0" xfId="1" applyFont="1" applyFill="1" applyAlignment="1" applyProtection="1">
      <alignment horizontal="left"/>
    </xf>
    <xf numFmtId="4" fontId="17" fillId="0" borderId="4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left" vertical="center" wrapText="1"/>
    </xf>
    <xf numFmtId="164" fontId="4" fillId="0" borderId="0" xfId="1" applyNumberFormat="1" applyFont="1" applyFill="1" applyAlignment="1" applyProtection="1">
      <alignment horizontal="left"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left" wrapText="1"/>
    </xf>
    <xf numFmtId="0" fontId="21" fillId="0" borderId="0" xfId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horizontal="right"/>
    </xf>
    <xf numFmtId="0" fontId="6" fillId="0" borderId="0" xfId="1" applyFont="1" applyFill="1" applyAlignment="1">
      <alignment horizontal="left" vertical="top"/>
      <protection locked="0"/>
    </xf>
    <xf numFmtId="0" fontId="7" fillId="0" borderId="0" xfId="1" applyFont="1" applyFill="1" applyAlignment="1">
      <alignment horizontal="left" vertical="center"/>
      <protection locked="0"/>
    </xf>
    <xf numFmtId="0" fontId="7" fillId="0" borderId="0" xfId="1" applyFont="1" applyFill="1" applyAlignment="1">
      <alignment horizontal="left" vertical="top"/>
      <protection locked="0"/>
    </xf>
    <xf numFmtId="0" fontId="5" fillId="0" borderId="0" xfId="1" applyFont="1" applyFill="1" applyAlignment="1">
      <alignment horizontal="left" vertical="top"/>
      <protection locked="0"/>
    </xf>
    <xf numFmtId="0" fontId="16" fillId="0" borderId="0" xfId="0" applyFont="1" applyFill="1" applyAlignment="1">
      <alignment horizontal="justify" vertical="center"/>
    </xf>
    <xf numFmtId="166" fontId="15" fillId="0" borderId="0" xfId="0" applyNumberFormat="1" applyFont="1" applyFill="1" applyAlignment="1">
      <alignment horizontal="right"/>
    </xf>
    <xf numFmtId="0" fontId="14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left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wrapText="1"/>
    </xf>
    <xf numFmtId="37" fontId="14" fillId="0" borderId="0" xfId="1" applyNumberFormat="1" applyFont="1" applyFill="1" applyAlignment="1" applyProtection="1">
      <alignment horizontal="right"/>
    </xf>
    <xf numFmtId="0" fontId="12" fillId="0" borderId="0" xfId="1" applyFont="1" applyFill="1" applyAlignment="1">
      <alignment horizontal="left" vertical="top"/>
      <protection locked="0"/>
    </xf>
    <xf numFmtId="0" fontId="6" fillId="0" borderId="0" xfId="1" applyFont="1" applyFill="1" applyAlignment="1">
      <alignment horizontal="center" vertical="center"/>
      <protection locked="0"/>
    </xf>
    <xf numFmtId="4" fontId="6" fillId="0" borderId="0" xfId="1" applyNumberFormat="1" applyFont="1" applyFill="1" applyAlignment="1">
      <alignment horizontal="right" vertical="top"/>
      <protection locked="0"/>
    </xf>
    <xf numFmtId="0" fontId="12" fillId="0" borderId="0" xfId="1" applyFont="1" applyFill="1" applyAlignment="1">
      <alignment horizontal="center" vertical="center"/>
      <protection locked="0"/>
    </xf>
    <xf numFmtId="0" fontId="24" fillId="0" borderId="0" xfId="1" applyFont="1" applyFill="1" applyAlignment="1">
      <alignment horizontal="left" vertical="top"/>
      <protection locked="0"/>
    </xf>
    <xf numFmtId="4" fontId="25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>
      <alignment horizontal="center" vertical="center"/>
      <protection locked="0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right" vertical="center"/>
    </xf>
    <xf numFmtId="0" fontId="26" fillId="0" borderId="0" xfId="1" applyFont="1" applyFill="1" applyAlignment="1">
      <alignment horizontal="center" vertical="center"/>
      <protection locked="0"/>
    </xf>
    <xf numFmtId="4" fontId="7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/>
    <xf numFmtId="0" fontId="27" fillId="0" borderId="0" xfId="1" applyFont="1" applyFill="1" applyAlignment="1">
      <alignment horizontal="center" vertical="center"/>
      <protection locked="0"/>
    </xf>
    <xf numFmtId="164" fontId="7" fillId="0" borderId="0" xfId="0" applyNumberFormat="1" applyFont="1" applyFill="1" applyAlignment="1">
      <alignment horizontal="right" vertical="center"/>
    </xf>
    <xf numFmtId="166" fontId="7" fillId="0" borderId="0" xfId="1" applyNumberFormat="1" applyFont="1" applyFill="1" applyAlignment="1">
      <alignment horizontal="right" vertical="center"/>
      <protection locked="0"/>
    </xf>
    <xf numFmtId="166" fontId="16" fillId="0" borderId="0" xfId="0" applyNumberFormat="1" applyFont="1" applyFill="1" applyAlignment="1">
      <alignment horizontal="right" vertical="center"/>
    </xf>
    <xf numFmtId="164" fontId="7" fillId="0" borderId="0" xfId="1" applyNumberFormat="1" applyFont="1" applyFill="1" applyAlignment="1">
      <alignment horizontal="right" vertical="center"/>
      <protection locked="0"/>
    </xf>
    <xf numFmtId="164" fontId="33" fillId="0" borderId="0" xfId="1" applyNumberFormat="1" applyFont="1" applyFill="1" applyAlignment="1">
      <alignment horizontal="right" vertical="center"/>
      <protection locked="0"/>
    </xf>
    <xf numFmtId="0" fontId="12" fillId="0" borderId="0" xfId="1" applyFont="1" applyFill="1" applyAlignment="1">
      <alignment horizontal="left" vertical="center"/>
      <protection locked="0"/>
    </xf>
    <xf numFmtId="0" fontId="23" fillId="0" borderId="0" xfId="0" applyFont="1" applyFill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164" fontId="30" fillId="0" borderId="0" xfId="1" applyNumberFormat="1" applyFont="1" applyFill="1" applyAlignment="1" applyProtection="1">
      <alignment horizontal="right"/>
    </xf>
    <xf numFmtId="4" fontId="6" fillId="0" borderId="0" xfId="1" applyNumberFormat="1" applyFont="1" applyFill="1" applyAlignment="1" applyProtection="1">
      <alignment horizontal="left"/>
    </xf>
    <xf numFmtId="0" fontId="30" fillId="0" borderId="0" xfId="1" applyFont="1" applyFill="1" applyAlignment="1" applyProtection="1">
      <alignment horizontal="left" wrapText="1"/>
    </xf>
    <xf numFmtId="0" fontId="31" fillId="0" borderId="0" xfId="1" applyFont="1" applyFill="1" applyAlignment="1" applyProtection="1">
      <alignment horizontal="center" vertical="center"/>
    </xf>
    <xf numFmtId="0" fontId="31" fillId="0" borderId="7" xfId="1" applyFont="1" applyFill="1" applyBorder="1" applyAlignment="1" applyProtection="1">
      <alignment horizontal="left" wrapText="1"/>
    </xf>
    <xf numFmtId="0" fontId="31" fillId="0" borderId="7" xfId="1" applyFont="1" applyFill="1" applyBorder="1" applyAlignment="1" applyProtection="1">
      <alignment horizontal="center" vertical="center"/>
    </xf>
    <xf numFmtId="164" fontId="31" fillId="0" borderId="7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horizontal="center"/>
    </xf>
    <xf numFmtId="4" fontId="5" fillId="0" borderId="0" xfId="1" applyNumberFormat="1" applyFont="1" applyFill="1" applyAlignment="1" applyProtection="1">
      <alignment horizontal="left"/>
    </xf>
    <xf numFmtId="4" fontId="3" fillId="0" borderId="8" xfId="1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4" fontId="5" fillId="0" borderId="2" xfId="1" applyNumberFormat="1" applyFont="1" applyFill="1" applyBorder="1" applyAlignment="1" applyProtection="1">
      <alignment horizontal="right" vertical="center"/>
    </xf>
    <xf numFmtId="165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center" wrapText="1"/>
    </xf>
    <xf numFmtId="0" fontId="30" fillId="0" borderId="0" xfId="1" applyFont="1" applyFill="1" applyAlignment="1" applyProtection="1">
      <alignment horizontal="center" vertical="center"/>
    </xf>
    <xf numFmtId="164" fontId="31" fillId="0" borderId="0" xfId="1" applyNumberFormat="1" applyFont="1" applyFill="1" applyAlignment="1" applyProtection="1">
      <alignment horizontal="right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 applyProtection="1">
      <alignment horizontal="right" vertical="center"/>
    </xf>
    <xf numFmtId="0" fontId="34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4" fontId="34" fillId="0" borderId="0" xfId="4" applyNumberFormat="1" applyFont="1" applyAlignment="1">
      <alignment vertical="center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vertical="center"/>
    </xf>
    <xf numFmtId="4" fontId="34" fillId="0" borderId="0" xfId="4" applyNumberFormat="1" applyFont="1" applyAlignment="1">
      <alignment horizontal="center" vertical="center"/>
    </xf>
    <xf numFmtId="4" fontId="35" fillId="0" borderId="0" xfId="4" applyNumberFormat="1" applyFont="1" applyAlignment="1">
      <alignment vertical="center"/>
    </xf>
    <xf numFmtId="0" fontId="6" fillId="2" borderId="0" xfId="4" applyFont="1" applyFill="1" applyAlignment="1" applyProtection="1">
      <alignment horizontal="center" vertical="center" wrapText="1"/>
    </xf>
    <xf numFmtId="0" fontId="6" fillId="0" borderId="0" xfId="4" applyFont="1" applyFill="1" applyAlignment="1" applyProtection="1">
      <alignment horizontal="center" vertical="center" wrapText="1"/>
    </xf>
    <xf numFmtId="167" fontId="3" fillId="3" borderId="12" xfId="4" applyNumberFormat="1" applyFont="1" applyFill="1" applyBorder="1" applyAlignment="1" applyProtection="1">
      <alignment horizontal="center" vertical="center"/>
    </xf>
    <xf numFmtId="4" fontId="3" fillId="3" borderId="1" xfId="4" applyNumberFormat="1" applyFont="1" applyFill="1" applyBorder="1" applyAlignment="1" applyProtection="1">
      <alignment horizontal="center" vertical="center"/>
    </xf>
    <xf numFmtId="0" fontId="3" fillId="3" borderId="13" xfId="4" applyFont="1" applyFill="1" applyBorder="1" applyAlignment="1" applyProtection="1">
      <alignment horizontal="center" vertical="center"/>
    </xf>
    <xf numFmtId="4" fontId="3" fillId="3" borderId="13" xfId="4" applyNumberFormat="1" applyFont="1" applyFill="1" applyBorder="1" applyAlignment="1" applyProtection="1">
      <alignment horizontal="center" vertical="center"/>
    </xf>
    <xf numFmtId="0" fontId="3" fillId="3" borderId="13" xfId="4" applyFont="1" applyFill="1" applyBorder="1" applyAlignment="1" applyProtection="1">
      <alignment horizontal="left" vertical="center"/>
    </xf>
    <xf numFmtId="4" fontId="34" fillId="0" borderId="16" xfId="4" applyNumberFormat="1" applyFont="1" applyFill="1" applyBorder="1" applyAlignment="1">
      <alignment horizontal="center" vertical="center"/>
    </xf>
    <xf numFmtId="0" fontId="34" fillId="0" borderId="18" xfId="4" applyFont="1" applyFill="1" applyBorder="1" applyAlignment="1">
      <alignment horizontal="center" vertical="center" wrapText="1"/>
    </xf>
    <xf numFmtId="0" fontId="34" fillId="0" borderId="20" xfId="4" applyFont="1" applyFill="1" applyBorder="1" applyAlignment="1">
      <alignment horizontal="center" vertical="center" wrapText="1"/>
    </xf>
    <xf numFmtId="4" fontId="6" fillId="0" borderId="19" xfId="4" applyNumberFormat="1" applyFont="1" applyFill="1" applyBorder="1" applyAlignment="1">
      <alignment horizontal="center" vertical="center" wrapText="1"/>
    </xf>
    <xf numFmtId="4" fontId="6" fillId="0" borderId="21" xfId="4" applyNumberFormat="1" applyFont="1" applyFill="1" applyBorder="1" applyAlignment="1">
      <alignment horizontal="center" vertical="center" wrapText="1"/>
    </xf>
    <xf numFmtId="4" fontId="6" fillId="0" borderId="14" xfId="4" applyNumberFormat="1" applyFont="1" applyFill="1" applyBorder="1" applyAlignment="1">
      <alignment horizontal="center" vertical="center"/>
    </xf>
    <xf numFmtId="0" fontId="6" fillId="0" borderId="14" xfId="4" applyFont="1" applyFill="1" applyBorder="1" applyAlignment="1">
      <alignment vertical="center" wrapText="1"/>
    </xf>
    <xf numFmtId="0" fontId="6" fillId="0" borderId="14" xfId="4" applyFont="1" applyFill="1" applyBorder="1" applyAlignment="1">
      <alignment vertical="center"/>
    </xf>
    <xf numFmtId="0" fontId="34" fillId="0" borderId="14" xfId="4" applyFont="1" applyFill="1" applyBorder="1" applyAlignment="1">
      <alignment horizontal="center" vertical="center"/>
    </xf>
    <xf numFmtId="4" fontId="34" fillId="0" borderId="15" xfId="4" applyNumberFormat="1" applyFont="1" applyFill="1" applyBorder="1" applyAlignment="1">
      <alignment horizontal="center" vertical="center"/>
    </xf>
    <xf numFmtId="4" fontId="34" fillId="0" borderId="17" xfId="4" applyNumberFormat="1" applyFont="1" applyFill="1" applyBorder="1" applyAlignment="1">
      <alignment horizontal="center" vertical="center"/>
    </xf>
    <xf numFmtId="0" fontId="34" fillId="0" borderId="22" xfId="4" applyFont="1" applyFill="1" applyBorder="1" applyAlignment="1">
      <alignment horizontal="center" vertical="center" wrapText="1"/>
    </xf>
    <xf numFmtId="4" fontId="34" fillId="0" borderId="19" xfId="4" applyNumberFormat="1" applyFont="1" applyFill="1" applyBorder="1" applyAlignment="1">
      <alignment horizontal="center" vertical="center"/>
    </xf>
    <xf numFmtId="0" fontId="34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34" fillId="0" borderId="0" xfId="4" applyFont="1" applyFill="1" applyAlignment="1" applyProtection="1">
      <alignment horizontal="center" vertical="center" wrapText="1"/>
    </xf>
    <xf numFmtId="0" fontId="12" fillId="0" borderId="23" xfId="4" applyFont="1" applyFill="1" applyBorder="1" applyAlignment="1" applyProtection="1">
      <alignment horizontal="center" vertical="center" wrapText="1"/>
    </xf>
    <xf numFmtId="0" fontId="39" fillId="0" borderId="23" xfId="4" applyFont="1" applyFill="1" applyBorder="1" applyAlignment="1" applyProtection="1">
      <alignment horizontal="center" vertical="center" wrapText="1"/>
    </xf>
    <xf numFmtId="0" fontId="34" fillId="0" borderId="0" xfId="4" applyFont="1" applyAlignment="1" applyProtection="1">
      <alignment horizontal="center" vertical="center" wrapText="1"/>
    </xf>
    <xf numFmtId="0" fontId="40" fillId="0" borderId="26" xfId="4" applyFont="1" applyFill="1" applyBorder="1" applyAlignment="1" applyProtection="1">
      <alignment horizontal="center" vertical="center" wrapText="1"/>
    </xf>
    <xf numFmtId="0" fontId="41" fillId="0" borderId="26" xfId="4" applyFont="1" applyFill="1" applyBorder="1" applyAlignment="1" applyProtection="1">
      <alignment horizontal="center" vertical="center" wrapText="1"/>
    </xf>
    <xf numFmtId="0" fontId="42" fillId="0" borderId="27" xfId="4" applyFont="1" applyFill="1" applyBorder="1" applyAlignment="1" applyProtection="1">
      <alignment horizontal="center" vertical="center" wrapText="1"/>
    </xf>
    <xf numFmtId="0" fontId="34" fillId="0" borderId="0" xfId="4" applyFont="1" applyAlignment="1" applyProtection="1">
      <alignment horizontal="left" vertical="center"/>
    </xf>
    <xf numFmtId="0" fontId="34" fillId="0" borderId="0" xfId="4" applyFont="1" applyAlignment="1" applyProtection="1">
      <alignment horizontal="center" vertical="center"/>
    </xf>
    <xf numFmtId="0" fontId="41" fillId="0" borderId="0" xfId="5" applyFont="1" applyFill="1" applyAlignment="1" applyProtection="1">
      <alignment horizontal="left" vertical="center"/>
    </xf>
    <xf numFmtId="0" fontId="34" fillId="0" borderId="0" xfId="4" applyFont="1" applyFill="1" applyAlignment="1">
      <alignment vertical="center"/>
    </xf>
    <xf numFmtId="0" fontId="45" fillId="0" borderId="0" xfId="4" applyFont="1" applyAlignment="1">
      <alignment horizontal="right" vertical="center"/>
    </xf>
    <xf numFmtId="0" fontId="46" fillId="0" borderId="0" xfId="4" applyFont="1" applyFill="1" applyAlignment="1">
      <alignment horizontal="left" vertical="center"/>
    </xf>
    <xf numFmtId="0" fontId="47" fillId="0" borderId="0" xfId="4" applyFont="1" applyFill="1" applyAlignment="1">
      <alignment horizontal="left" vertical="center"/>
    </xf>
    <xf numFmtId="0" fontId="38" fillId="2" borderId="13" xfId="4" applyFont="1" applyFill="1" applyBorder="1" applyAlignment="1" applyProtection="1">
      <alignment horizontal="left" vertical="center"/>
    </xf>
    <xf numFmtId="49" fontId="34" fillId="2" borderId="14" xfId="4" applyNumberFormat="1" applyFont="1" applyFill="1" applyBorder="1" applyAlignment="1">
      <alignment horizontal="center" vertical="center"/>
    </xf>
    <xf numFmtId="0" fontId="3" fillId="2" borderId="13" xfId="4" applyFont="1" applyFill="1" applyBorder="1" applyAlignment="1" applyProtection="1">
      <alignment horizontal="left" vertical="center"/>
    </xf>
    <xf numFmtId="4" fontId="3" fillId="2" borderId="5" xfId="4" applyNumberFormat="1" applyFont="1" applyFill="1" applyBorder="1" applyAlignment="1" applyProtection="1">
      <alignment horizontal="center" vertical="center"/>
    </xf>
    <xf numFmtId="0" fontId="3" fillId="2" borderId="13" xfId="4" applyFont="1" applyFill="1" applyBorder="1" applyAlignment="1" applyProtection="1">
      <alignment horizontal="center" vertical="center"/>
    </xf>
    <xf numFmtId="4" fontId="3" fillId="2" borderId="13" xfId="4" applyNumberFormat="1" applyFont="1" applyFill="1" applyBorder="1" applyAlignment="1" applyProtection="1">
      <alignment horizontal="center" vertical="center"/>
    </xf>
    <xf numFmtId="167" fontId="3" fillId="2" borderId="12" xfId="4" applyNumberFormat="1" applyFont="1" applyFill="1" applyBorder="1" applyAlignment="1" applyProtection="1">
      <alignment horizontal="center" vertical="center"/>
    </xf>
    <xf numFmtId="0" fontId="6" fillId="4" borderId="0" xfId="4" applyFont="1" applyFill="1" applyAlignment="1">
      <alignment horizontal="center" vertical="center" wrapText="1"/>
    </xf>
    <xf numFmtId="0" fontId="44" fillId="4" borderId="0" xfId="4" applyFont="1" applyFill="1" applyAlignment="1">
      <alignment horizontal="center" vertical="center" wrapText="1"/>
    </xf>
    <xf numFmtId="0" fontId="34" fillId="4" borderId="0" xfId="4" applyFont="1" applyFill="1" applyAlignment="1">
      <alignment horizontal="center" vertical="center"/>
    </xf>
    <xf numFmtId="0" fontId="43" fillId="4" borderId="0" xfId="4" applyFont="1" applyFill="1" applyAlignment="1">
      <alignment horizontal="center" vertical="center" wrapText="1"/>
    </xf>
    <xf numFmtId="0" fontId="6" fillId="4" borderId="0" xfId="4" applyFont="1" applyFill="1" applyAlignment="1">
      <alignment horizontal="center" vertical="center"/>
    </xf>
    <xf numFmtId="4" fontId="35" fillId="4" borderId="0" xfId="4" applyNumberFormat="1" applyFont="1" applyFill="1" applyAlignment="1">
      <alignment horizontal="center" vertical="center"/>
    </xf>
    <xf numFmtId="4" fontId="34" fillId="4" borderId="0" xfId="4" applyNumberFormat="1" applyFont="1" applyFill="1" applyAlignment="1">
      <alignment horizontal="center" vertical="center"/>
    </xf>
    <xf numFmtId="0" fontId="6" fillId="0" borderId="28" xfId="4" applyFont="1" applyFill="1" applyBorder="1" applyAlignment="1">
      <alignment horizontal="center" vertical="center" wrapText="1"/>
    </xf>
    <xf numFmtId="0" fontId="6" fillId="0" borderId="29" xfId="4" applyFont="1" applyFill="1" applyBorder="1" applyAlignment="1">
      <alignment horizontal="center" vertical="center" wrapText="1"/>
    </xf>
    <xf numFmtId="0" fontId="6" fillId="0" borderId="30" xfId="4" applyFont="1" applyFill="1" applyBorder="1" applyAlignment="1">
      <alignment horizontal="center" vertical="center" wrapText="1"/>
    </xf>
    <xf numFmtId="0" fontId="6" fillId="0" borderId="31" xfId="4" applyFont="1" applyFill="1" applyBorder="1" applyAlignment="1">
      <alignment horizontal="center" vertical="center" wrapText="1"/>
    </xf>
    <xf numFmtId="0" fontId="40" fillId="0" borderId="25" xfId="4" applyFont="1" applyFill="1" applyBorder="1" applyAlignment="1" applyProtection="1">
      <alignment horizontal="center" vertical="center" wrapText="1"/>
    </xf>
    <xf numFmtId="0" fontId="6" fillId="0" borderId="33" xfId="4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left" vertical="center"/>
      <protection locked="0"/>
    </xf>
    <xf numFmtId="4" fontId="6" fillId="0" borderId="34" xfId="4" applyNumberFormat="1" applyFont="1" applyFill="1" applyBorder="1" applyAlignment="1">
      <alignment horizontal="center" vertical="center" wrapText="1"/>
    </xf>
    <xf numFmtId="4" fontId="34" fillId="0" borderId="34" xfId="4" applyNumberFormat="1" applyFont="1" applyFill="1" applyBorder="1" applyAlignment="1">
      <alignment horizontal="center" vertical="center" wrapText="1"/>
    </xf>
    <xf numFmtId="0" fontId="34" fillId="0" borderId="17" xfId="4" applyFont="1" applyFill="1" applyBorder="1" applyAlignment="1">
      <alignment horizontal="center" vertical="center" wrapText="1"/>
    </xf>
    <xf numFmtId="4" fontId="6" fillId="0" borderId="35" xfId="4" applyNumberFormat="1" applyFont="1" applyFill="1" applyBorder="1" applyAlignment="1">
      <alignment horizontal="center" vertical="center" wrapText="1"/>
    </xf>
    <xf numFmtId="4" fontId="6" fillId="0" borderId="15" xfId="4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Alignment="1">
      <alignment horizontal="left"/>
      <protection locked="0"/>
    </xf>
    <xf numFmtId="0" fontId="31" fillId="0" borderId="0" xfId="1" applyFont="1" applyFill="1" applyBorder="1" applyAlignment="1" applyProtection="1">
      <alignment horizontal="center" vertical="center"/>
    </xf>
    <xf numFmtId="164" fontId="31" fillId="0" borderId="0" xfId="1" applyNumberFormat="1" applyFont="1" applyFill="1" applyBorder="1" applyAlignment="1" applyProtection="1">
      <alignment horizontal="right"/>
    </xf>
    <xf numFmtId="14" fontId="6" fillId="0" borderId="0" xfId="1" applyNumberFormat="1" applyFont="1" applyFill="1" applyAlignment="1" applyProtection="1">
      <alignment horizontal="right"/>
    </xf>
    <xf numFmtId="165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right" vertical="center"/>
    </xf>
    <xf numFmtId="4" fontId="6" fillId="0" borderId="2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Border="1" applyAlignment="1" applyProtection="1">
      <alignment horizontal="left" vertical="center" wrapText="1"/>
    </xf>
    <xf numFmtId="0" fontId="30" fillId="0" borderId="0" xfId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center"/>
    </xf>
    <xf numFmtId="0" fontId="31" fillId="0" borderId="7" xfId="1" applyFont="1" applyFill="1" applyBorder="1" applyAlignment="1" applyProtection="1">
      <alignment horizontal="left" vertical="center" wrapText="1"/>
    </xf>
    <xf numFmtId="164" fontId="31" fillId="0" borderId="7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center" wrapText="1"/>
    </xf>
    <xf numFmtId="164" fontId="30" fillId="0" borderId="0" xfId="1" applyNumberFormat="1" applyFont="1" applyFill="1" applyAlignment="1" applyProtection="1">
      <alignment horizontal="right" vertical="center"/>
    </xf>
    <xf numFmtId="0" fontId="30" fillId="0" borderId="0" xfId="1" applyFont="1" applyFill="1" applyAlignment="1" applyProtection="1">
      <alignment horizontal="left"/>
    </xf>
    <xf numFmtId="0" fontId="49" fillId="0" borderId="0" xfId="1" applyFont="1" applyFill="1" applyAlignment="1" applyProtection="1">
      <alignment horizontal="left"/>
    </xf>
    <xf numFmtId="0" fontId="32" fillId="0" borderId="0" xfId="1" applyFont="1" applyFill="1" applyAlignment="1" applyProtection="1">
      <alignment horizontal="left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/>
    </xf>
    <xf numFmtId="164" fontId="10" fillId="0" borderId="2" xfId="1" applyNumberFormat="1" applyFont="1" applyFill="1" applyBorder="1" applyAlignment="1" applyProtection="1">
      <alignment horizontal="right" vertical="center"/>
    </xf>
    <xf numFmtId="4" fontId="10" fillId="0" borderId="2" xfId="1" applyNumberFormat="1" applyFont="1" applyFill="1" applyBorder="1" applyAlignment="1" applyProtection="1">
      <alignment horizontal="right" vertical="center"/>
    </xf>
    <xf numFmtId="4" fontId="11" fillId="0" borderId="2" xfId="1" applyNumberFormat="1" applyFont="1" applyFill="1" applyBorder="1" applyAlignment="1" applyProtection="1">
      <alignment horizontal="right" vertical="center"/>
    </xf>
    <xf numFmtId="4" fontId="6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/>
    </xf>
    <xf numFmtId="0" fontId="30" fillId="0" borderId="0" xfId="1" applyFont="1" applyFill="1" applyBorder="1" applyAlignment="1" applyProtection="1">
      <alignment horizontal="left" wrapText="1"/>
    </xf>
    <xf numFmtId="4" fontId="5" fillId="0" borderId="0" xfId="1" applyNumberFormat="1" applyFont="1" applyFill="1" applyBorder="1" applyAlignment="1" applyProtection="1">
      <alignment horizontal="left"/>
    </xf>
    <xf numFmtId="0" fontId="6" fillId="0" borderId="3" xfId="1" applyFont="1" applyFill="1" applyBorder="1" applyAlignment="1" applyProtection="1">
      <alignment horizontal="left" vertical="center" wrapText="1"/>
    </xf>
    <xf numFmtId="0" fontId="6" fillId="0" borderId="36" xfId="1" applyFont="1" applyFill="1" applyBorder="1" applyAlignment="1" applyProtection="1">
      <alignment horizontal="left" vertical="center" wrapText="1"/>
    </xf>
    <xf numFmtId="0" fontId="6" fillId="0" borderId="37" xfId="1" applyFont="1" applyFill="1" applyBorder="1" applyAlignment="1" applyProtection="1">
      <alignment horizontal="center" vertical="center" wrapText="1"/>
    </xf>
    <xf numFmtId="0" fontId="19" fillId="0" borderId="7" xfId="1" applyFont="1" applyFill="1" applyBorder="1" applyAlignment="1" applyProtection="1">
      <alignment horizontal="left" wrapText="1"/>
    </xf>
    <xf numFmtId="0" fontId="19" fillId="0" borderId="7" xfId="1" applyFont="1" applyFill="1" applyBorder="1" applyAlignment="1" applyProtection="1">
      <alignment horizontal="center" vertical="center"/>
    </xf>
    <xf numFmtId="0" fontId="6" fillId="0" borderId="38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36" xfId="1" applyFont="1" applyFill="1" applyBorder="1" applyAlignment="1" applyProtection="1">
      <alignment horizontal="left" vertical="center" wrapText="1"/>
    </xf>
    <xf numFmtId="0" fontId="20" fillId="0" borderId="38" xfId="1" applyFont="1" applyFill="1" applyBorder="1" applyAlignment="1" applyProtection="1">
      <alignment horizontal="left" vertical="center"/>
    </xf>
    <xf numFmtId="0" fontId="20" fillId="0" borderId="37" xfId="1" applyFont="1" applyFill="1" applyBorder="1" applyAlignment="1" applyProtection="1">
      <alignment horizontal="center" vertical="center" wrapText="1"/>
    </xf>
    <xf numFmtId="164" fontId="11" fillId="0" borderId="2" xfId="1" applyNumberFormat="1" applyFont="1" applyFill="1" applyBorder="1" applyAlignment="1" applyProtection="1">
      <alignment horizontal="right" vertical="center"/>
    </xf>
    <xf numFmtId="0" fontId="20" fillId="0" borderId="38" xfId="1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/>
    </xf>
    <xf numFmtId="0" fontId="29" fillId="0" borderId="2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49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/>
    </xf>
    <xf numFmtId="0" fontId="49" fillId="0" borderId="0" xfId="1" applyFont="1" applyFill="1" applyAlignment="1" applyProtection="1">
      <alignment horizontal="left" wrapText="1"/>
    </xf>
    <xf numFmtId="0" fontId="11" fillId="0" borderId="2" xfId="1" applyFont="1" applyFill="1" applyBorder="1" applyAlignment="1" applyProtection="1">
      <alignment horizontal="left" vertical="center"/>
    </xf>
    <xf numFmtId="0" fontId="6" fillId="0" borderId="38" xfId="1" applyFont="1" applyFill="1" applyBorder="1" applyAlignment="1" applyProtection="1">
      <alignment horizontal="center" vertical="center" wrapText="1"/>
    </xf>
    <xf numFmtId="164" fontId="6" fillId="0" borderId="39" xfId="1" applyNumberFormat="1" applyFont="1" applyFill="1" applyBorder="1" applyAlignment="1" applyProtection="1">
      <alignment horizontal="right" vertical="center"/>
    </xf>
    <xf numFmtId="0" fontId="19" fillId="0" borderId="0" xfId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right"/>
    </xf>
    <xf numFmtId="0" fontId="21" fillId="0" borderId="7" xfId="1" applyFont="1" applyFill="1" applyBorder="1" applyAlignment="1" applyProtection="1">
      <alignment horizontal="left" wrapText="1"/>
    </xf>
    <xf numFmtId="0" fontId="21" fillId="0" borderId="7" xfId="1" applyFont="1" applyFill="1" applyBorder="1" applyAlignment="1" applyProtection="1">
      <alignment horizontal="center" vertical="center"/>
    </xf>
    <xf numFmtId="164" fontId="21" fillId="0" borderId="7" xfId="1" applyNumberFormat="1" applyFont="1" applyFill="1" applyBorder="1" applyAlignment="1" applyProtection="1">
      <alignment horizontal="right"/>
    </xf>
    <xf numFmtId="0" fontId="52" fillId="0" borderId="0" xfId="1" applyFont="1" applyFill="1" applyBorder="1" applyAlignment="1" applyProtection="1">
      <alignment horizontal="left" vertical="center" wrapText="1"/>
    </xf>
    <xf numFmtId="1" fontId="10" fillId="0" borderId="2" xfId="1" applyNumberFormat="1" applyFont="1" applyFill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0" fillId="0" borderId="43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53" fillId="0" borderId="0" xfId="0" applyFont="1" applyAlignment="1" applyProtection="1">
      <alignment horizontal="left"/>
    </xf>
    <xf numFmtId="0" fontId="0" fillId="0" borderId="44" xfId="0" applyBorder="1" applyAlignment="1" applyProtection="1">
      <alignment horizontal="left"/>
    </xf>
    <xf numFmtId="0" fontId="0" fillId="0" borderId="45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46" xfId="0" applyBorder="1" applyAlignment="1" applyProtection="1">
      <alignment horizontal="left"/>
    </xf>
    <xf numFmtId="0" fontId="7" fillId="0" borderId="40" xfId="0" applyFont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left" vertical="center"/>
    </xf>
    <xf numFmtId="0" fontId="7" fillId="0" borderId="42" xfId="0" applyFont="1" applyBorder="1" applyAlignment="1" applyProtection="1">
      <alignment horizontal="left" vertical="center"/>
    </xf>
    <xf numFmtId="0" fontId="7" fillId="0" borderId="43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48" xfId="0" applyFont="1" applyBorder="1" applyAlignment="1" applyProtection="1">
      <alignment horizontal="left" vertical="center"/>
    </xf>
    <xf numFmtId="0" fontId="7" fillId="0" borderId="49" xfId="0" applyFont="1" applyBorder="1" applyAlignment="1" applyProtection="1">
      <alignment horizontal="left" vertical="center"/>
    </xf>
    <xf numFmtId="0" fontId="12" fillId="0" borderId="47" xfId="0" applyFont="1" applyBorder="1" applyAlignment="1" applyProtection="1">
      <alignment horizontal="left" vertical="center"/>
    </xf>
    <xf numFmtId="168" fontId="12" fillId="0" borderId="48" xfId="0" applyNumberFormat="1" applyFont="1" applyBorder="1" applyAlignment="1" applyProtection="1">
      <alignment horizontal="right" vertical="center"/>
    </xf>
    <xf numFmtId="0" fontId="7" fillId="0" borderId="44" xfId="0" applyFont="1" applyBorder="1" applyAlignment="1" applyProtection="1">
      <alignment horizontal="left" vertical="center"/>
    </xf>
    <xf numFmtId="0" fontId="12" fillId="0" borderId="50" xfId="0" applyFont="1" applyBorder="1" applyAlignment="1" applyProtection="1">
      <alignment horizontal="left" vertical="center"/>
    </xf>
    <xf numFmtId="0" fontId="7" fillId="0" borderId="51" xfId="0" applyFont="1" applyBorder="1" applyAlignment="1" applyProtection="1">
      <alignment horizontal="left" vertical="center"/>
    </xf>
    <xf numFmtId="168" fontId="12" fillId="0" borderId="50" xfId="0" applyNumberFormat="1" applyFont="1" applyBorder="1" applyAlignment="1" applyProtection="1">
      <alignment horizontal="right" vertical="center"/>
    </xf>
    <xf numFmtId="168" fontId="12" fillId="0" borderId="0" xfId="0" applyNumberFormat="1" applyFont="1" applyAlignment="1" applyProtection="1">
      <alignment horizontal="right" vertical="center"/>
    </xf>
    <xf numFmtId="0" fontId="12" fillId="0" borderId="52" xfId="0" applyFont="1" applyBorder="1" applyAlignment="1" applyProtection="1">
      <alignment horizontal="left" vertical="top"/>
    </xf>
    <xf numFmtId="0" fontId="7" fillId="0" borderId="53" xfId="0" applyFont="1" applyBorder="1" applyAlignment="1" applyProtection="1">
      <alignment horizontal="left" vertical="center"/>
    </xf>
    <xf numFmtId="0" fontId="7" fillId="0" borderId="54" xfId="0" applyFont="1" applyBorder="1" applyAlignment="1" applyProtection="1">
      <alignment horizontal="left" vertical="center"/>
    </xf>
    <xf numFmtId="0" fontId="12" fillId="0" borderId="52" xfId="0" applyFont="1" applyBorder="1" applyAlignment="1" applyProtection="1">
      <alignment horizontal="left" vertical="center"/>
    </xf>
    <xf numFmtId="168" fontId="12" fillId="0" borderId="53" xfId="0" applyNumberFormat="1" applyFont="1" applyBorder="1" applyAlignment="1" applyProtection="1">
      <alignment horizontal="right" vertical="center"/>
    </xf>
    <xf numFmtId="0" fontId="12" fillId="0" borderId="0" xfId="0" applyFont="1" applyAlignment="1" applyProtection="1">
      <alignment horizontal="left" vertical="top"/>
    </xf>
    <xf numFmtId="0" fontId="12" fillId="0" borderId="55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68" fontId="12" fillId="0" borderId="19" xfId="0" applyNumberFormat="1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14" fontId="55" fillId="0" borderId="0" xfId="0" applyNumberFormat="1" applyFont="1" applyAlignment="1" applyProtection="1">
      <alignment horizontal="left" vertical="center"/>
    </xf>
    <xf numFmtId="0" fontId="7" fillId="0" borderId="19" xfId="0" applyFont="1" applyBorder="1" applyAlignment="1" applyProtection="1">
      <alignment horizontal="left" vertical="center"/>
    </xf>
    <xf numFmtId="168" fontId="12" fillId="0" borderId="17" xfId="0" applyNumberFormat="1" applyFont="1" applyBorder="1" applyAlignment="1" applyProtection="1">
      <alignment horizontal="right" vertical="center"/>
    </xf>
    <xf numFmtId="49" fontId="12" fillId="0" borderId="55" xfId="0" applyNumberFormat="1" applyFont="1" applyBorder="1" applyAlignment="1" applyProtection="1">
      <alignment horizontal="left" vertical="center"/>
    </xf>
    <xf numFmtId="0" fontId="44" fillId="0" borderId="0" xfId="0" applyFont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56" fillId="0" borderId="13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59" xfId="0" applyFont="1" applyBorder="1" applyAlignment="1" applyProtection="1">
      <alignment horizontal="left" vertical="center"/>
    </xf>
    <xf numFmtId="0" fontId="7" fillId="0" borderId="60" xfId="0" applyFont="1" applyBorder="1" applyAlignment="1" applyProtection="1">
      <alignment horizontal="left" vertical="center"/>
    </xf>
    <xf numFmtId="37" fontId="0" fillId="0" borderId="61" xfId="0" applyNumberFormat="1" applyBorder="1" applyAlignment="1" applyProtection="1">
      <alignment horizontal="right" vertical="center"/>
    </xf>
    <xf numFmtId="37" fontId="0" fillId="0" borderId="62" xfId="0" applyNumberFormat="1" applyBorder="1" applyAlignment="1" applyProtection="1">
      <alignment horizontal="right" vertical="center"/>
    </xf>
    <xf numFmtId="37" fontId="14" fillId="0" borderId="63" xfId="0" applyNumberFormat="1" applyFont="1" applyBorder="1" applyAlignment="1" applyProtection="1">
      <alignment horizontal="right" vertical="center"/>
    </xf>
    <xf numFmtId="39" fontId="14" fillId="0" borderId="64" xfId="0" applyNumberFormat="1" applyFont="1" applyBorder="1" applyAlignment="1" applyProtection="1">
      <alignment horizontal="right" vertical="center"/>
    </xf>
    <xf numFmtId="37" fontId="0" fillId="0" borderId="63" xfId="0" applyNumberFormat="1" applyBorder="1" applyAlignment="1" applyProtection="1">
      <alignment horizontal="right" vertical="center"/>
    </xf>
    <xf numFmtId="37" fontId="0" fillId="0" borderId="64" xfId="0" applyNumberFormat="1" applyBorder="1" applyAlignment="1" applyProtection="1">
      <alignment horizontal="right" vertical="center"/>
    </xf>
    <xf numFmtId="37" fontId="14" fillId="0" borderId="62" xfId="0" applyNumberFormat="1" applyFont="1" applyBorder="1" applyAlignment="1" applyProtection="1">
      <alignment horizontal="right" vertical="center"/>
    </xf>
    <xf numFmtId="39" fontId="14" fillId="0" borderId="62" xfId="0" applyNumberFormat="1" applyFont="1" applyBorder="1" applyAlignment="1" applyProtection="1">
      <alignment horizontal="right" vertical="center"/>
    </xf>
    <xf numFmtId="37" fontId="0" fillId="0" borderId="65" xfId="0" applyNumberFormat="1" applyBorder="1" applyAlignment="1" applyProtection="1">
      <alignment horizontal="right" vertical="center"/>
    </xf>
    <xf numFmtId="0" fontId="56" fillId="0" borderId="13" xfId="0" applyFont="1" applyBorder="1" applyAlignment="1" applyProtection="1">
      <alignment horizontal="left" vertical="center" wrapText="1"/>
    </xf>
    <xf numFmtId="0" fontId="57" fillId="0" borderId="28" xfId="0" applyFont="1" applyBorder="1" applyAlignment="1" applyProtection="1">
      <alignment horizontal="left" vertical="center"/>
    </xf>
    <xf numFmtId="0" fontId="57" fillId="0" borderId="58" xfId="0" applyFont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left" vertical="center"/>
    </xf>
    <xf numFmtId="0" fontId="56" fillId="0" borderId="57" xfId="0" applyFont="1" applyBorder="1" applyAlignment="1" applyProtection="1">
      <alignment horizontal="left" vertical="center"/>
    </xf>
    <xf numFmtId="0" fontId="56" fillId="0" borderId="60" xfId="0" applyFont="1" applyBorder="1" applyAlignment="1" applyProtection="1">
      <alignment horizontal="left" vertical="center"/>
    </xf>
    <xf numFmtId="0" fontId="56" fillId="0" borderId="58" xfId="0" applyFont="1" applyBorder="1" applyAlignment="1" applyProtection="1">
      <alignment horizontal="left" vertical="center"/>
    </xf>
    <xf numFmtId="168" fontId="7" fillId="0" borderId="20" xfId="0" applyNumberFormat="1" applyFont="1" applyBorder="1" applyAlignment="1" applyProtection="1">
      <alignment horizontal="center" vertical="center"/>
    </xf>
    <xf numFmtId="0" fontId="58" fillId="0" borderId="47" xfId="0" applyFont="1" applyBorder="1" applyAlignment="1" applyProtection="1">
      <alignment horizontal="left" vertical="center"/>
    </xf>
    <xf numFmtId="0" fontId="7" fillId="0" borderId="55" xfId="0" applyFont="1" applyBorder="1" applyAlignment="1" applyProtection="1">
      <alignment horizontal="left" vertical="center"/>
    </xf>
    <xf numFmtId="4" fontId="14" fillId="0" borderId="16" xfId="0" applyNumberFormat="1" applyFont="1" applyBorder="1" applyAlignment="1" applyProtection="1">
      <alignment horizontal="right" vertical="center"/>
    </xf>
    <xf numFmtId="0" fontId="7" fillId="0" borderId="66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39" fontId="0" fillId="0" borderId="16" xfId="0" applyNumberFormat="1" applyBorder="1" applyAlignment="1" applyProtection="1">
      <alignment horizontal="right" vertical="center"/>
    </xf>
    <xf numFmtId="37" fontId="0" fillId="0" borderId="19" xfId="0" applyNumberFormat="1" applyBorder="1" applyAlignment="1" applyProtection="1">
      <alignment horizontal="right" vertical="center"/>
    </xf>
    <xf numFmtId="0" fontId="59" fillId="0" borderId="19" xfId="0" applyFont="1" applyBorder="1" applyAlignment="1" applyProtection="1">
      <alignment horizontal="right" vertical="center"/>
    </xf>
    <xf numFmtId="0" fontId="59" fillId="0" borderId="17" xfId="0" applyFont="1" applyBorder="1" applyAlignment="1" applyProtection="1">
      <alignment horizontal="left" vertical="center" wrapText="1"/>
    </xf>
    <xf numFmtId="0" fontId="7" fillId="0" borderId="52" xfId="0" applyFont="1" applyBorder="1" applyAlignment="1" applyProtection="1">
      <alignment horizontal="left" vertical="center"/>
    </xf>
    <xf numFmtId="168" fontId="7" fillId="0" borderId="29" xfId="0" applyNumberFormat="1" applyFont="1" applyBorder="1" applyAlignment="1" applyProtection="1">
      <alignment horizontal="center" vertical="center"/>
    </xf>
    <xf numFmtId="37" fontId="0" fillId="0" borderId="16" xfId="0" applyNumberFormat="1" applyBorder="1" applyAlignment="1" applyProtection="1">
      <alignment horizontal="right" vertical="center"/>
    </xf>
    <xf numFmtId="0" fontId="58" fillId="0" borderId="16" xfId="0" applyFont="1" applyBorder="1" applyAlignment="1" applyProtection="1">
      <alignment horizontal="left" vertical="center"/>
    </xf>
    <xf numFmtId="4" fontId="14" fillId="0" borderId="56" xfId="0" applyNumberFormat="1" applyFont="1" applyBorder="1" applyAlignment="1" applyProtection="1">
      <alignment horizontal="right" vertical="center"/>
    </xf>
    <xf numFmtId="39" fontId="0" fillId="0" borderId="56" xfId="0" applyNumberFormat="1" applyBorder="1" applyAlignment="1" applyProtection="1">
      <alignment horizontal="right" vertical="center"/>
    </xf>
    <xf numFmtId="37" fontId="0" fillId="0" borderId="12" xfId="0" applyNumberFormat="1" applyBorder="1" applyAlignment="1" applyProtection="1">
      <alignment horizontal="right" vertical="center"/>
    </xf>
    <xf numFmtId="168" fontId="7" fillId="0" borderId="67" xfId="0" applyNumberFormat="1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left" vertical="center"/>
    </xf>
    <xf numFmtId="0" fontId="7" fillId="0" borderId="62" xfId="0" applyFont="1" applyBorder="1" applyAlignment="1" applyProtection="1">
      <alignment horizontal="left" vertical="center"/>
    </xf>
    <xf numFmtId="0" fontId="7" fillId="0" borderId="63" xfId="0" applyFont="1" applyBorder="1" applyAlignment="1" applyProtection="1">
      <alignment horizontal="left" vertical="center"/>
    </xf>
    <xf numFmtId="4" fontId="14" fillId="0" borderId="68" xfId="0" applyNumberFormat="1" applyFont="1" applyBorder="1" applyAlignment="1" applyProtection="1">
      <alignment horizontal="right" vertical="center"/>
    </xf>
    <xf numFmtId="39" fontId="14" fillId="0" borderId="13" xfId="0" applyNumberFormat="1" applyFont="1" applyBorder="1" applyAlignment="1" applyProtection="1">
      <alignment horizontal="right" vertical="center"/>
    </xf>
    <xf numFmtId="37" fontId="60" fillId="0" borderId="4" xfId="0" applyNumberFormat="1" applyFont="1" applyBorder="1" applyAlignment="1" applyProtection="1">
      <alignment horizontal="right" vertical="center"/>
    </xf>
    <xf numFmtId="0" fontId="56" fillId="0" borderId="40" xfId="0" applyFont="1" applyBorder="1" applyAlignment="1" applyProtection="1">
      <alignment horizontal="left" vertical="top"/>
    </xf>
    <xf numFmtId="0" fontId="7" fillId="0" borderId="69" xfId="0" applyFont="1" applyBorder="1" applyAlignment="1" applyProtection="1">
      <alignment horizontal="left" vertical="center"/>
    </xf>
    <xf numFmtId="0" fontId="7" fillId="0" borderId="70" xfId="0" applyFont="1" applyBorder="1" applyAlignment="1" applyProtection="1">
      <alignment horizontal="left" vertical="center"/>
    </xf>
    <xf numFmtId="4" fontId="7" fillId="0" borderId="57" xfId="0" applyNumberFormat="1" applyFont="1" applyBorder="1" applyAlignment="1" applyProtection="1">
      <alignment horizontal="left" vertical="center"/>
    </xf>
    <xf numFmtId="0" fontId="7" fillId="0" borderId="50" xfId="0" applyFont="1" applyBorder="1" applyAlignment="1" applyProtection="1">
      <alignment horizontal="left" vertical="center"/>
    </xf>
    <xf numFmtId="0" fontId="7" fillId="0" borderId="71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169" fontId="12" fillId="0" borderId="16" xfId="0" applyNumberFormat="1" applyFont="1" applyBorder="1" applyAlignment="1" applyProtection="1">
      <alignment horizontal="right" vertical="center"/>
    </xf>
    <xf numFmtId="39" fontId="12" fillId="0" borderId="19" xfId="0" applyNumberFormat="1" applyFont="1" applyBorder="1" applyAlignment="1" applyProtection="1">
      <alignment horizontal="right" vertical="center"/>
    </xf>
    <xf numFmtId="4" fontId="14" fillId="0" borderId="52" xfId="0" applyNumberFormat="1" applyFont="1" applyBorder="1" applyAlignment="1" applyProtection="1">
      <alignment horizontal="right" vertical="center"/>
    </xf>
    <xf numFmtId="0" fontId="7" fillId="0" borderId="72" xfId="0" applyFont="1" applyBorder="1" applyAlignment="1" applyProtection="1">
      <alignment horizontal="left" vertical="center"/>
    </xf>
    <xf numFmtId="0" fontId="56" fillId="0" borderId="73" xfId="0" applyFont="1" applyBorder="1" applyAlignment="1" applyProtection="1">
      <alignment horizontal="left" vertical="top"/>
    </xf>
    <xf numFmtId="0" fontId="7" fillId="0" borderId="47" xfId="0" applyFont="1" applyBorder="1" applyAlignment="1" applyProtection="1">
      <alignment horizontal="left" vertical="center"/>
    </xf>
    <xf numFmtId="0" fontId="56" fillId="0" borderId="64" xfId="0" applyFont="1" applyBorder="1" applyAlignment="1" applyProtection="1">
      <alignment horizontal="left" vertical="center"/>
    </xf>
    <xf numFmtId="4" fontId="40" fillId="0" borderId="74" xfId="0" applyNumberFormat="1" applyFont="1" applyBorder="1" applyAlignment="1" applyProtection="1">
      <alignment horizontal="right" vertical="center"/>
    </xf>
    <xf numFmtId="0" fontId="7" fillId="0" borderId="75" xfId="0" applyFont="1" applyBorder="1" applyAlignment="1" applyProtection="1">
      <alignment horizontal="left" vertical="center"/>
    </xf>
    <xf numFmtId="4" fontId="0" fillId="0" borderId="57" xfId="0" applyNumberFormat="1" applyBorder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/>
    </xf>
    <xf numFmtId="0" fontId="7" fillId="0" borderId="76" xfId="0" applyFont="1" applyBorder="1" applyAlignment="1" applyProtection="1">
      <alignment horizontal="left" vertical="center"/>
    </xf>
    <xf numFmtId="0" fontId="7" fillId="0" borderId="68" xfId="0" applyFont="1" applyBorder="1" applyAlignment="1" applyProtection="1">
      <alignment horizontal="left"/>
    </xf>
    <xf numFmtId="4" fontId="14" fillId="0" borderId="64" xfId="0" applyNumberFormat="1" applyFont="1" applyBorder="1" applyAlignment="1" applyProtection="1">
      <alignment horizontal="right" vertical="center"/>
    </xf>
    <xf numFmtId="0" fontId="7" fillId="0" borderId="65" xfId="0" applyFont="1" applyBorder="1" applyAlignment="1" applyProtection="1">
      <alignment horizontal="left" vertical="center"/>
    </xf>
    <xf numFmtId="0" fontId="61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0" fillId="0" borderId="0" xfId="0" applyAlignment="1" applyProtection="1">
      <alignment vertical="top" wrapText="1"/>
      <protection locked="0"/>
    </xf>
    <xf numFmtId="0" fontId="7" fillId="5" borderId="0" xfId="0" applyFont="1" applyFill="1" applyAlignment="1" applyProtection="1">
      <alignment horizontal="left"/>
    </xf>
    <xf numFmtId="0" fontId="57" fillId="5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left"/>
    </xf>
    <xf numFmtId="14" fontId="62" fillId="5" borderId="0" xfId="0" applyNumberFormat="1" applyFont="1" applyFill="1" applyAlignment="1" applyProtection="1">
      <alignment horizontal="left"/>
    </xf>
    <xf numFmtId="0" fontId="54" fillId="5" borderId="0" xfId="0" applyFont="1" applyFill="1" applyAlignment="1" applyProtection="1">
      <alignment horizontal="left"/>
    </xf>
    <xf numFmtId="0" fontId="64" fillId="5" borderId="0" xfId="0" applyFont="1" applyFill="1" applyAlignment="1" applyProtection="1">
      <alignment horizontal="left"/>
    </xf>
    <xf numFmtId="14" fontId="0" fillId="5" borderId="0" xfId="0" applyNumberFormat="1" applyFont="1" applyFill="1" applyAlignment="1" applyProtection="1">
      <alignment horizontal="left"/>
    </xf>
    <xf numFmtId="0" fontId="58" fillId="6" borderId="77" xfId="0" applyFont="1" applyFill="1" applyBorder="1" applyAlignment="1" applyProtection="1">
      <alignment horizontal="center" vertical="center" wrapText="1"/>
    </xf>
    <xf numFmtId="0" fontId="58" fillId="6" borderId="78" xfId="0" applyFont="1" applyFill="1" applyBorder="1" applyAlignment="1" applyProtection="1">
      <alignment horizontal="center" vertical="center" wrapText="1"/>
    </xf>
    <xf numFmtId="0" fontId="58" fillId="6" borderId="79" xfId="0" applyFont="1" applyFill="1" applyBorder="1" applyAlignment="1" applyProtection="1">
      <alignment horizontal="center" vertical="center" wrapText="1"/>
    </xf>
    <xf numFmtId="0" fontId="58" fillId="6" borderId="75" xfId="0" applyFont="1" applyFill="1" applyBorder="1" applyAlignment="1" applyProtection="1">
      <alignment horizontal="center" vertical="center" wrapText="1"/>
    </xf>
    <xf numFmtId="0" fontId="58" fillId="6" borderId="1" xfId="0" applyFont="1" applyFill="1" applyBorder="1" applyAlignment="1" applyProtection="1">
      <alignment horizontal="center" vertical="center" wrapText="1"/>
    </xf>
    <xf numFmtId="0" fontId="7" fillId="5" borderId="80" xfId="0" applyFont="1" applyFill="1" applyBorder="1" applyAlignment="1" applyProtection="1">
      <alignment horizontal="left"/>
    </xf>
    <xf numFmtId="0" fontId="0" fillId="5" borderId="0" xfId="0" applyFont="1" applyFill="1" applyBorder="1" applyAlignment="1" applyProtection="1">
      <alignment horizontal="left"/>
    </xf>
    <xf numFmtId="0" fontId="0" fillId="5" borderId="81" xfId="0" applyFont="1" applyFill="1" applyBorder="1" applyAlignment="1" applyProtection="1">
      <alignment horizontal="left"/>
    </xf>
    <xf numFmtId="0" fontId="63" fillId="0" borderId="82" xfId="0" applyFont="1" applyBorder="1" applyAlignment="1" applyProtection="1">
      <alignment horizontal="left" wrapText="1"/>
    </xf>
    <xf numFmtId="39" fontId="63" fillId="0" borderId="83" xfId="0" applyNumberFormat="1" applyFont="1" applyBorder="1" applyAlignment="1" applyProtection="1">
      <alignment horizontal="right"/>
    </xf>
    <xf numFmtId="39" fontId="63" fillId="0" borderId="2" xfId="0" applyNumberFormat="1" applyFont="1" applyBorder="1" applyAlignment="1" applyProtection="1">
      <alignment horizontal="right"/>
    </xf>
    <xf numFmtId="0" fontId="65" fillId="0" borderId="82" xfId="0" applyFont="1" applyBorder="1" applyAlignment="1" applyProtection="1">
      <alignment horizontal="left" wrapText="1"/>
    </xf>
    <xf numFmtId="0" fontId="65" fillId="0" borderId="2" xfId="0" applyFont="1" applyBorder="1" applyAlignment="1" applyProtection="1">
      <alignment horizontal="left" wrapText="1"/>
    </xf>
    <xf numFmtId="39" fontId="65" fillId="0" borderId="83" xfId="0" applyNumberFormat="1" applyFont="1" applyBorder="1" applyAlignment="1" applyProtection="1">
      <alignment horizontal="right"/>
    </xf>
    <xf numFmtId="14" fontId="66" fillId="0" borderId="82" xfId="0" applyNumberFormat="1" applyFont="1" applyBorder="1" applyAlignment="1" applyProtection="1">
      <alignment horizontal="left" wrapText="1"/>
      <protection locked="0"/>
    </xf>
    <xf numFmtId="0" fontId="67" fillId="0" borderId="2" xfId="0" applyFont="1" applyBorder="1" applyAlignment="1" applyProtection="1">
      <alignment horizontal="left" wrapText="1"/>
    </xf>
    <xf numFmtId="39" fontId="67" fillId="0" borderId="2" xfId="0" applyNumberFormat="1" applyFont="1" applyBorder="1" applyAlignment="1" applyProtection="1">
      <alignment horizontal="right"/>
    </xf>
    <xf numFmtId="14" fontId="68" fillId="0" borderId="82" xfId="0" applyNumberFormat="1" applyFont="1" applyBorder="1" applyAlignment="1" applyProtection="1">
      <alignment horizontal="left" wrapText="1"/>
      <protection locked="0"/>
    </xf>
    <xf numFmtId="39" fontId="69" fillId="0" borderId="12" xfId="0" applyNumberFormat="1" applyFont="1" applyBorder="1" applyAlignment="1" applyProtection="1">
      <alignment horizontal="right"/>
    </xf>
    <xf numFmtId="39" fontId="69" fillId="0" borderId="2" xfId="0" applyNumberFormat="1" applyFont="1" applyBorder="1" applyAlignment="1" applyProtection="1">
      <alignment horizontal="right"/>
    </xf>
    <xf numFmtId="0" fontId="66" fillId="0" borderId="82" xfId="0" applyFont="1" applyBorder="1" applyAlignment="1" applyProtection="1">
      <alignment horizontal="left" wrapText="1"/>
      <protection locked="0"/>
    </xf>
    <xf numFmtId="39" fontId="67" fillId="0" borderId="83" xfId="0" applyNumberFormat="1" applyFont="1" applyBorder="1" applyAlignment="1" applyProtection="1">
      <alignment horizontal="right"/>
    </xf>
    <xf numFmtId="0" fontId="70" fillId="0" borderId="0" xfId="0" applyFont="1" applyAlignment="1" applyProtection="1">
      <alignment vertical="top"/>
      <protection locked="0"/>
    </xf>
    <xf numFmtId="0" fontId="68" fillId="0" borderId="84" xfId="0" applyFont="1" applyBorder="1" applyAlignment="1" applyProtection="1">
      <alignment horizontal="left" wrapText="1"/>
      <protection locked="0"/>
    </xf>
    <xf numFmtId="0" fontId="68" fillId="0" borderId="85" xfId="0" applyFont="1" applyBorder="1" applyAlignment="1" applyProtection="1">
      <alignment horizontal="left" wrapText="1"/>
      <protection locked="0"/>
    </xf>
    <xf numFmtId="39" fontId="69" fillId="0" borderId="86" xfId="0" applyNumberFormat="1" applyFont="1" applyBorder="1" applyAlignment="1" applyProtection="1">
      <alignment horizontal="right"/>
      <protection locked="0"/>
    </xf>
    <xf numFmtId="0" fontId="71" fillId="0" borderId="0" xfId="0" applyFont="1" applyBorder="1" applyAlignment="1" applyProtection="1">
      <alignment horizontal="left" wrapText="1"/>
    </xf>
    <xf numFmtId="0" fontId="72" fillId="0" borderId="0" xfId="0" applyFont="1" applyBorder="1" applyAlignment="1" applyProtection="1">
      <alignment horizontal="left" wrapText="1"/>
    </xf>
    <xf numFmtId="39" fontId="72" fillId="0" borderId="0" xfId="0" applyNumberFormat="1" applyFont="1" applyBorder="1" applyAlignment="1" applyProtection="1">
      <alignment horizontal="right"/>
    </xf>
    <xf numFmtId="39" fontId="72" fillId="0" borderId="87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left" vertical="top"/>
      <protection locked="0"/>
    </xf>
    <xf numFmtId="0" fontId="73" fillId="0" borderId="0" xfId="0" applyFont="1" applyAlignment="1" applyProtection="1">
      <alignment vertical="center" wrapText="1"/>
    </xf>
    <xf numFmtId="0" fontId="74" fillId="5" borderId="0" xfId="0" applyFont="1" applyFill="1" applyAlignment="1" applyProtection="1">
      <alignment horizontal="left" vertical="center"/>
    </xf>
    <xf numFmtId="0" fontId="40" fillId="0" borderId="2" xfId="1" applyFont="1" applyFill="1" applyBorder="1" applyAlignment="1" applyProtection="1"/>
    <xf numFmtId="0" fontId="15" fillId="0" borderId="2" xfId="0" applyFont="1" applyBorder="1" applyAlignment="1">
      <alignment vertical="center"/>
    </xf>
    <xf numFmtId="0" fontId="15" fillId="0" borderId="2" xfId="0" applyFont="1" applyBorder="1"/>
    <xf numFmtId="0" fontId="3" fillId="0" borderId="2" xfId="1" applyFont="1" applyFill="1" applyBorder="1" applyAlignment="1" applyProtection="1"/>
    <xf numFmtId="4" fontId="40" fillId="0" borderId="2" xfId="1" applyNumberFormat="1" applyFont="1" applyFill="1" applyBorder="1" applyAlignment="1" applyProtection="1"/>
    <xf numFmtId="0" fontId="78" fillId="7" borderId="0" xfId="6" applyFont="1" applyFill="1" applyAlignment="1">
      <alignment vertical="center"/>
    </xf>
    <xf numFmtId="0" fontId="79" fillId="7" borderId="0" xfId="0" applyFont="1" applyFill="1" applyAlignment="1">
      <alignment vertical="center"/>
    </xf>
    <xf numFmtId="0" fontId="79" fillId="7" borderId="88" xfId="7" applyFont="1" applyFill="1" applyBorder="1" applyAlignment="1">
      <alignment horizontal="left" vertical="center"/>
    </xf>
    <xf numFmtId="0" fontId="81" fillId="7" borderId="0" xfId="0" applyFont="1" applyFill="1" applyAlignment="1">
      <alignment horizontal="left" vertical="center"/>
    </xf>
    <xf numFmtId="0" fontId="79" fillId="7" borderId="89" xfId="0" applyFont="1" applyFill="1" applyBorder="1" applyAlignment="1">
      <alignment vertical="center"/>
    </xf>
    <xf numFmtId="0" fontId="81" fillId="7" borderId="0" xfId="0" applyFont="1" applyFill="1" applyAlignment="1">
      <alignment vertical="center"/>
    </xf>
    <xf numFmtId="0" fontId="79" fillId="7" borderId="90" xfId="7" quotePrefix="1" applyFont="1" applyFill="1" applyBorder="1" applyAlignment="1">
      <alignment horizontal="left" vertical="center"/>
    </xf>
    <xf numFmtId="0" fontId="79" fillId="7" borderId="91" xfId="0" applyFont="1" applyFill="1" applyBorder="1" applyAlignment="1">
      <alignment vertical="center"/>
    </xf>
    <xf numFmtId="49" fontId="81" fillId="7" borderId="91" xfId="0" applyNumberFormat="1" applyFont="1" applyFill="1" applyBorder="1" applyAlignment="1">
      <alignment vertical="center"/>
    </xf>
    <xf numFmtId="0" fontId="79" fillId="7" borderId="92" xfId="0" applyFont="1" applyFill="1" applyBorder="1" applyAlignment="1">
      <alignment vertical="center"/>
    </xf>
    <xf numFmtId="0" fontId="77" fillId="8" borderId="0" xfId="0" applyFont="1" applyFill="1" applyAlignment="1" applyProtection="1">
      <alignment horizontal="left" vertical="center"/>
      <protection locked="0"/>
    </xf>
    <xf numFmtId="0" fontId="83" fillId="8" borderId="0" xfId="0" applyFont="1" applyFill="1" applyAlignment="1" applyProtection="1">
      <alignment vertical="center"/>
      <protection locked="0"/>
    </xf>
    <xf numFmtId="0" fontId="83" fillId="8" borderId="0" xfId="0" applyFont="1" applyFill="1" applyAlignment="1" applyProtection="1">
      <alignment horizontal="center" vertical="center"/>
      <protection locked="0"/>
    </xf>
    <xf numFmtId="0" fontId="81" fillId="9" borderId="93" xfId="7" applyFont="1" applyFill="1" applyBorder="1" applyAlignment="1">
      <alignment horizontal="left" vertical="center" wrapText="1"/>
    </xf>
    <xf numFmtId="0" fontId="81" fillId="9" borderId="94" xfId="0" applyFont="1" applyFill="1" applyBorder="1" applyAlignment="1">
      <alignment vertical="center" wrapText="1"/>
    </xf>
    <xf numFmtId="0" fontId="81" fillId="9" borderId="93" xfId="7" applyFont="1" applyFill="1" applyBorder="1" applyAlignment="1">
      <alignment horizontal="center" vertical="center" wrapText="1"/>
    </xf>
    <xf numFmtId="0" fontId="81" fillId="8" borderId="0" xfId="0" applyFont="1" applyFill="1" applyAlignment="1">
      <alignment vertical="center" wrapText="1"/>
    </xf>
    <xf numFmtId="0" fontId="81" fillId="10" borderId="95" xfId="0" applyFont="1" applyFill="1" applyBorder="1" applyAlignment="1">
      <alignment horizontal="center" vertical="center"/>
    </xf>
    <xf numFmtId="0" fontId="81" fillId="10" borderId="95" xfId="0" applyFont="1" applyFill="1" applyBorder="1" applyAlignment="1">
      <alignment vertical="center"/>
    </xf>
    <xf numFmtId="0" fontId="81" fillId="10" borderId="96" xfId="0" applyFont="1" applyFill="1" applyBorder="1" applyAlignment="1">
      <alignment vertical="center"/>
    </xf>
    <xf numFmtId="0" fontId="81" fillId="8" borderId="0" xfId="0" applyFont="1" applyFill="1" applyAlignment="1">
      <alignment vertical="center"/>
    </xf>
    <xf numFmtId="0" fontId="79" fillId="8" borderId="97" xfId="0" applyFont="1" applyFill="1" applyBorder="1" applyAlignment="1">
      <alignment horizontal="center" vertical="center"/>
    </xf>
    <xf numFmtId="0" fontId="79" fillId="0" borderId="97" xfId="0" applyFont="1" applyBorder="1" applyAlignment="1">
      <alignment horizontal="left" vertical="center" wrapText="1"/>
    </xf>
    <xf numFmtId="49" fontId="79" fillId="0" borderId="97" xfId="0" applyNumberFormat="1" applyFont="1" applyBorder="1" applyAlignment="1">
      <alignment horizontal="center" vertical="center" wrapText="1"/>
    </xf>
    <xf numFmtId="0" fontId="79" fillId="0" borderId="97" xfId="0" applyFont="1" applyBorder="1" applyAlignment="1">
      <alignment horizontal="center" vertical="center"/>
    </xf>
    <xf numFmtId="0" fontId="79" fillId="10" borderId="97" xfId="0" applyFont="1" applyFill="1" applyBorder="1" applyAlignment="1">
      <alignment horizontal="center" vertical="center"/>
    </xf>
    <xf numFmtId="170" fontId="79" fillId="8" borderId="97" xfId="0" applyNumberFormat="1" applyFont="1" applyFill="1" applyBorder="1" applyAlignment="1">
      <alignment horizontal="right" vertical="center"/>
    </xf>
    <xf numFmtId="170" fontId="79" fillId="8" borderId="97" xfId="0" applyNumberFormat="1" applyFont="1" applyFill="1" applyBorder="1" applyAlignment="1">
      <alignment horizontal="right" vertical="center" wrapText="1"/>
    </xf>
    <xf numFmtId="0" fontId="79" fillId="8" borderId="97" xfId="3" applyFont="1" applyFill="1" applyBorder="1" applyAlignment="1" applyProtection="1">
      <alignment horizontal="center" vertical="center"/>
    </xf>
    <xf numFmtId="0" fontId="79" fillId="8" borderId="0" xfId="0" applyFont="1" applyFill="1" applyAlignment="1">
      <alignment vertical="center"/>
    </xf>
    <xf numFmtId="0" fontId="84" fillId="0" borderId="97" xfId="0" applyFont="1" applyBorder="1" applyAlignment="1">
      <alignment horizontal="left" vertical="center" wrapText="1"/>
    </xf>
    <xf numFmtId="0" fontId="85" fillId="10" borderId="97" xfId="3" applyFont="1" applyFill="1" applyBorder="1" applyAlignment="1" applyProtection="1">
      <alignment horizontal="left" vertical="center" wrapText="1"/>
    </xf>
    <xf numFmtId="49" fontId="85" fillId="10" borderId="97" xfId="3" applyNumberFormat="1" applyFont="1" applyFill="1" applyBorder="1" applyAlignment="1" applyProtection="1">
      <alignment horizontal="left" vertical="center"/>
    </xf>
    <xf numFmtId="0" fontId="85" fillId="10" borderId="97" xfId="3" applyFont="1" applyFill="1" applyBorder="1" applyAlignment="1" applyProtection="1">
      <alignment horizontal="center" vertical="center"/>
    </xf>
    <xf numFmtId="4" fontId="85" fillId="10" borderId="97" xfId="0" applyNumberFormat="1" applyFont="1" applyFill="1" applyBorder="1" applyAlignment="1">
      <alignment horizontal="right" vertical="center"/>
    </xf>
    <xf numFmtId="170" fontId="85" fillId="10" borderId="97" xfId="0" applyNumberFormat="1" applyFont="1" applyFill="1" applyBorder="1" applyAlignment="1">
      <alignment horizontal="right" vertical="center" wrapText="1"/>
    </xf>
    <xf numFmtId="0" fontId="86" fillId="7" borderId="0" xfId="0" applyFont="1" applyFill="1" applyAlignment="1">
      <alignment vertical="center"/>
    </xf>
    <xf numFmtId="170" fontId="81" fillId="10" borderId="95" xfId="0" applyNumberFormat="1" applyFont="1" applyFill="1" applyBorder="1" applyAlignment="1">
      <alignment vertical="center"/>
    </xf>
    <xf numFmtId="0" fontId="87" fillId="0" borderId="97" xfId="0" applyFont="1" applyBorder="1" applyAlignment="1">
      <alignment horizontal="left" vertical="center" wrapText="1"/>
    </xf>
    <xf numFmtId="0" fontId="85" fillId="7" borderId="97" xfId="3" applyFont="1" applyFill="1" applyBorder="1" applyAlignment="1" applyProtection="1">
      <alignment horizontal="left" vertical="center" wrapText="1"/>
    </xf>
    <xf numFmtId="49" fontId="85" fillId="7" borderId="97" xfId="3" applyNumberFormat="1" applyFont="1" applyFill="1" applyBorder="1" applyAlignment="1" applyProtection="1">
      <alignment horizontal="left" vertical="center"/>
    </xf>
    <xf numFmtId="0" fontId="85" fillId="7" borderId="97" xfId="3" applyFont="1" applyFill="1" applyBorder="1" applyAlignment="1" applyProtection="1">
      <alignment horizontal="center" vertical="center"/>
    </xf>
    <xf numFmtId="4" fontId="85" fillId="7" borderId="97" xfId="0" applyNumberFormat="1" applyFont="1" applyFill="1" applyBorder="1" applyAlignment="1">
      <alignment horizontal="right" vertical="center"/>
    </xf>
    <xf numFmtId="170" fontId="85" fillId="9" borderId="97" xfId="0" applyNumberFormat="1" applyFont="1" applyFill="1" applyBorder="1" applyAlignment="1">
      <alignment horizontal="right" vertical="center" wrapText="1"/>
    </xf>
    <xf numFmtId="0" fontId="79" fillId="8" borderId="0" xfId="0" applyFont="1" applyFill="1" applyAlignment="1" applyProtection="1">
      <alignment horizontal="center" vertical="center"/>
      <protection locked="0"/>
    </xf>
    <xf numFmtId="0" fontId="79" fillId="8" borderId="0" xfId="0" applyFont="1" applyFill="1" applyAlignment="1" applyProtection="1">
      <alignment vertical="center"/>
      <protection locked="0"/>
    </xf>
    <xf numFmtId="170" fontId="79" fillId="8" borderId="0" xfId="8" applyNumberFormat="1" applyFont="1" applyFill="1" applyAlignment="1">
      <alignment horizontal="right" vertical="center"/>
    </xf>
    <xf numFmtId="170" fontId="79" fillId="8" borderId="0" xfId="0" applyNumberFormat="1" applyFont="1" applyFill="1" applyAlignment="1" applyProtection="1">
      <alignment horizontal="center" vertical="center"/>
      <protection locked="0"/>
    </xf>
    <xf numFmtId="0" fontId="88" fillId="7" borderId="0" xfId="0" applyFont="1" applyFill="1" applyAlignment="1">
      <alignment horizontal="left" vertical="center"/>
    </xf>
    <xf numFmtId="0" fontId="81" fillId="7" borderId="88" xfId="7" applyFont="1" applyFill="1" applyBorder="1" applyAlignment="1">
      <alignment horizontal="left" vertical="center"/>
    </xf>
    <xf numFmtId="0" fontId="20" fillId="0" borderId="2" xfId="1" applyFont="1" applyFill="1" applyBorder="1" applyAlignment="1" applyProtection="1">
      <alignment horizontal="left" vertical="center" wrapText="1"/>
    </xf>
    <xf numFmtId="164" fontId="89" fillId="0" borderId="0" xfId="1" applyNumberFormat="1" applyFont="1" applyFill="1" applyAlignment="1">
      <alignment horizontal="right" vertical="center"/>
      <protection locked="0"/>
    </xf>
    <xf numFmtId="166" fontId="90" fillId="0" borderId="0" xfId="1" applyNumberFormat="1" applyFont="1" applyFill="1" applyAlignment="1">
      <alignment horizontal="right" vertical="center"/>
      <protection locked="0"/>
    </xf>
    <xf numFmtId="0" fontId="91" fillId="0" borderId="0" xfId="0" applyFont="1" applyFill="1" applyAlignment="1" applyProtection="1">
      <alignment horizontal="left"/>
    </xf>
    <xf numFmtId="0" fontId="91" fillId="0" borderId="0" xfId="0" applyFont="1" applyFill="1" applyAlignment="1" applyProtection="1">
      <alignment horizontal="center" vertical="center"/>
    </xf>
    <xf numFmtId="0" fontId="91" fillId="0" borderId="0" xfId="0" applyFont="1" applyFill="1" applyAlignment="1" applyProtection="1">
      <alignment horizontal="left" wrapText="1"/>
    </xf>
    <xf numFmtId="0" fontId="91" fillId="0" borderId="0" xfId="0" applyFont="1" applyFill="1" applyAlignment="1" applyProtection="1">
      <alignment horizontal="center"/>
    </xf>
    <xf numFmtId="4" fontId="91" fillId="0" borderId="0" xfId="0" applyNumberFormat="1" applyFont="1" applyFill="1" applyAlignment="1" applyProtection="1">
      <alignment horizontal="left"/>
    </xf>
    <xf numFmtId="170" fontId="91" fillId="0" borderId="0" xfId="0" applyNumberFormat="1" applyFont="1" applyFill="1" applyAlignment="1" applyProtection="1">
      <alignment horizontal="left"/>
    </xf>
    <xf numFmtId="0" fontId="92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 vertical="top"/>
    </xf>
    <xf numFmtId="0" fontId="93" fillId="0" borderId="0" xfId="0" applyFont="1" applyFill="1" applyAlignment="1" applyProtection="1">
      <alignment horizontal="left" vertical="center"/>
    </xf>
    <xf numFmtId="0" fontId="91" fillId="0" borderId="0" xfId="0" applyFont="1" applyFill="1" applyAlignment="1" applyProtection="1">
      <alignment horizontal="left" vertical="center"/>
    </xf>
    <xf numFmtId="0" fontId="93" fillId="0" borderId="0" xfId="0" applyFont="1" applyFill="1" applyAlignment="1" applyProtection="1">
      <alignment horizontal="center" vertical="center"/>
    </xf>
    <xf numFmtId="0" fontId="93" fillId="0" borderId="0" xfId="0" applyFont="1" applyFill="1" applyAlignment="1" applyProtection="1">
      <alignment horizontal="left" vertical="center" wrapText="1"/>
    </xf>
    <xf numFmtId="0" fontId="91" fillId="0" borderId="0" xfId="0" applyFont="1" applyFill="1" applyAlignment="1" applyProtection="1">
      <alignment horizontal="left" vertical="center" wrapText="1"/>
    </xf>
    <xf numFmtId="14" fontId="91" fillId="0" borderId="0" xfId="0" applyNumberFormat="1" applyFont="1" applyFill="1" applyAlignment="1" applyProtection="1">
      <alignment horizontal="left" vertical="center"/>
    </xf>
    <xf numFmtId="14" fontId="91" fillId="0" borderId="0" xfId="0" applyNumberFormat="1" applyFont="1" applyFill="1" applyAlignment="1" applyProtection="1">
      <alignment horizontal="center" vertical="center"/>
    </xf>
    <xf numFmtId="0" fontId="91" fillId="0" borderId="98" xfId="0" applyFont="1" applyFill="1" applyBorder="1" applyAlignment="1" applyProtection="1">
      <alignment horizontal="center" vertical="center" wrapText="1"/>
    </xf>
    <xf numFmtId="0" fontId="91" fillId="0" borderId="99" xfId="0" applyFont="1" applyFill="1" applyBorder="1" applyAlignment="1" applyProtection="1">
      <alignment horizontal="center" vertical="center" wrapText="1"/>
    </xf>
    <xf numFmtId="0" fontId="91" fillId="0" borderId="99" xfId="0" applyFont="1" applyFill="1" applyBorder="1" applyAlignment="1" applyProtection="1">
      <alignment horizontal="center" wrapText="1"/>
    </xf>
    <xf numFmtId="4" fontId="91" fillId="0" borderId="99" xfId="0" applyNumberFormat="1" applyFont="1" applyFill="1" applyBorder="1" applyAlignment="1" applyProtection="1">
      <alignment horizontal="center" wrapText="1"/>
    </xf>
    <xf numFmtId="170" fontId="91" fillId="0" borderId="99" xfId="0" applyNumberFormat="1" applyFont="1" applyFill="1" applyBorder="1" applyAlignment="1" applyProtection="1">
      <alignment horizontal="center" wrapText="1"/>
    </xf>
    <xf numFmtId="0" fontId="92" fillId="0" borderId="99" xfId="0" applyFont="1" applyFill="1" applyBorder="1" applyAlignment="1" applyProtection="1">
      <alignment horizontal="center" vertical="center" wrapText="1"/>
    </xf>
    <xf numFmtId="0" fontId="91" fillId="0" borderId="59" xfId="0" applyFont="1" applyFill="1" applyBorder="1" applyAlignment="1" applyProtection="1">
      <alignment horizontal="center" vertical="center" wrapText="1"/>
    </xf>
    <xf numFmtId="0" fontId="91" fillId="0" borderId="13" xfId="0" applyFont="1" applyFill="1" applyBorder="1" applyAlignment="1" applyProtection="1">
      <alignment horizontal="left"/>
    </xf>
    <xf numFmtId="0" fontId="92" fillId="0" borderId="13" xfId="0" applyFont="1" applyFill="1" applyBorder="1" applyAlignment="1" applyProtection="1">
      <alignment horizontal="left"/>
    </xf>
    <xf numFmtId="0" fontId="92" fillId="0" borderId="12" xfId="0" applyFont="1" applyFill="1" applyBorder="1" applyAlignment="1" applyProtection="1">
      <alignment horizontal="left"/>
    </xf>
    <xf numFmtId="0" fontId="94" fillId="0" borderId="41" xfId="0" applyFont="1" applyFill="1" applyBorder="1" applyAlignment="1" applyProtection="1">
      <alignment horizontal="left" vertical="center"/>
    </xf>
    <xf numFmtId="0" fontId="94" fillId="0" borderId="41" xfId="0" applyFont="1" applyFill="1" applyBorder="1" applyAlignment="1" applyProtection="1">
      <alignment horizontal="center" vertical="center"/>
    </xf>
    <xf numFmtId="0" fontId="94" fillId="0" borderId="100" xfId="0" applyFont="1" applyFill="1" applyBorder="1" applyAlignment="1" applyProtection="1">
      <alignment horizontal="left" vertical="center" wrapText="1"/>
    </xf>
    <xf numFmtId="0" fontId="94" fillId="0" borderId="100" xfId="0" applyFont="1" applyFill="1" applyBorder="1" applyAlignment="1" applyProtection="1">
      <alignment horizontal="center"/>
    </xf>
    <xf numFmtId="4" fontId="94" fillId="0" borderId="100" xfId="0" applyNumberFormat="1" applyFont="1" applyFill="1" applyBorder="1" applyAlignment="1" applyProtection="1">
      <alignment horizontal="left"/>
    </xf>
    <xf numFmtId="170" fontId="94" fillId="0" borderId="100" xfId="0" applyNumberFormat="1" applyFont="1" applyFill="1" applyBorder="1" applyAlignment="1" applyProtection="1">
      <alignment horizontal="left"/>
    </xf>
    <xf numFmtId="170" fontId="94" fillId="0" borderId="100" xfId="0" applyNumberFormat="1" applyFont="1" applyFill="1" applyBorder="1" applyAlignment="1" applyProtection="1">
      <alignment horizontal="right"/>
    </xf>
    <xf numFmtId="167" fontId="94" fillId="0" borderId="41" xfId="0" applyNumberFormat="1" applyFont="1" applyFill="1" applyBorder="1" applyAlignment="1" applyProtection="1">
      <alignment horizontal="right" vertical="center"/>
    </xf>
    <xf numFmtId="0" fontId="58" fillId="0" borderId="0" xfId="0" applyFont="1" applyFill="1" applyAlignment="1" applyProtection="1">
      <alignment horizontal="left" vertical="center"/>
    </xf>
    <xf numFmtId="0" fontId="94" fillId="0" borderId="0" xfId="0" applyFont="1" applyFill="1" applyAlignment="1" applyProtection="1">
      <alignment horizontal="left" vertical="center"/>
    </xf>
    <xf numFmtId="0" fontId="94" fillId="0" borderId="0" xfId="0" applyFont="1" applyFill="1" applyBorder="1" applyAlignment="1" applyProtection="1">
      <alignment horizontal="left" vertical="center"/>
    </xf>
    <xf numFmtId="0" fontId="94" fillId="0" borderId="0" xfId="0" applyFont="1" applyFill="1" applyBorder="1" applyAlignment="1" applyProtection="1">
      <alignment horizontal="center" vertical="center"/>
    </xf>
    <xf numFmtId="0" fontId="94" fillId="0" borderId="0" xfId="0" applyFont="1" applyFill="1" applyBorder="1" applyAlignment="1" applyProtection="1">
      <alignment horizontal="left" vertical="center" wrapText="1"/>
    </xf>
    <xf numFmtId="0" fontId="94" fillId="0" borderId="0" xfId="0" applyFont="1" applyFill="1" applyBorder="1" applyAlignment="1" applyProtection="1">
      <alignment horizontal="center"/>
    </xf>
    <xf numFmtId="4" fontId="94" fillId="0" borderId="0" xfId="0" applyNumberFormat="1" applyFont="1" applyFill="1" applyBorder="1" applyAlignment="1" applyProtection="1">
      <alignment horizontal="left"/>
    </xf>
    <xf numFmtId="170" fontId="94" fillId="0" borderId="0" xfId="0" applyNumberFormat="1" applyFont="1" applyFill="1" applyBorder="1" applyAlignment="1" applyProtection="1">
      <alignment horizontal="left"/>
    </xf>
    <xf numFmtId="170" fontId="94" fillId="0" borderId="0" xfId="0" applyNumberFormat="1" applyFont="1" applyFill="1" applyBorder="1" applyAlignment="1" applyProtection="1">
      <alignment horizontal="right"/>
    </xf>
    <xf numFmtId="167" fontId="94" fillId="0" borderId="0" xfId="0" applyNumberFormat="1" applyFont="1" applyFill="1" applyBorder="1" applyAlignment="1" applyProtection="1">
      <alignment horizontal="right" vertical="center"/>
    </xf>
    <xf numFmtId="0" fontId="95" fillId="0" borderId="0" xfId="0" applyFont="1" applyFill="1" applyAlignment="1" applyProtection="1">
      <alignment horizontal="center" vertical="center"/>
    </xf>
    <xf numFmtId="0" fontId="95" fillId="0" borderId="0" xfId="0" applyFont="1" applyFill="1" applyAlignment="1" applyProtection="1">
      <alignment horizontal="left" vertical="center" wrapText="1"/>
    </xf>
    <xf numFmtId="0" fontId="58" fillId="0" borderId="0" xfId="0" applyFont="1" applyFill="1" applyAlignment="1" applyProtection="1">
      <alignment horizontal="center"/>
    </xf>
    <xf numFmtId="4" fontId="58" fillId="0" borderId="0" xfId="0" applyNumberFormat="1" applyFont="1" applyFill="1" applyAlignment="1" applyProtection="1">
      <alignment horizontal="left"/>
    </xf>
    <xf numFmtId="170" fontId="58" fillId="0" borderId="0" xfId="0" applyNumberFormat="1" applyFont="1" applyFill="1" applyAlignment="1" applyProtection="1">
      <alignment horizontal="left"/>
    </xf>
    <xf numFmtId="170" fontId="95" fillId="0" borderId="0" xfId="0" applyNumberFormat="1" applyFont="1" applyFill="1" applyAlignment="1" applyProtection="1">
      <alignment horizontal="right"/>
    </xf>
    <xf numFmtId="167" fontId="95" fillId="0" borderId="0" xfId="0" applyNumberFormat="1" applyFont="1" applyFill="1" applyAlignment="1" applyProtection="1">
      <alignment horizontal="right" vertical="center"/>
    </xf>
    <xf numFmtId="0" fontId="95" fillId="0" borderId="0" xfId="0" applyFont="1" applyFill="1" applyAlignment="1" applyProtection="1">
      <alignment horizontal="left" vertical="center"/>
    </xf>
    <xf numFmtId="0" fontId="92" fillId="0" borderId="93" xfId="0" applyFont="1" applyFill="1" applyBorder="1" applyAlignment="1" applyProtection="1">
      <alignment horizontal="center" vertical="center"/>
    </xf>
    <xf numFmtId="49" fontId="92" fillId="0" borderId="93" xfId="0" applyNumberFormat="1" applyFont="1" applyFill="1" applyBorder="1" applyAlignment="1" applyProtection="1">
      <alignment horizontal="center" vertical="center"/>
    </xf>
    <xf numFmtId="0" fontId="92" fillId="0" borderId="93" xfId="0" applyFont="1" applyFill="1" applyBorder="1" applyAlignment="1" applyProtection="1">
      <alignment horizontal="left" vertical="center" wrapText="1"/>
    </xf>
    <xf numFmtId="0" fontId="92" fillId="0" borderId="93" xfId="0" applyFont="1" applyFill="1" applyBorder="1" applyAlignment="1" applyProtection="1">
      <alignment horizontal="center"/>
    </xf>
    <xf numFmtId="4" fontId="92" fillId="0" borderId="93" xfId="0" applyNumberFormat="1" applyFont="1" applyFill="1" applyBorder="1" applyAlignment="1" applyProtection="1">
      <alignment horizontal="right"/>
    </xf>
    <xf numFmtId="170" fontId="92" fillId="0" borderId="93" xfId="0" applyNumberFormat="1" applyFont="1" applyFill="1" applyBorder="1" applyAlignment="1" applyProtection="1">
      <alignment horizontal="right"/>
    </xf>
    <xf numFmtId="171" fontId="92" fillId="0" borderId="0" xfId="0" applyNumberFormat="1" applyFont="1" applyFill="1" applyAlignment="1" applyProtection="1">
      <alignment horizontal="right" vertical="center"/>
    </xf>
    <xf numFmtId="167" fontId="92" fillId="0" borderId="0" xfId="0" applyNumberFormat="1" applyFont="1" applyFill="1" applyAlignment="1" applyProtection="1">
      <alignment horizontal="right" vertical="center"/>
    </xf>
    <xf numFmtId="172" fontId="92" fillId="0" borderId="0" xfId="0" applyNumberFormat="1" applyFont="1" applyFill="1" applyAlignment="1" applyProtection="1">
      <alignment horizontal="right" vertical="center"/>
    </xf>
    <xf numFmtId="37" fontId="92" fillId="0" borderId="0" xfId="0" applyNumberFormat="1" applyFont="1" applyFill="1" applyAlignment="1" applyProtection="1">
      <alignment horizontal="right" vertical="center"/>
    </xf>
    <xf numFmtId="0" fontId="92" fillId="0" borderId="0" xfId="0" applyFont="1" applyFill="1" applyAlignment="1" applyProtection="1">
      <alignment horizontal="left" vertical="center"/>
    </xf>
    <xf numFmtId="49" fontId="7" fillId="0" borderId="93" xfId="0" applyNumberFormat="1" applyFont="1" applyFill="1" applyBorder="1" applyAlignment="1" applyProtection="1">
      <alignment horizontal="center" vertical="center"/>
    </xf>
    <xf numFmtId="0" fontId="7" fillId="0" borderId="93" xfId="0" applyFont="1" applyFill="1" applyBorder="1" applyAlignment="1" applyProtection="1">
      <alignment horizontal="left" vertical="center" wrapText="1"/>
    </xf>
    <xf numFmtId="0" fontId="12" fillId="0" borderId="93" xfId="0" applyFont="1" applyBorder="1" applyAlignment="1" applyProtection="1">
      <alignment horizontal="center" wrapText="1"/>
      <protection locked="0"/>
    </xf>
    <xf numFmtId="0" fontId="12" fillId="0" borderId="93" xfId="0" applyFont="1" applyBorder="1" applyAlignment="1" applyProtection="1">
      <alignment horizontal="left" wrapText="1"/>
      <protection locked="0"/>
    </xf>
    <xf numFmtId="167" fontId="12" fillId="0" borderId="93" xfId="0" applyNumberFormat="1" applyFont="1" applyBorder="1" applyAlignment="1" applyProtection="1">
      <alignment horizontal="right"/>
      <protection locked="0"/>
    </xf>
    <xf numFmtId="0" fontId="7" fillId="0" borderId="93" xfId="0" applyFont="1" applyFill="1" applyBorder="1" applyAlignment="1" applyProtection="1">
      <alignment horizontal="center"/>
    </xf>
    <xf numFmtId="0" fontId="92" fillId="0" borderId="0" xfId="0" applyFont="1" applyFill="1" applyAlignment="1" applyProtection="1">
      <alignment horizontal="center" vertical="center"/>
    </xf>
    <xf numFmtId="49" fontId="92" fillId="0" borderId="0" xfId="0" applyNumberFormat="1" applyFont="1" applyFill="1" applyAlignment="1" applyProtection="1">
      <alignment horizontal="center" vertical="center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horizontal="center"/>
    </xf>
    <xf numFmtId="4" fontId="92" fillId="0" borderId="0" xfId="0" applyNumberFormat="1" applyFont="1" applyFill="1" applyAlignment="1" applyProtection="1">
      <alignment horizontal="right"/>
    </xf>
    <xf numFmtId="170" fontId="92" fillId="0" borderId="0" xfId="0" applyNumberFormat="1" applyFont="1" applyFill="1" applyAlignment="1" applyProtection="1">
      <alignment horizontal="right"/>
    </xf>
    <xf numFmtId="0" fontId="96" fillId="0" borderId="93" xfId="0" applyFont="1" applyFill="1" applyBorder="1" applyAlignment="1" applyProtection="1">
      <alignment horizontal="center" vertical="center"/>
    </xf>
    <xf numFmtId="49" fontId="96" fillId="0" borderId="93" xfId="0" applyNumberFormat="1" applyFont="1" applyFill="1" applyBorder="1" applyAlignment="1" applyProtection="1">
      <alignment horizontal="center" vertical="center"/>
    </xf>
    <xf numFmtId="0" fontId="96" fillId="0" borderId="93" xfId="0" applyFont="1" applyFill="1" applyBorder="1" applyAlignment="1" applyProtection="1">
      <alignment horizontal="left" vertical="center" wrapText="1"/>
    </xf>
    <xf numFmtId="0" fontId="96" fillId="0" borderId="93" xfId="0" applyFont="1" applyFill="1" applyBorder="1" applyAlignment="1" applyProtection="1">
      <alignment horizontal="center"/>
    </xf>
    <xf numFmtId="4" fontId="96" fillId="0" borderId="93" xfId="0" applyNumberFormat="1" applyFont="1" applyFill="1" applyBorder="1" applyAlignment="1" applyProtection="1">
      <alignment horizontal="right"/>
    </xf>
    <xf numFmtId="170" fontId="96" fillId="0" borderId="93" xfId="0" applyNumberFormat="1" applyFont="1" applyFill="1" applyBorder="1" applyAlignment="1" applyProtection="1">
      <alignment horizontal="right"/>
    </xf>
    <xf numFmtId="171" fontId="96" fillId="0" borderId="0" xfId="0" applyNumberFormat="1" applyFont="1" applyFill="1" applyAlignment="1" applyProtection="1">
      <alignment horizontal="right" vertical="center"/>
    </xf>
    <xf numFmtId="167" fontId="96" fillId="0" borderId="0" xfId="0" applyNumberFormat="1" applyFont="1" applyFill="1" applyAlignment="1" applyProtection="1">
      <alignment horizontal="right" vertical="center"/>
    </xf>
    <xf numFmtId="172" fontId="96" fillId="0" borderId="0" xfId="0" applyNumberFormat="1" applyFont="1" applyFill="1" applyAlignment="1" applyProtection="1">
      <alignment horizontal="right" vertical="center"/>
    </xf>
    <xf numFmtId="37" fontId="96" fillId="0" borderId="0" xfId="0" applyNumberFormat="1" applyFont="1" applyFill="1" applyAlignment="1" applyProtection="1">
      <alignment horizontal="right" vertical="center"/>
    </xf>
    <xf numFmtId="0" fontId="96" fillId="0" borderId="0" xfId="0" applyFont="1" applyFill="1" applyAlignment="1" applyProtection="1">
      <alignment horizontal="left" vertical="center"/>
    </xf>
    <xf numFmtId="0" fontId="97" fillId="0" borderId="0" xfId="0" applyFont="1" applyFill="1" applyAlignment="1" applyProtection="1">
      <alignment horizontal="center" vertical="center"/>
    </xf>
    <xf numFmtId="49" fontId="97" fillId="0" borderId="0" xfId="0" applyNumberFormat="1" applyFont="1" applyFill="1" applyAlignment="1" applyProtection="1">
      <alignment horizontal="center" vertical="center"/>
    </xf>
    <xf numFmtId="0" fontId="97" fillId="0" borderId="0" xfId="0" applyFont="1" applyFill="1" applyAlignment="1" applyProtection="1">
      <alignment horizontal="left" vertical="center" wrapText="1"/>
    </xf>
    <xf numFmtId="0" fontId="97" fillId="0" borderId="0" xfId="0" applyFont="1" applyFill="1" applyAlignment="1" applyProtection="1">
      <alignment horizontal="center"/>
    </xf>
    <xf numFmtId="4" fontId="97" fillId="0" borderId="0" xfId="0" applyNumberFormat="1" applyFont="1" applyFill="1" applyAlignment="1" applyProtection="1">
      <alignment horizontal="right"/>
    </xf>
    <xf numFmtId="170" fontId="97" fillId="0" borderId="0" xfId="0" applyNumberFormat="1" applyFont="1" applyFill="1" applyAlignment="1" applyProtection="1">
      <alignment horizontal="right"/>
    </xf>
    <xf numFmtId="171" fontId="97" fillId="0" borderId="0" xfId="0" applyNumberFormat="1" applyFont="1" applyFill="1" applyAlignment="1" applyProtection="1">
      <alignment horizontal="right" vertical="center"/>
    </xf>
    <xf numFmtId="167" fontId="97" fillId="0" borderId="0" xfId="0" applyNumberFormat="1" applyFont="1" applyFill="1" applyAlignment="1" applyProtection="1">
      <alignment horizontal="right" vertical="center"/>
    </xf>
    <xf numFmtId="172" fontId="97" fillId="0" borderId="0" xfId="0" applyNumberFormat="1" applyFont="1" applyFill="1" applyAlignment="1" applyProtection="1">
      <alignment horizontal="right" vertical="center"/>
    </xf>
    <xf numFmtId="37" fontId="97" fillId="0" borderId="0" xfId="0" applyNumberFormat="1" applyFont="1" applyFill="1" applyAlignment="1" applyProtection="1">
      <alignment horizontal="right" vertical="center"/>
    </xf>
    <xf numFmtId="0" fontId="97" fillId="0" borderId="0" xfId="0" applyFont="1" applyFill="1" applyAlignment="1" applyProtection="1">
      <alignment horizontal="left" vertical="center"/>
    </xf>
    <xf numFmtId="0" fontId="12" fillId="0" borderId="93" xfId="0" applyFont="1" applyFill="1" applyBorder="1" applyAlignment="1" applyProtection="1">
      <alignment horizontal="left" wrapText="1"/>
      <protection locked="0"/>
    </xf>
    <xf numFmtId="0" fontId="12" fillId="0" borderId="93" xfId="0" applyFont="1" applyFill="1" applyBorder="1" applyAlignment="1" applyProtection="1">
      <alignment horizontal="center" wrapText="1"/>
      <protection locked="0"/>
    </xf>
    <xf numFmtId="4" fontId="12" fillId="0" borderId="93" xfId="0" applyNumberFormat="1" applyFont="1" applyFill="1" applyBorder="1" applyAlignment="1" applyProtection="1">
      <alignment horizontal="right"/>
      <protection locked="0"/>
    </xf>
    <xf numFmtId="170" fontId="12" fillId="0" borderId="93" xfId="0" applyNumberFormat="1" applyFont="1" applyFill="1" applyBorder="1" applyAlignment="1" applyProtection="1">
      <alignment horizontal="right"/>
      <protection locked="0"/>
    </xf>
    <xf numFmtId="0" fontId="16" fillId="0" borderId="93" xfId="0" applyFont="1" applyFill="1" applyBorder="1" applyAlignment="1" applyProtection="1">
      <alignment horizontal="center" vertical="center"/>
    </xf>
    <xf numFmtId="49" fontId="16" fillId="0" borderId="93" xfId="0" applyNumberFormat="1" applyFont="1" applyFill="1" applyBorder="1" applyAlignment="1" applyProtection="1">
      <alignment horizontal="center" vertical="center"/>
    </xf>
    <xf numFmtId="0" fontId="16" fillId="0" borderId="93" xfId="0" applyFont="1" applyFill="1" applyBorder="1" applyAlignment="1" applyProtection="1">
      <alignment horizontal="left" vertical="center" wrapText="1"/>
    </xf>
    <xf numFmtId="4" fontId="16" fillId="0" borderId="93" xfId="0" applyNumberFormat="1" applyFont="1" applyFill="1" applyBorder="1" applyAlignment="1" applyProtection="1">
      <alignment horizontal="right" vertical="center"/>
    </xf>
    <xf numFmtId="170" fontId="16" fillId="0" borderId="93" xfId="0" applyNumberFormat="1" applyFont="1" applyFill="1" applyBorder="1" applyAlignment="1" applyProtection="1">
      <alignment horizontal="right" vertical="center"/>
    </xf>
    <xf numFmtId="0" fontId="7" fillId="0" borderId="93" xfId="0" applyFont="1" applyBorder="1" applyAlignment="1" applyProtection="1">
      <alignment horizontal="center" vertical="center" wrapText="1"/>
      <protection locked="0"/>
    </xf>
    <xf numFmtId="0" fontId="7" fillId="0" borderId="93" xfId="0" applyFont="1" applyBorder="1" applyAlignment="1" applyProtection="1">
      <alignment horizontal="left" wrapText="1"/>
      <protection locked="0"/>
    </xf>
    <xf numFmtId="0" fontId="7" fillId="0" borderId="93" xfId="0" applyFont="1" applyBorder="1" applyAlignment="1" applyProtection="1">
      <alignment horizontal="center" wrapText="1"/>
      <protection locked="0"/>
    </xf>
    <xf numFmtId="4" fontId="7" fillId="0" borderId="93" xfId="0" applyNumberFormat="1" applyFont="1" applyBorder="1" applyAlignment="1" applyProtection="1">
      <alignment horizontal="right"/>
      <protection locked="0"/>
    </xf>
    <xf numFmtId="0" fontId="98" fillId="0" borderId="93" xfId="0" applyFont="1" applyFill="1" applyBorder="1" applyAlignment="1" applyProtection="1">
      <alignment horizontal="center" vertical="center"/>
    </xf>
    <xf numFmtId="49" fontId="98" fillId="0" borderId="93" xfId="0" applyNumberFormat="1" applyFont="1" applyFill="1" applyBorder="1" applyAlignment="1" applyProtection="1">
      <alignment horizontal="center" vertical="center"/>
    </xf>
    <xf numFmtId="0" fontId="98" fillId="0" borderId="93" xfId="0" applyFont="1" applyFill="1" applyBorder="1" applyAlignment="1" applyProtection="1">
      <alignment horizontal="left" vertical="center" wrapText="1"/>
    </xf>
    <xf numFmtId="4" fontId="98" fillId="0" borderId="93" xfId="0" applyNumberFormat="1" applyFont="1" applyFill="1" applyBorder="1" applyAlignment="1" applyProtection="1">
      <alignment horizontal="right" vertical="center"/>
    </xf>
    <xf numFmtId="170" fontId="98" fillId="0" borderId="93" xfId="0" applyNumberFormat="1" applyFont="1" applyFill="1" applyBorder="1" applyAlignment="1" applyProtection="1">
      <alignment horizontal="right" vertical="center"/>
    </xf>
    <xf numFmtId="0" fontId="99" fillId="0" borderId="0" xfId="0" applyFont="1" applyFill="1" applyAlignment="1" applyProtection="1">
      <alignment horizontal="left" vertical="center"/>
    </xf>
    <xf numFmtId="0" fontId="99" fillId="0" borderId="0" xfId="0" applyFont="1" applyFill="1" applyAlignment="1" applyProtection="1">
      <alignment horizontal="center" vertical="center"/>
    </xf>
    <xf numFmtId="0" fontId="100" fillId="0" borderId="0" xfId="0" applyFont="1" applyFill="1" applyAlignment="1" applyProtection="1">
      <alignment horizontal="left" vertical="center" wrapText="1"/>
    </xf>
    <xf numFmtId="0" fontId="99" fillId="0" borderId="0" xfId="0" applyFont="1" applyFill="1" applyAlignment="1" applyProtection="1">
      <alignment horizontal="center"/>
    </xf>
    <xf numFmtId="4" fontId="99" fillId="0" borderId="0" xfId="0" applyNumberFormat="1" applyFont="1" applyFill="1" applyAlignment="1" applyProtection="1">
      <alignment horizontal="left"/>
    </xf>
    <xf numFmtId="170" fontId="99" fillId="0" borderId="0" xfId="0" applyNumberFormat="1" applyFont="1" applyFill="1" applyAlignment="1" applyProtection="1">
      <alignment horizontal="left"/>
    </xf>
    <xf numFmtId="170" fontId="100" fillId="0" borderId="0" xfId="0" applyNumberFormat="1" applyFont="1" applyFill="1" applyAlignment="1" applyProtection="1">
      <alignment horizontal="right"/>
    </xf>
    <xf numFmtId="167" fontId="100" fillId="0" borderId="0" xfId="0" applyNumberFormat="1" applyFont="1" applyFill="1" applyAlignment="1" applyProtection="1">
      <alignment horizontal="right" vertical="center"/>
    </xf>
    <xf numFmtId="0" fontId="58" fillId="0" borderId="0" xfId="0" applyFont="1" applyFill="1" applyAlignment="1" applyProtection="1">
      <alignment horizontal="center" vertical="center"/>
    </xf>
    <xf numFmtId="4" fontId="58" fillId="0" borderId="0" xfId="0" applyNumberFormat="1" applyFont="1" applyFill="1" applyAlignment="1" applyProtection="1">
      <alignment horizontal="right"/>
    </xf>
    <xf numFmtId="170" fontId="58" fillId="0" borderId="0" xfId="0" applyNumberFormat="1" applyFont="1" applyFill="1" applyAlignment="1" applyProtection="1">
      <alignment horizontal="right"/>
    </xf>
    <xf numFmtId="0" fontId="12" fillId="0" borderId="93" xfId="0" applyFont="1" applyBorder="1" applyAlignment="1" applyProtection="1">
      <alignment horizontal="center" vertical="center" wrapText="1"/>
      <protection locked="0"/>
    </xf>
    <xf numFmtId="4" fontId="12" fillId="0" borderId="93" xfId="0" applyNumberFormat="1" applyFont="1" applyBorder="1" applyAlignment="1" applyProtection="1">
      <alignment horizontal="right"/>
      <protection locked="0"/>
    </xf>
    <xf numFmtId="0" fontId="92" fillId="0" borderId="93" xfId="0" applyFont="1" applyBorder="1" applyAlignment="1" applyProtection="1">
      <alignment horizontal="center" vertical="center"/>
    </xf>
    <xf numFmtId="49" fontId="92" fillId="0" borderId="93" xfId="0" applyNumberFormat="1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left" vertical="center" wrapText="1"/>
    </xf>
    <xf numFmtId="0" fontId="92" fillId="0" borderId="93" xfId="0" applyFont="1" applyBorder="1" applyAlignment="1" applyProtection="1">
      <alignment horizontal="center"/>
    </xf>
    <xf numFmtId="4" fontId="92" fillId="0" borderId="93" xfId="0" applyNumberFormat="1" applyFont="1" applyBorder="1" applyAlignment="1" applyProtection="1">
      <alignment horizontal="right"/>
    </xf>
    <xf numFmtId="170" fontId="92" fillId="0" borderId="93" xfId="0" applyNumberFormat="1" applyFont="1" applyBorder="1" applyAlignment="1" applyProtection="1">
      <alignment horizontal="right"/>
    </xf>
    <xf numFmtId="170" fontId="12" fillId="0" borderId="93" xfId="0" applyNumberFormat="1" applyFont="1" applyBorder="1" applyAlignment="1" applyProtection="1">
      <alignment horizontal="right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/>
    </xf>
    <xf numFmtId="4" fontId="0" fillId="0" borderId="0" xfId="0" applyNumberFormat="1" applyFill="1" applyAlignment="1" applyProtection="1">
      <alignment horizontal="left"/>
    </xf>
    <xf numFmtId="170" fontId="0" fillId="0" borderId="0" xfId="0" applyNumberFormat="1" applyFill="1" applyAlignment="1" applyProtection="1">
      <alignment horizontal="left"/>
    </xf>
    <xf numFmtId="170" fontId="0" fillId="0" borderId="0" xfId="0" applyNumberFormat="1" applyFill="1" applyAlignment="1" applyProtection="1">
      <alignment horizontal="right"/>
    </xf>
    <xf numFmtId="0" fontId="97" fillId="0" borderId="93" xfId="0" applyFont="1" applyBorder="1" applyAlignment="1" applyProtection="1">
      <alignment horizontal="center" vertical="center"/>
    </xf>
    <xf numFmtId="49" fontId="97" fillId="0" borderId="93" xfId="0" applyNumberFormat="1" applyFont="1" applyBorder="1" applyAlignment="1" applyProtection="1">
      <alignment horizontal="center" vertical="center"/>
    </xf>
    <xf numFmtId="0" fontId="97" fillId="0" borderId="93" xfId="0" applyFont="1" applyBorder="1" applyAlignment="1" applyProtection="1">
      <alignment horizontal="left" vertical="center" wrapText="1"/>
    </xf>
    <xf numFmtId="0" fontId="97" fillId="0" borderId="93" xfId="0" applyFont="1" applyBorder="1" applyAlignment="1" applyProtection="1">
      <alignment horizontal="center"/>
    </xf>
    <xf numFmtId="4" fontId="97" fillId="0" borderId="93" xfId="0" applyNumberFormat="1" applyFont="1" applyBorder="1" applyAlignment="1" applyProtection="1">
      <alignment horizontal="right"/>
    </xf>
    <xf numFmtId="170" fontId="97" fillId="0" borderId="93" xfId="0" applyNumberFormat="1" applyFont="1" applyBorder="1" applyAlignment="1" applyProtection="1">
      <alignment horizontal="right"/>
    </xf>
    <xf numFmtId="0" fontId="101" fillId="0" borderId="93" xfId="0" applyFont="1" applyFill="1" applyBorder="1" applyAlignment="1" applyProtection="1">
      <alignment horizontal="center" vertical="center"/>
    </xf>
    <xf numFmtId="0" fontId="101" fillId="0" borderId="93" xfId="0" applyFont="1" applyFill="1" applyBorder="1" applyAlignment="1" applyProtection="1">
      <alignment horizontal="left" vertical="center" wrapText="1"/>
    </xf>
    <xf numFmtId="0" fontId="101" fillId="0" borderId="93" xfId="0" applyFont="1" applyFill="1" applyBorder="1" applyAlignment="1" applyProtection="1">
      <alignment horizontal="center"/>
    </xf>
    <xf numFmtId="4" fontId="101" fillId="0" borderId="93" xfId="0" applyNumberFormat="1" applyFont="1" applyFill="1" applyBorder="1" applyAlignment="1" applyProtection="1">
      <alignment horizontal="right"/>
    </xf>
    <xf numFmtId="170" fontId="101" fillId="0" borderId="93" xfId="0" applyNumberFormat="1" applyFont="1" applyFill="1" applyBorder="1" applyAlignment="1" applyProtection="1">
      <alignment horizontal="right"/>
    </xf>
    <xf numFmtId="0" fontId="102" fillId="0" borderId="0" xfId="0" applyFont="1" applyFill="1" applyAlignment="1" applyProtection="1">
      <alignment horizontal="left" vertical="center"/>
    </xf>
    <xf numFmtId="39" fontId="76" fillId="0" borderId="83" xfId="0" applyNumberFormat="1" applyFont="1" applyFill="1" applyBorder="1" applyAlignment="1" applyProtection="1">
      <alignment horizontal="right"/>
      <protection locked="0"/>
    </xf>
    <xf numFmtId="4" fontId="91" fillId="0" borderId="0" xfId="0" applyNumberFormat="1" applyFont="1" applyFill="1" applyAlignment="1" applyProtection="1">
      <alignment horizontal="right"/>
    </xf>
    <xf numFmtId="170" fontId="91" fillId="0" borderId="0" xfId="0" applyNumberFormat="1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</xf>
    <xf numFmtId="4" fontId="91" fillId="0" borderId="99" xfId="0" applyNumberFormat="1" applyFont="1" applyFill="1" applyBorder="1" applyAlignment="1" applyProtection="1">
      <alignment horizontal="right" wrapText="1"/>
    </xf>
    <xf numFmtId="0" fontId="7" fillId="0" borderId="99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left"/>
    </xf>
    <xf numFmtId="0" fontId="7" fillId="0" borderId="12" xfId="0" applyFont="1" applyFill="1" applyBorder="1" applyAlignment="1" applyProtection="1">
      <alignment horizontal="left"/>
    </xf>
    <xf numFmtId="0" fontId="94" fillId="0" borderId="100" xfId="0" applyFont="1" applyFill="1" applyBorder="1" applyAlignment="1" applyProtection="1">
      <alignment horizontal="left" vertical="center"/>
    </xf>
    <xf numFmtId="0" fontId="94" fillId="0" borderId="100" xfId="0" applyFont="1" applyFill="1" applyBorder="1" applyAlignment="1" applyProtection="1">
      <alignment horizontal="center" vertical="center"/>
    </xf>
    <xf numFmtId="4" fontId="94" fillId="0" borderId="100" xfId="0" applyNumberFormat="1" applyFont="1" applyFill="1" applyBorder="1" applyAlignment="1" applyProtection="1">
      <alignment horizontal="right"/>
    </xf>
    <xf numFmtId="4" fontId="94" fillId="0" borderId="0" xfId="0" applyNumberFormat="1" applyFont="1" applyFill="1" applyBorder="1" applyAlignment="1" applyProtection="1">
      <alignment horizontal="right"/>
    </xf>
    <xf numFmtId="0" fontId="58" fillId="0" borderId="0" xfId="0" applyFont="1" applyAlignment="1" applyProtection="1">
      <alignment horizontal="left" vertical="center"/>
    </xf>
    <xf numFmtId="0" fontId="95" fillId="0" borderId="0" xfId="0" applyFont="1" applyAlignment="1" applyProtection="1">
      <alignment horizontal="center" vertical="center"/>
    </xf>
    <xf numFmtId="0" fontId="58" fillId="0" borderId="0" xfId="0" applyFont="1" applyAlignment="1" applyProtection="1">
      <alignment horizontal="center" vertical="center"/>
    </xf>
    <xf numFmtId="0" fontId="95" fillId="0" borderId="0" xfId="0" applyFont="1" applyAlignment="1" applyProtection="1">
      <alignment horizontal="left" vertical="center"/>
    </xf>
    <xf numFmtId="0" fontId="58" fillId="0" borderId="0" xfId="0" applyFont="1" applyAlignment="1" applyProtection="1">
      <alignment horizontal="center"/>
    </xf>
    <xf numFmtId="4" fontId="58" fillId="0" borderId="0" xfId="0" applyNumberFormat="1" applyFont="1" applyAlignment="1" applyProtection="1">
      <alignment horizontal="right"/>
    </xf>
    <xf numFmtId="170" fontId="58" fillId="0" borderId="0" xfId="0" applyNumberFormat="1" applyFont="1" applyAlignment="1" applyProtection="1">
      <alignment horizontal="right"/>
    </xf>
    <xf numFmtId="170" fontId="95" fillId="0" borderId="0" xfId="0" applyNumberFormat="1" applyFont="1" applyAlignment="1" applyProtection="1">
      <alignment horizontal="right"/>
    </xf>
    <xf numFmtId="0" fontId="7" fillId="0" borderId="93" xfId="0" applyFont="1" applyBorder="1" applyAlignment="1" applyProtection="1">
      <alignment horizontal="center" vertical="center"/>
    </xf>
    <xf numFmtId="49" fontId="7" fillId="0" borderId="93" xfId="0" applyNumberFormat="1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center"/>
    </xf>
    <xf numFmtId="4" fontId="7" fillId="0" borderId="93" xfId="0" applyNumberFormat="1" applyFont="1" applyBorder="1" applyAlignment="1" applyProtection="1">
      <alignment horizontal="right"/>
    </xf>
    <xf numFmtId="170" fontId="7" fillId="0" borderId="93" xfId="0" applyNumberFormat="1" applyFont="1" applyBorder="1" applyAlignment="1" applyProtection="1">
      <alignment horizontal="right"/>
    </xf>
    <xf numFmtId="171" fontId="7" fillId="0" borderId="0" xfId="0" applyNumberFormat="1" applyFont="1" applyFill="1" applyAlignment="1" applyProtection="1">
      <alignment horizontal="right" vertical="center"/>
    </xf>
    <xf numFmtId="167" fontId="7" fillId="0" borderId="0" xfId="0" applyNumberFormat="1" applyFont="1" applyFill="1" applyAlignment="1" applyProtection="1">
      <alignment horizontal="right" vertical="center"/>
    </xf>
    <xf numFmtId="172" fontId="7" fillId="0" borderId="0" xfId="0" applyNumberFormat="1" applyFont="1" applyFill="1" applyAlignment="1" applyProtection="1">
      <alignment horizontal="right" vertical="center"/>
    </xf>
    <xf numFmtId="37" fontId="7" fillId="0" borderId="0" xfId="0" applyNumberFormat="1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left" vertical="center"/>
    </xf>
    <xf numFmtId="170" fontId="7" fillId="0" borderId="0" xfId="0" applyNumberFormat="1" applyFont="1" applyFill="1" applyAlignment="1" applyProtection="1">
      <alignment horizontal="left" vertical="center"/>
    </xf>
    <xf numFmtId="0" fontId="7" fillId="0" borderId="93" xfId="0" applyFont="1" applyFill="1" applyBorder="1" applyAlignment="1" applyProtection="1">
      <alignment horizontal="center" vertical="center"/>
    </xf>
    <xf numFmtId="4" fontId="7" fillId="0" borderId="93" xfId="0" applyNumberFormat="1" applyFont="1" applyFill="1" applyBorder="1" applyAlignment="1" applyProtection="1">
      <alignment horizontal="right"/>
    </xf>
    <xf numFmtId="170" fontId="7" fillId="0" borderId="93" xfId="0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/>
    </xf>
    <xf numFmtId="4" fontId="7" fillId="0" borderId="0" xfId="0" applyNumberFormat="1" applyFont="1" applyBorder="1" applyAlignment="1" applyProtection="1">
      <alignment horizontal="right"/>
    </xf>
    <xf numFmtId="170" fontId="7" fillId="0" borderId="0" xfId="0" applyNumberFormat="1" applyFont="1" applyBorder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03" xfId="0" applyFont="1" applyBorder="1" applyAlignment="1">
      <alignment vertical="center"/>
    </xf>
    <xf numFmtId="0" fontId="103" fillId="0" borderId="0" xfId="0" applyFont="1" applyAlignment="1">
      <alignment horizontal="left" vertical="center"/>
    </xf>
    <xf numFmtId="0" fontId="0" fillId="0" borderId="103" xfId="0" applyBorder="1" applyAlignment="1">
      <alignment vertical="center"/>
    </xf>
    <xf numFmtId="0" fontId="0" fillId="0" borderId="0" xfId="0" applyAlignment="1">
      <alignment vertical="center"/>
    </xf>
    <xf numFmtId="0" fontId="105" fillId="0" borderId="0" xfId="0" applyFont="1" applyAlignment="1">
      <alignment horizontal="left" vertical="center"/>
    </xf>
    <xf numFmtId="173" fontId="105" fillId="0" borderId="0" xfId="0" applyNumberFormat="1" applyFont="1" applyAlignment="1">
      <alignment horizontal="left" vertical="center"/>
    </xf>
    <xf numFmtId="0" fontId="0" fillId="0" borderId="104" xfId="0" applyFont="1" applyBorder="1" applyAlignment="1">
      <alignment vertical="center"/>
    </xf>
    <xf numFmtId="0" fontId="0" fillId="0" borderId="105" xfId="0" applyFont="1" applyBorder="1" applyAlignment="1">
      <alignment vertical="center"/>
    </xf>
    <xf numFmtId="0" fontId="0" fillId="0" borderId="106" xfId="0" applyFont="1" applyBorder="1" applyAlignment="1">
      <alignment vertical="center"/>
    </xf>
    <xf numFmtId="0" fontId="0" fillId="0" borderId="101" xfId="0" applyFont="1" applyBorder="1" applyAlignment="1">
      <alignment vertical="center"/>
    </xf>
    <xf numFmtId="0" fontId="0" fillId="0" borderId="102" xfId="0" applyFont="1" applyBorder="1" applyAlignment="1">
      <alignment vertical="center"/>
    </xf>
    <xf numFmtId="0" fontId="105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103" xfId="0" applyFont="1" applyBorder="1" applyAlignment="1">
      <alignment horizontal="center" vertical="center" wrapText="1"/>
    </xf>
    <xf numFmtId="0" fontId="107" fillId="11" borderId="108" xfId="0" applyFont="1" applyFill="1" applyBorder="1" applyAlignment="1">
      <alignment horizontal="center" vertical="center" wrapText="1"/>
    </xf>
    <xf numFmtId="0" fontId="107" fillId="11" borderId="109" xfId="0" applyFont="1" applyFill="1" applyBorder="1" applyAlignment="1">
      <alignment horizontal="center" vertical="center" wrapText="1"/>
    </xf>
    <xf numFmtId="0" fontId="107" fillId="11" borderId="110" xfId="0" applyFont="1" applyFill="1" applyBorder="1" applyAlignment="1">
      <alignment horizontal="center" vertical="center" wrapText="1"/>
    </xf>
    <xf numFmtId="0" fontId="107" fillId="11" borderId="0" xfId="0" applyFont="1" applyFill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110" fillId="0" borderId="108" xfId="0" applyFont="1" applyBorder="1" applyAlignment="1">
      <alignment horizontal="center" vertical="center" wrapText="1"/>
    </xf>
    <xf numFmtId="0" fontId="110" fillId="0" borderId="109" xfId="0" applyFont="1" applyBorder="1" applyAlignment="1">
      <alignment horizontal="center" vertical="center" wrapText="1"/>
    </xf>
    <xf numFmtId="0" fontId="110" fillId="0" borderId="1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6" fillId="0" borderId="0" xfId="0" applyFont="1" applyAlignment="1">
      <alignment horizontal="left" vertical="center"/>
    </xf>
    <xf numFmtId="4" fontId="106" fillId="0" borderId="0" xfId="0" applyNumberFormat="1" applyFont="1" applyAlignment="1"/>
    <xf numFmtId="0" fontId="0" fillId="0" borderId="111" xfId="0" applyFont="1" applyBorder="1" applyAlignment="1">
      <alignment vertical="center"/>
    </xf>
    <xf numFmtId="0" fontId="0" fillId="0" borderId="104" xfId="0" applyBorder="1" applyAlignment="1">
      <alignment vertical="center"/>
    </xf>
    <xf numFmtId="174" fontId="111" fillId="0" borderId="104" xfId="0" applyNumberFormat="1" applyFont="1" applyBorder="1" applyAlignment="1"/>
    <xf numFmtId="174" fontId="111" fillId="0" borderId="112" xfId="0" applyNumberFormat="1" applyFont="1" applyBorder="1" applyAlignment="1"/>
    <xf numFmtId="4" fontId="112" fillId="0" borderId="0" xfId="0" applyNumberFormat="1" applyFont="1" applyAlignment="1">
      <alignment vertical="center"/>
    </xf>
    <xf numFmtId="0" fontId="113" fillId="0" borderId="0" xfId="0" applyFont="1" applyAlignment="1"/>
    <xf numFmtId="0" fontId="113" fillId="0" borderId="103" xfId="0" applyFont="1" applyBorder="1" applyAlignment="1"/>
    <xf numFmtId="0" fontId="113" fillId="0" borderId="0" xfId="0" applyFont="1" applyAlignment="1">
      <alignment horizontal="left"/>
    </xf>
    <xf numFmtId="0" fontId="108" fillId="0" borderId="0" xfId="0" applyFont="1" applyAlignment="1">
      <alignment horizontal="left"/>
    </xf>
    <xf numFmtId="4" fontId="108" fillId="0" borderId="0" xfId="0" applyNumberFormat="1" applyFont="1" applyAlignment="1"/>
    <xf numFmtId="0" fontId="113" fillId="0" borderId="113" xfId="0" applyFont="1" applyBorder="1" applyAlignment="1"/>
    <xf numFmtId="0" fontId="113" fillId="0" borderId="0" xfId="0" applyFont="1" applyBorder="1" applyAlignment="1"/>
    <xf numFmtId="174" fontId="113" fillId="0" borderId="0" xfId="0" applyNumberFormat="1" applyFont="1" applyBorder="1" applyAlignment="1"/>
    <xf numFmtId="174" fontId="113" fillId="0" borderId="114" xfId="0" applyNumberFormat="1" applyFont="1" applyBorder="1" applyAlignment="1"/>
    <xf numFmtId="0" fontId="113" fillId="0" borderId="0" xfId="0" applyFont="1" applyAlignment="1">
      <alignment horizontal="center"/>
    </xf>
    <xf numFmtId="4" fontId="113" fillId="0" borderId="0" xfId="0" applyNumberFormat="1" applyFont="1" applyAlignment="1">
      <alignment vertical="center"/>
    </xf>
    <xf numFmtId="0" fontId="109" fillId="0" borderId="0" xfId="0" applyFont="1" applyAlignment="1">
      <alignment horizontal="left"/>
    </xf>
    <xf numFmtId="4" fontId="109" fillId="0" borderId="0" xfId="0" applyNumberFormat="1" applyFont="1" applyAlignment="1"/>
    <xf numFmtId="0" fontId="0" fillId="0" borderId="103" xfId="0" applyFont="1" applyBorder="1" applyAlignment="1" applyProtection="1">
      <alignment vertical="center"/>
      <protection locked="0"/>
    </xf>
    <xf numFmtId="0" fontId="107" fillId="0" borderId="115" xfId="0" applyFont="1" applyBorder="1" applyAlignment="1" applyProtection="1">
      <alignment horizontal="center" vertical="center"/>
      <protection locked="0"/>
    </xf>
    <xf numFmtId="49" fontId="107" fillId="0" borderId="115" xfId="0" applyNumberFormat="1" applyFont="1" applyBorder="1" applyAlignment="1" applyProtection="1">
      <alignment horizontal="left" vertical="center" wrapText="1"/>
      <protection locked="0"/>
    </xf>
    <xf numFmtId="0" fontId="107" fillId="0" borderId="115" xfId="0" applyFont="1" applyBorder="1" applyAlignment="1" applyProtection="1">
      <alignment horizontal="left" vertical="center" wrapText="1"/>
      <protection locked="0"/>
    </xf>
    <xf numFmtId="0" fontId="107" fillId="0" borderId="115" xfId="0" applyFont="1" applyBorder="1" applyAlignment="1" applyProtection="1">
      <alignment horizontal="center" vertical="center" wrapText="1"/>
      <protection locked="0"/>
    </xf>
    <xf numFmtId="164" fontId="107" fillId="0" borderId="115" xfId="0" applyNumberFormat="1" applyFont="1" applyBorder="1" applyAlignment="1" applyProtection="1">
      <alignment vertical="center"/>
      <protection locked="0"/>
    </xf>
    <xf numFmtId="4" fontId="107" fillId="0" borderId="115" xfId="0" applyNumberFormat="1" applyFont="1" applyBorder="1" applyAlignment="1" applyProtection="1">
      <alignment vertical="center"/>
      <protection locked="0"/>
    </xf>
    <xf numFmtId="0" fontId="0" fillId="0" borderId="115" xfId="0" applyFont="1" applyBorder="1" applyAlignment="1" applyProtection="1">
      <alignment vertical="center"/>
      <protection locked="0"/>
    </xf>
    <xf numFmtId="0" fontId="110" fillId="0" borderId="113" xfId="0" applyFont="1" applyBorder="1" applyAlignment="1">
      <alignment horizontal="left" vertical="center"/>
    </xf>
    <xf numFmtId="0" fontId="110" fillId="0" borderId="0" xfId="0" applyFont="1" applyBorder="1" applyAlignment="1">
      <alignment horizontal="center" vertical="center"/>
    </xf>
    <xf numFmtId="174" fontId="110" fillId="0" borderId="0" xfId="0" applyNumberFormat="1" applyFont="1" applyBorder="1" applyAlignment="1">
      <alignment vertical="center"/>
    </xf>
    <xf numFmtId="174" fontId="110" fillId="0" borderId="114" xfId="0" applyNumberFormat="1" applyFont="1" applyBorder="1" applyAlignment="1">
      <alignment vertical="center"/>
    </xf>
    <xf numFmtId="0" fontId="10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14" fillId="0" borderId="0" xfId="0" applyFont="1" applyAlignment="1">
      <alignment horizontal="left" vertical="center"/>
    </xf>
    <xf numFmtId="0" fontId="115" fillId="0" borderId="0" xfId="0" applyFont="1" applyAlignment="1">
      <alignment horizontal="left" vertical="center" wrapText="1"/>
    </xf>
    <xf numFmtId="0" fontId="0" fillId="0" borderId="11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4" xfId="0" applyFont="1" applyBorder="1" applyAlignment="1">
      <alignment vertical="center"/>
    </xf>
    <xf numFmtId="0" fontId="116" fillId="0" borderId="115" xfId="0" applyFont="1" applyBorder="1" applyAlignment="1" applyProtection="1">
      <alignment horizontal="center" vertical="center"/>
      <protection locked="0"/>
    </xf>
    <xf numFmtId="49" fontId="116" fillId="0" borderId="115" xfId="0" applyNumberFormat="1" applyFont="1" applyBorder="1" applyAlignment="1" applyProtection="1">
      <alignment horizontal="left" vertical="center" wrapText="1"/>
      <protection locked="0"/>
    </xf>
    <xf numFmtId="0" fontId="116" fillId="0" borderId="115" xfId="0" applyFont="1" applyBorder="1" applyAlignment="1" applyProtection="1">
      <alignment horizontal="left" vertical="center" wrapText="1"/>
      <protection locked="0"/>
    </xf>
    <xf numFmtId="0" fontId="116" fillId="0" borderId="115" xfId="0" applyFont="1" applyBorder="1" applyAlignment="1" applyProtection="1">
      <alignment horizontal="center" vertical="center" wrapText="1"/>
      <protection locked="0"/>
    </xf>
    <xf numFmtId="164" fontId="116" fillId="0" borderId="115" xfId="0" applyNumberFormat="1" applyFont="1" applyBorder="1" applyAlignment="1" applyProtection="1">
      <alignment vertical="center"/>
      <protection locked="0"/>
    </xf>
    <xf numFmtId="4" fontId="116" fillId="0" borderId="115" xfId="0" applyNumberFormat="1" applyFont="1" applyBorder="1" applyAlignment="1" applyProtection="1">
      <alignment vertical="center"/>
      <protection locked="0"/>
    </xf>
    <xf numFmtId="0" fontId="117" fillId="0" borderId="115" xfId="0" applyFont="1" applyBorder="1" applyAlignment="1" applyProtection="1">
      <alignment vertical="center"/>
      <protection locked="0"/>
    </xf>
    <xf numFmtId="0" fontId="117" fillId="0" borderId="103" xfId="0" applyFont="1" applyBorder="1" applyAlignment="1">
      <alignment vertical="center"/>
    </xf>
    <xf numFmtId="0" fontId="116" fillId="0" borderId="113" xfId="0" applyFont="1" applyBorder="1" applyAlignment="1">
      <alignment horizontal="left" vertical="center"/>
    </xf>
    <xf numFmtId="0" fontId="116" fillId="0" borderId="0" xfId="0" applyFont="1" applyBorder="1" applyAlignment="1">
      <alignment horizontal="center" vertical="center"/>
    </xf>
    <xf numFmtId="0" fontId="118" fillId="0" borderId="0" xfId="0" applyFont="1" applyFill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103" xfId="0" applyFont="1" applyBorder="1" applyAlignment="1" applyProtection="1">
      <alignment vertical="center"/>
    </xf>
    <xf numFmtId="0" fontId="10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05" fillId="0" borderId="0" xfId="0" applyFont="1" applyAlignment="1" applyProtection="1">
      <alignment horizontal="left" vertical="center"/>
    </xf>
    <xf numFmtId="173" fontId="105" fillId="0" borderId="0" xfId="0" applyNumberFormat="1" applyFont="1" applyAlignment="1" applyProtection="1">
      <alignment horizontal="left" vertical="center"/>
    </xf>
    <xf numFmtId="0" fontId="105" fillId="0" borderId="0" xfId="0" applyFont="1" applyAlignment="1" applyProtection="1">
      <alignment horizontal="left" vertical="center" wrapText="1"/>
    </xf>
    <xf numFmtId="0" fontId="0" fillId="0" borderId="105" xfId="0" applyFont="1" applyBorder="1" applyAlignment="1" applyProtection="1">
      <alignment vertical="center"/>
    </xf>
    <xf numFmtId="0" fontId="0" fillId="0" borderId="106" xfId="0" applyFont="1" applyBorder="1" applyAlignment="1" applyProtection="1">
      <alignment vertical="center"/>
    </xf>
    <xf numFmtId="0" fontId="0" fillId="0" borderId="101" xfId="0" applyFont="1" applyBorder="1" applyAlignment="1" applyProtection="1">
      <alignment vertical="center"/>
    </xf>
    <xf numFmtId="0" fontId="0" fillId="0" borderId="102" xfId="0" applyFont="1" applyBorder="1" applyAlignment="1" applyProtection="1">
      <alignment vertical="center"/>
    </xf>
    <xf numFmtId="0" fontId="0" fillId="0" borderId="103" xfId="0" applyFont="1" applyBorder="1" applyAlignment="1" applyProtection="1">
      <alignment horizontal="center" vertical="center" wrapText="1"/>
    </xf>
    <xf numFmtId="0" fontId="107" fillId="11" borderId="108" xfId="0" applyFont="1" applyFill="1" applyBorder="1" applyAlignment="1" applyProtection="1">
      <alignment horizontal="center" vertical="center" wrapText="1"/>
    </xf>
    <xf numFmtId="0" fontId="107" fillId="11" borderId="109" xfId="0" applyFont="1" applyFill="1" applyBorder="1" applyAlignment="1" applyProtection="1">
      <alignment horizontal="center" vertical="center" wrapText="1"/>
    </xf>
    <xf numFmtId="0" fontId="107" fillId="11" borderId="110" xfId="0" applyFont="1" applyFill="1" applyBorder="1" applyAlignment="1" applyProtection="1">
      <alignment horizontal="center" vertical="center" wrapText="1"/>
    </xf>
    <xf numFmtId="0" fontId="107" fillId="11" borderId="0" xfId="0" applyFont="1" applyFill="1" applyAlignment="1" applyProtection="1">
      <alignment horizontal="center" vertical="center" wrapText="1"/>
    </xf>
    <xf numFmtId="0" fontId="110" fillId="0" borderId="108" xfId="0" applyFont="1" applyBorder="1" applyAlignment="1" applyProtection="1">
      <alignment horizontal="center" vertical="center" wrapText="1"/>
    </xf>
    <xf numFmtId="0" fontId="110" fillId="0" borderId="109" xfId="0" applyFont="1" applyBorder="1" applyAlignment="1" applyProtection="1">
      <alignment horizontal="center" vertical="center" wrapText="1"/>
    </xf>
    <xf numFmtId="0" fontId="110" fillId="0" borderId="110" xfId="0" applyFont="1" applyBorder="1" applyAlignment="1" applyProtection="1">
      <alignment horizontal="center" vertical="center" wrapText="1"/>
    </xf>
    <xf numFmtId="0" fontId="106" fillId="0" borderId="0" xfId="0" applyFont="1" applyAlignment="1" applyProtection="1">
      <alignment horizontal="left" vertical="center"/>
    </xf>
    <xf numFmtId="4" fontId="106" fillId="0" borderId="0" xfId="0" applyNumberFormat="1" applyFont="1" applyAlignment="1" applyProtection="1"/>
    <xf numFmtId="0" fontId="0" fillId="0" borderId="111" xfId="0" applyFont="1" applyBorder="1" applyAlignment="1" applyProtection="1">
      <alignment vertical="center"/>
    </xf>
    <xf numFmtId="0" fontId="0" fillId="0" borderId="104" xfId="0" applyBorder="1" applyAlignment="1" applyProtection="1">
      <alignment vertical="center"/>
    </xf>
    <xf numFmtId="0" fontId="0" fillId="0" borderId="104" xfId="0" applyFont="1" applyBorder="1" applyAlignment="1" applyProtection="1">
      <alignment vertical="center"/>
    </xf>
    <xf numFmtId="4" fontId="111" fillId="0" borderId="104" xfId="0" applyNumberFormat="1" applyFont="1" applyBorder="1" applyAlignment="1" applyProtection="1"/>
    <xf numFmtId="174" fontId="111" fillId="0" borderId="104" xfId="0" applyNumberFormat="1" applyFont="1" applyBorder="1" applyAlignment="1" applyProtection="1"/>
    <xf numFmtId="174" fontId="111" fillId="0" borderId="112" xfId="0" applyNumberFormat="1" applyFont="1" applyBorder="1" applyAlignment="1" applyProtection="1"/>
    <xf numFmtId="0" fontId="113" fillId="0" borderId="103" xfId="0" applyFont="1" applyBorder="1" applyAlignment="1" applyProtection="1"/>
    <xf numFmtId="0" fontId="113" fillId="0" borderId="0" xfId="0" applyFont="1" applyAlignment="1" applyProtection="1"/>
    <xf numFmtId="0" fontId="113" fillId="0" borderId="0" xfId="0" applyFont="1" applyAlignment="1" applyProtection="1">
      <alignment horizontal="left"/>
    </xf>
    <xf numFmtId="0" fontId="108" fillId="0" borderId="0" xfId="0" applyFont="1" applyAlignment="1" applyProtection="1">
      <alignment horizontal="left"/>
    </xf>
    <xf numFmtId="4" fontId="108" fillId="0" borderId="0" xfId="0" applyNumberFormat="1" applyFont="1" applyAlignment="1" applyProtection="1"/>
    <xf numFmtId="0" fontId="113" fillId="0" borderId="113" xfId="0" applyFont="1" applyBorder="1" applyAlignment="1" applyProtection="1"/>
    <xf numFmtId="0" fontId="113" fillId="0" borderId="0" xfId="0" applyFont="1" applyBorder="1" applyAlignment="1" applyProtection="1"/>
    <xf numFmtId="4" fontId="113" fillId="0" borderId="0" xfId="0" applyNumberFormat="1" applyFont="1" applyBorder="1" applyAlignment="1" applyProtection="1"/>
    <xf numFmtId="174" fontId="113" fillId="0" borderId="0" xfId="0" applyNumberFormat="1" applyFont="1" applyBorder="1" applyAlignment="1" applyProtection="1"/>
    <xf numFmtId="174" fontId="113" fillId="0" borderId="114" xfId="0" applyNumberFormat="1" applyFont="1" applyBorder="1" applyAlignment="1" applyProtection="1"/>
    <xf numFmtId="0" fontId="109" fillId="0" borderId="0" xfId="0" applyFont="1" applyAlignment="1" applyProtection="1">
      <alignment horizontal="left"/>
    </xf>
    <xf numFmtId="4" fontId="109" fillId="0" borderId="0" xfId="0" applyNumberFormat="1" applyFont="1" applyAlignment="1" applyProtection="1"/>
    <xf numFmtId="0" fontId="107" fillId="0" borderId="115" xfId="0" applyFont="1" applyBorder="1" applyAlignment="1" applyProtection="1">
      <alignment horizontal="center" vertical="center"/>
    </xf>
    <xf numFmtId="49" fontId="107" fillId="0" borderId="115" xfId="0" applyNumberFormat="1" applyFont="1" applyBorder="1" applyAlignment="1" applyProtection="1">
      <alignment horizontal="left" vertical="center" wrapText="1"/>
    </xf>
    <xf numFmtId="0" fontId="107" fillId="0" borderId="115" xfId="0" applyFont="1" applyBorder="1" applyAlignment="1" applyProtection="1">
      <alignment horizontal="left" vertical="center" wrapText="1"/>
    </xf>
    <xf numFmtId="0" fontId="107" fillId="0" borderId="115" xfId="0" applyFont="1" applyBorder="1" applyAlignment="1" applyProtection="1">
      <alignment horizontal="center" vertical="center" wrapText="1"/>
    </xf>
    <xf numFmtId="164" fontId="107" fillId="0" borderId="115" xfId="0" applyNumberFormat="1" applyFont="1" applyBorder="1" applyAlignment="1" applyProtection="1">
      <alignment vertical="center"/>
    </xf>
    <xf numFmtId="4" fontId="107" fillId="0" borderId="115" xfId="0" applyNumberFormat="1" applyFont="1" applyBorder="1" applyAlignment="1" applyProtection="1">
      <alignment vertical="center"/>
    </xf>
    <xf numFmtId="0" fontId="0" fillId="0" borderId="115" xfId="0" applyFont="1" applyBorder="1" applyAlignment="1" applyProtection="1">
      <alignment vertical="center"/>
    </xf>
    <xf numFmtId="0" fontId="110" fillId="0" borderId="113" xfId="0" applyFont="1" applyBorder="1" applyAlignment="1" applyProtection="1">
      <alignment horizontal="left" vertical="center"/>
    </xf>
    <xf numFmtId="0" fontId="110" fillId="0" borderId="0" xfId="0" applyFont="1" applyBorder="1" applyAlignment="1" applyProtection="1">
      <alignment horizontal="center" vertical="center"/>
    </xf>
    <xf numFmtId="4" fontId="110" fillId="0" borderId="0" xfId="0" applyNumberFormat="1" applyFont="1" applyBorder="1" applyAlignment="1" applyProtection="1">
      <alignment vertical="center"/>
    </xf>
    <xf numFmtId="174" fontId="110" fillId="0" borderId="0" xfId="0" applyNumberFormat="1" applyFont="1" applyBorder="1" applyAlignment="1" applyProtection="1">
      <alignment vertical="center"/>
    </xf>
    <xf numFmtId="174" fontId="110" fillId="0" borderId="114" xfId="0" applyNumberFormat="1" applyFont="1" applyBorder="1" applyAlignment="1" applyProtection="1">
      <alignment vertical="center"/>
    </xf>
    <xf numFmtId="0" fontId="119" fillId="0" borderId="0" xfId="0" applyFont="1" applyAlignment="1">
      <alignment vertical="center"/>
    </xf>
    <xf numFmtId="0" fontId="119" fillId="0" borderId="103" xfId="0" applyFont="1" applyBorder="1" applyAlignment="1" applyProtection="1">
      <alignment vertical="center"/>
    </xf>
    <xf numFmtId="0" fontId="119" fillId="0" borderId="0" xfId="0" applyFont="1" applyAlignment="1" applyProtection="1">
      <alignment vertical="center"/>
    </xf>
    <xf numFmtId="0" fontId="114" fillId="0" borderId="0" xfId="0" applyFont="1" applyAlignment="1" applyProtection="1">
      <alignment horizontal="left" vertical="center"/>
    </xf>
    <xf numFmtId="0" fontId="119" fillId="0" borderId="0" xfId="0" applyFont="1" applyAlignment="1" applyProtection="1">
      <alignment horizontal="left" vertical="center"/>
    </xf>
    <xf numFmtId="0" fontId="119" fillId="0" borderId="0" xfId="0" applyFont="1" applyAlignment="1" applyProtection="1">
      <alignment horizontal="left" vertical="center" wrapText="1"/>
    </xf>
    <xf numFmtId="0" fontId="119" fillId="0" borderId="103" xfId="0" applyFont="1" applyBorder="1" applyAlignment="1">
      <alignment vertical="center"/>
    </xf>
    <xf numFmtId="0" fontId="119" fillId="0" borderId="113" xfId="0" applyFont="1" applyBorder="1" applyAlignment="1" applyProtection="1">
      <alignment vertical="center"/>
    </xf>
    <xf numFmtId="0" fontId="119" fillId="0" borderId="0" xfId="0" applyFont="1" applyBorder="1" applyAlignment="1" applyProtection="1">
      <alignment vertical="center"/>
    </xf>
    <xf numFmtId="0" fontId="119" fillId="0" borderId="114" xfId="0" applyFont="1" applyBorder="1" applyAlignment="1" applyProtection="1">
      <alignment vertical="center"/>
    </xf>
    <xf numFmtId="0" fontId="119" fillId="0" borderId="0" xfId="0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103" xfId="0" applyFont="1" applyBorder="1" applyAlignment="1" applyProtection="1">
      <alignment vertical="center"/>
    </xf>
    <xf numFmtId="0" fontId="120" fillId="0" borderId="0" xfId="0" applyFont="1" applyAlignment="1" applyProtection="1">
      <alignment vertical="center"/>
    </xf>
    <xf numFmtId="0" fontId="120" fillId="0" borderId="0" xfId="0" applyFont="1" applyAlignment="1" applyProtection="1">
      <alignment horizontal="left" vertical="center"/>
    </xf>
    <xf numFmtId="0" fontId="120" fillId="0" borderId="0" xfId="0" applyFont="1" applyAlignment="1" applyProtection="1">
      <alignment horizontal="left" vertical="center" wrapText="1"/>
    </xf>
    <xf numFmtId="164" fontId="120" fillId="0" borderId="0" xfId="0" applyNumberFormat="1" applyFont="1" applyAlignment="1" applyProtection="1">
      <alignment vertical="center"/>
    </xf>
    <xf numFmtId="0" fontId="120" fillId="0" borderId="103" xfId="0" applyFont="1" applyBorder="1" applyAlignment="1">
      <alignment vertical="center"/>
    </xf>
    <xf numFmtId="0" fontId="120" fillId="0" borderId="113" xfId="0" applyFont="1" applyBorder="1" applyAlignment="1" applyProtection="1">
      <alignment vertical="center"/>
    </xf>
    <xf numFmtId="0" fontId="120" fillId="0" borderId="0" xfId="0" applyFont="1" applyBorder="1" applyAlignment="1" applyProtection="1">
      <alignment vertical="center"/>
    </xf>
    <xf numFmtId="0" fontId="120" fillId="0" borderId="114" xfId="0" applyFont="1" applyBorder="1" applyAlignment="1" applyProtection="1">
      <alignment vertical="center"/>
    </xf>
    <xf numFmtId="0" fontId="120" fillId="0" borderId="0" xfId="0" applyFont="1" applyAlignment="1">
      <alignment horizontal="left" vertical="center"/>
    </xf>
    <xf numFmtId="0" fontId="121" fillId="0" borderId="0" xfId="0" applyFont="1" applyAlignment="1">
      <alignment vertical="center"/>
    </xf>
    <xf numFmtId="0" fontId="121" fillId="0" borderId="103" xfId="0" applyFont="1" applyBorder="1" applyAlignment="1" applyProtection="1">
      <alignment vertical="center"/>
    </xf>
    <xf numFmtId="0" fontId="121" fillId="0" borderId="0" xfId="0" applyFont="1" applyAlignment="1" applyProtection="1">
      <alignment vertical="center"/>
    </xf>
    <xf numFmtId="0" fontId="121" fillId="0" borderId="0" xfId="0" applyFont="1" applyAlignment="1" applyProtection="1">
      <alignment horizontal="left" vertical="center"/>
    </xf>
    <xf numFmtId="0" fontId="121" fillId="0" borderId="0" xfId="0" applyFont="1" applyAlignment="1" applyProtection="1">
      <alignment horizontal="left" vertical="center" wrapText="1"/>
    </xf>
    <xf numFmtId="164" fontId="121" fillId="0" borderId="0" xfId="0" applyNumberFormat="1" applyFont="1" applyAlignment="1" applyProtection="1">
      <alignment vertical="center"/>
    </xf>
    <xf numFmtId="0" fontId="121" fillId="0" borderId="103" xfId="0" applyFont="1" applyBorder="1" applyAlignment="1">
      <alignment vertical="center"/>
    </xf>
    <xf numFmtId="0" fontId="121" fillId="0" borderId="113" xfId="0" applyFont="1" applyBorder="1" applyAlignment="1" applyProtection="1">
      <alignment vertical="center"/>
    </xf>
    <xf numFmtId="0" fontId="121" fillId="0" borderId="0" xfId="0" applyFont="1" applyBorder="1" applyAlignment="1" applyProtection="1">
      <alignment vertical="center"/>
    </xf>
    <xf numFmtId="0" fontId="121" fillId="0" borderId="114" xfId="0" applyFont="1" applyBorder="1" applyAlignment="1" applyProtection="1">
      <alignment vertical="center"/>
    </xf>
    <xf numFmtId="0" fontId="121" fillId="0" borderId="0" xfId="0" applyFont="1" applyAlignment="1">
      <alignment horizontal="left" vertical="center"/>
    </xf>
    <xf numFmtId="0" fontId="116" fillId="0" borderId="115" xfId="0" applyFont="1" applyBorder="1" applyAlignment="1" applyProtection="1">
      <alignment horizontal="center" vertical="center"/>
    </xf>
    <xf numFmtId="49" fontId="116" fillId="0" borderId="115" xfId="0" applyNumberFormat="1" applyFont="1" applyBorder="1" applyAlignment="1" applyProtection="1">
      <alignment horizontal="left" vertical="center" wrapText="1"/>
    </xf>
    <xf numFmtId="0" fontId="116" fillId="0" borderId="115" xfId="0" applyFont="1" applyBorder="1" applyAlignment="1" applyProtection="1">
      <alignment horizontal="left" vertical="center" wrapText="1"/>
    </xf>
    <xf numFmtId="0" fontId="116" fillId="0" borderId="115" xfId="0" applyFont="1" applyBorder="1" applyAlignment="1" applyProtection="1">
      <alignment horizontal="center" vertical="center" wrapText="1"/>
    </xf>
    <xf numFmtId="164" fontId="116" fillId="0" borderId="115" xfId="0" applyNumberFormat="1" applyFont="1" applyBorder="1" applyAlignment="1" applyProtection="1">
      <alignment vertical="center"/>
    </xf>
    <xf numFmtId="4" fontId="116" fillId="0" borderId="115" xfId="0" applyNumberFormat="1" applyFont="1" applyBorder="1" applyAlignment="1" applyProtection="1">
      <alignment vertical="center"/>
    </xf>
    <xf numFmtId="0" fontId="117" fillId="0" borderId="115" xfId="0" applyFont="1" applyBorder="1" applyAlignment="1" applyProtection="1">
      <alignment vertical="center"/>
    </xf>
    <xf numFmtId="0" fontId="116" fillId="0" borderId="113" xfId="0" applyFont="1" applyBorder="1" applyAlignment="1" applyProtection="1">
      <alignment horizontal="left" vertical="center"/>
    </xf>
    <xf numFmtId="0" fontId="110" fillId="0" borderId="116" xfId="0" applyFont="1" applyBorder="1" applyAlignment="1" applyProtection="1">
      <alignment horizontal="left" vertical="center"/>
    </xf>
    <xf numFmtId="0" fontId="110" fillId="0" borderId="107" xfId="0" applyFont="1" applyBorder="1" applyAlignment="1" applyProtection="1">
      <alignment horizontal="center" vertical="center"/>
    </xf>
    <xf numFmtId="4" fontId="110" fillId="0" borderId="107" xfId="0" applyNumberFormat="1" applyFont="1" applyBorder="1" applyAlignment="1" applyProtection="1">
      <alignment vertical="center"/>
    </xf>
    <xf numFmtId="174" fontId="110" fillId="0" borderId="107" xfId="0" applyNumberFormat="1" applyFont="1" applyBorder="1" applyAlignment="1" applyProtection="1">
      <alignment vertical="center"/>
    </xf>
    <xf numFmtId="174" fontId="110" fillId="0" borderId="117" xfId="0" applyNumberFormat="1" applyFont="1" applyBorder="1" applyAlignment="1" applyProtection="1">
      <alignment vertical="center"/>
    </xf>
    <xf numFmtId="39" fontId="29" fillId="0" borderId="12" xfId="0" applyNumberFormat="1" applyFont="1" applyBorder="1" applyAlignment="1" applyProtection="1">
      <alignment horizontal="right"/>
    </xf>
    <xf numFmtId="39" fontId="122" fillId="0" borderId="12" xfId="0" applyNumberFormat="1" applyFont="1" applyBorder="1" applyAlignment="1" applyProtection="1">
      <alignment horizontal="right"/>
    </xf>
    <xf numFmtId="39" fontId="76" fillId="0" borderId="12" xfId="0" applyNumberFormat="1" applyFont="1" applyBorder="1" applyAlignment="1" applyProtection="1">
      <alignment horizontal="right"/>
    </xf>
    <xf numFmtId="39" fontId="76" fillId="0" borderId="2" xfId="0" applyNumberFormat="1" applyFont="1" applyBorder="1" applyAlignment="1" applyProtection="1">
      <alignment horizontal="right"/>
    </xf>
    <xf numFmtId="0" fontId="0" fillId="0" borderId="0" xfId="0" applyFont="1" applyAlignment="1">
      <alignment vertical="center"/>
    </xf>
    <xf numFmtId="164" fontId="106" fillId="0" borderId="0" xfId="0" applyNumberFormat="1" applyFont="1" applyAlignment="1"/>
    <xf numFmtId="164" fontId="112" fillId="0" borderId="0" xfId="0" applyNumberFormat="1" applyFont="1" applyAlignment="1">
      <alignment vertical="center"/>
    </xf>
    <xf numFmtId="164" fontId="108" fillId="0" borderId="0" xfId="0" applyNumberFormat="1" applyFont="1" applyAlignment="1"/>
    <xf numFmtId="164" fontId="113" fillId="0" borderId="0" xfId="0" applyNumberFormat="1" applyFont="1" applyAlignment="1">
      <alignment vertical="center"/>
    </xf>
    <xf numFmtId="164" fontId="109" fillId="0" borderId="0" xfId="0" applyNumberFormat="1" applyFont="1" applyAlignment="1"/>
    <xf numFmtId="164" fontId="0" fillId="0" borderId="0" xfId="0" applyNumberFormat="1" applyFont="1" applyAlignment="1">
      <alignment vertical="center"/>
    </xf>
    <xf numFmtId="0" fontId="110" fillId="0" borderId="116" xfId="0" applyFont="1" applyBorder="1" applyAlignment="1">
      <alignment horizontal="left" vertical="center"/>
    </xf>
    <xf numFmtId="0" fontId="110" fillId="0" borderId="107" xfId="0" applyFont="1" applyBorder="1" applyAlignment="1">
      <alignment horizontal="center" vertical="center"/>
    </xf>
    <xf numFmtId="174" fontId="110" fillId="0" borderId="107" xfId="0" applyNumberFormat="1" applyFont="1" applyBorder="1" applyAlignment="1">
      <alignment vertical="center"/>
    </xf>
    <xf numFmtId="174" fontId="110" fillId="0" borderId="117" xfId="0" applyNumberFormat="1" applyFont="1" applyBorder="1" applyAlignment="1">
      <alignment vertical="center"/>
    </xf>
    <xf numFmtId="0" fontId="123" fillId="0" borderId="0" xfId="0" applyFont="1" applyAlignment="1">
      <alignment vertical="center"/>
    </xf>
    <xf numFmtId="0" fontId="107" fillId="0" borderId="0" xfId="0" applyFont="1" applyAlignment="1">
      <alignment horizontal="left" vertical="center" wrapText="1"/>
    </xf>
    <xf numFmtId="0" fontId="63" fillId="0" borderId="0" xfId="0" applyFont="1" applyAlignment="1" applyProtection="1">
      <alignment horizontal="left"/>
    </xf>
    <xf numFmtId="0" fontId="64" fillId="0" borderId="0" xfId="0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0" fontId="64" fillId="0" borderId="0" xfId="0" applyFont="1" applyAlignment="1" applyProtection="1">
      <alignment horizontal="center" vertical="top" wrapText="1"/>
    </xf>
    <xf numFmtId="0" fontId="64" fillId="0" borderId="0" xfId="0" applyFont="1" applyAlignment="1" applyProtection="1">
      <alignment horizontal="left" vertical="top" wrapText="1"/>
    </xf>
    <xf numFmtId="167" fontId="64" fillId="0" borderId="0" xfId="0" applyNumberFormat="1" applyFont="1" applyAlignment="1" applyProtection="1">
      <alignment horizontal="right" vertical="top"/>
    </xf>
    <xf numFmtId="39" fontId="64" fillId="0" borderId="0" xfId="0" applyNumberFormat="1" applyFont="1" applyAlignment="1" applyProtection="1">
      <alignment horizontal="right" vertical="top"/>
    </xf>
    <xf numFmtId="0" fontId="64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/>
    </xf>
    <xf numFmtId="0" fontId="64" fillId="12" borderId="2" xfId="0" applyFont="1" applyFill="1" applyBorder="1" applyAlignment="1" applyProtection="1">
      <alignment horizontal="center" vertical="center" wrapText="1"/>
    </xf>
    <xf numFmtId="0" fontId="125" fillId="0" borderId="0" xfId="0" applyFont="1" applyAlignment="1" applyProtection="1">
      <alignment horizontal="left"/>
    </xf>
    <xf numFmtId="37" fontId="126" fillId="0" borderId="0" xfId="0" applyNumberFormat="1" applyFont="1" applyAlignment="1" applyProtection="1">
      <alignment horizontal="center"/>
      <protection locked="0"/>
    </xf>
    <xf numFmtId="0" fontId="126" fillId="0" borderId="0" xfId="0" applyFont="1" applyAlignment="1" applyProtection="1">
      <alignment horizontal="center" wrapText="1"/>
      <protection locked="0"/>
    </xf>
    <xf numFmtId="0" fontId="126" fillId="0" borderId="0" xfId="0" applyFont="1" applyAlignment="1" applyProtection="1">
      <alignment horizontal="left" wrapText="1"/>
      <protection locked="0"/>
    </xf>
    <xf numFmtId="167" fontId="126" fillId="0" borderId="0" xfId="0" applyNumberFormat="1" applyFont="1" applyAlignment="1" applyProtection="1">
      <alignment horizontal="right"/>
      <protection locked="0"/>
    </xf>
    <xf numFmtId="39" fontId="126" fillId="0" borderId="0" xfId="0" applyNumberFormat="1" applyFont="1" applyAlignment="1" applyProtection="1">
      <alignment horizontal="right"/>
      <protection locked="0"/>
    </xf>
    <xf numFmtId="37" fontId="127" fillId="0" borderId="0" xfId="0" applyNumberFormat="1" applyFont="1" applyAlignment="1" applyProtection="1">
      <alignment horizontal="center"/>
      <protection locked="0"/>
    </xf>
    <xf numFmtId="0" fontId="127" fillId="0" borderId="0" xfId="0" applyFont="1" applyAlignment="1" applyProtection="1">
      <alignment horizontal="center" wrapText="1"/>
      <protection locked="0"/>
    </xf>
    <xf numFmtId="0" fontId="127" fillId="0" borderId="0" xfId="0" applyFont="1" applyAlignment="1" applyProtection="1">
      <alignment horizontal="left" wrapText="1"/>
      <protection locked="0"/>
    </xf>
    <xf numFmtId="167" fontId="127" fillId="0" borderId="0" xfId="0" applyNumberFormat="1" applyFont="1" applyAlignment="1" applyProtection="1">
      <alignment horizontal="right"/>
      <protection locked="0"/>
    </xf>
    <xf numFmtId="39" fontId="127" fillId="0" borderId="0" xfId="0" applyNumberFormat="1" applyFont="1" applyAlignment="1" applyProtection="1">
      <alignment horizontal="right"/>
      <protection locked="0"/>
    </xf>
    <xf numFmtId="37" fontId="64" fillId="0" borderId="2" xfId="0" applyNumberFormat="1" applyFont="1" applyBorder="1" applyAlignment="1" applyProtection="1">
      <alignment horizontal="center" vertical="center"/>
      <protection locked="0"/>
    </xf>
    <xf numFmtId="0" fontId="64" fillId="0" borderId="2" xfId="0" applyFont="1" applyBorder="1" applyAlignment="1" applyProtection="1">
      <alignment horizontal="center" vertical="center" wrapText="1"/>
      <protection locked="0"/>
    </xf>
    <xf numFmtId="0" fontId="64" fillId="0" borderId="2" xfId="0" applyFont="1" applyBorder="1" applyAlignment="1" applyProtection="1">
      <alignment horizontal="left" vertical="center" wrapText="1"/>
      <protection locked="0"/>
    </xf>
    <xf numFmtId="167" fontId="64" fillId="0" borderId="2" xfId="0" applyNumberFormat="1" applyFont="1" applyBorder="1" applyAlignment="1" applyProtection="1">
      <alignment horizontal="right" vertical="center"/>
      <protection locked="0"/>
    </xf>
    <xf numFmtId="39" fontId="64" fillId="0" borderId="2" xfId="0" applyNumberFormat="1" applyFont="1" applyBorder="1" applyAlignment="1" applyProtection="1">
      <alignment horizontal="right" vertical="center"/>
      <protection locked="0"/>
    </xf>
    <xf numFmtId="37" fontId="128" fillId="0" borderId="2" xfId="0" applyNumberFormat="1" applyFont="1" applyBorder="1" applyAlignment="1" applyProtection="1">
      <alignment horizontal="center"/>
      <protection locked="0"/>
    </xf>
    <xf numFmtId="0" fontId="128" fillId="0" borderId="2" xfId="0" applyFont="1" applyBorder="1" applyAlignment="1" applyProtection="1">
      <alignment horizontal="center" wrapText="1"/>
      <protection locked="0"/>
    </xf>
    <xf numFmtId="0" fontId="128" fillId="0" borderId="2" xfId="0" applyFont="1" applyBorder="1" applyAlignment="1" applyProtection="1">
      <alignment horizontal="left" wrapText="1"/>
      <protection locked="0"/>
    </xf>
    <xf numFmtId="167" fontId="128" fillId="0" borderId="2" xfId="0" applyNumberFormat="1" applyFont="1" applyBorder="1" applyAlignment="1" applyProtection="1">
      <alignment horizontal="right"/>
      <protection locked="0"/>
    </xf>
    <xf numFmtId="39" fontId="128" fillId="0" borderId="2" xfId="0" applyNumberFormat="1" applyFont="1" applyBorder="1" applyAlignment="1" applyProtection="1">
      <alignment horizontal="right"/>
      <protection locked="0"/>
    </xf>
    <xf numFmtId="37" fontId="23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left" wrapText="1"/>
      <protection locked="0"/>
    </xf>
    <xf numFmtId="167" fontId="23" fillId="0" borderId="0" xfId="0" applyNumberFormat="1" applyFont="1" applyAlignment="1" applyProtection="1">
      <alignment horizontal="right"/>
      <protection locked="0"/>
    </xf>
    <xf numFmtId="39" fontId="23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7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37" fontId="129" fillId="0" borderId="0" xfId="0" applyNumberFormat="1" applyFont="1" applyAlignment="1" applyProtection="1">
      <alignment horizontal="center" vertical="center"/>
      <protection locked="0"/>
    </xf>
    <xf numFmtId="0" fontId="129" fillId="0" borderId="0" xfId="0" applyFont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left" vertical="center" wrapText="1"/>
      <protection locked="0"/>
    </xf>
    <xf numFmtId="167" fontId="129" fillId="0" borderId="0" xfId="0" applyNumberFormat="1" applyFont="1" applyAlignment="1" applyProtection="1">
      <alignment horizontal="right" vertical="center"/>
      <protection locked="0"/>
    </xf>
    <xf numFmtId="39" fontId="129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top" wrapText="1"/>
    </xf>
    <xf numFmtId="167" fontId="12" fillId="0" borderId="0" xfId="0" applyNumberFormat="1" applyFont="1" applyAlignment="1" applyProtection="1">
      <alignment horizontal="right" vertical="top"/>
    </xf>
    <xf numFmtId="39" fontId="12" fillId="0" borderId="0" xfId="0" applyNumberFormat="1" applyFont="1" applyAlignment="1" applyProtection="1">
      <alignment horizontal="right" vertical="top"/>
    </xf>
    <xf numFmtId="0" fontId="12" fillId="13" borderId="2" xfId="0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left"/>
    </xf>
    <xf numFmtId="0" fontId="54" fillId="0" borderId="0" xfId="0" applyFont="1" applyAlignment="1" applyProtection="1">
      <alignment horizontal="left"/>
    </xf>
    <xf numFmtId="0" fontId="54" fillId="0" borderId="0" xfId="0" applyFont="1" applyAlignment="1" applyProtection="1">
      <alignment horizontal="left" vertical="center"/>
    </xf>
    <xf numFmtId="171" fontId="64" fillId="0" borderId="0" xfId="0" applyNumberFormat="1" applyFont="1" applyAlignment="1" applyProtection="1">
      <alignment horizontal="right" vertical="top"/>
    </xf>
    <xf numFmtId="0" fontId="130" fillId="12" borderId="2" xfId="0" applyFont="1" applyFill="1" applyBorder="1" applyAlignment="1" applyProtection="1">
      <alignment horizontal="center" vertical="center" wrapText="1"/>
    </xf>
    <xf numFmtId="37" fontId="126" fillId="0" borderId="0" xfId="0" applyNumberFormat="1" applyFont="1" applyAlignment="1" applyProtection="1">
      <alignment horizontal="right"/>
      <protection locked="0"/>
    </xf>
    <xf numFmtId="171" fontId="126" fillId="0" borderId="0" xfId="0" applyNumberFormat="1" applyFont="1" applyAlignment="1" applyProtection="1">
      <alignment horizontal="right"/>
      <protection locked="0"/>
    </xf>
    <xf numFmtId="37" fontId="127" fillId="0" borderId="0" xfId="0" applyNumberFormat="1" applyFont="1" applyAlignment="1" applyProtection="1">
      <alignment horizontal="right"/>
      <protection locked="0"/>
    </xf>
    <xf numFmtId="171" fontId="127" fillId="0" borderId="0" xfId="0" applyNumberFormat="1" applyFont="1" applyAlignment="1" applyProtection="1">
      <alignment horizontal="right"/>
      <protection locked="0"/>
    </xf>
    <xf numFmtId="0" fontId="64" fillId="0" borderId="2" xfId="0" applyFont="1" applyBorder="1" applyAlignment="1" applyProtection="1">
      <alignment horizontal="left" wrapText="1"/>
      <protection locked="0"/>
    </xf>
    <xf numFmtId="167" fontId="64" fillId="0" borderId="2" xfId="0" applyNumberFormat="1" applyFont="1" applyBorder="1" applyAlignment="1" applyProtection="1">
      <alignment horizontal="right"/>
      <protection locked="0"/>
    </xf>
    <xf numFmtId="39" fontId="64" fillId="0" borderId="2" xfId="0" applyNumberFormat="1" applyFont="1" applyBorder="1" applyAlignment="1" applyProtection="1">
      <alignment horizontal="right"/>
      <protection locked="0"/>
    </xf>
    <xf numFmtId="171" fontId="64" fillId="0" borderId="2" xfId="0" applyNumberFormat="1" applyFont="1" applyBorder="1" applyAlignment="1" applyProtection="1">
      <alignment horizontal="right"/>
      <protection locked="0"/>
    </xf>
    <xf numFmtId="37" fontId="131" fillId="0" borderId="0" xfId="0" applyNumberFormat="1" applyFont="1" applyAlignment="1" applyProtection="1">
      <alignment horizontal="right"/>
      <protection locked="0"/>
    </xf>
    <xf numFmtId="0" fontId="131" fillId="0" borderId="0" xfId="0" applyFont="1" applyAlignment="1" applyProtection="1">
      <alignment horizontal="left" wrapText="1"/>
      <protection locked="0"/>
    </xf>
    <xf numFmtId="167" fontId="131" fillId="0" borderId="0" xfId="0" applyNumberFormat="1" applyFont="1" applyAlignment="1" applyProtection="1">
      <alignment horizontal="right"/>
      <protection locked="0"/>
    </xf>
    <xf numFmtId="39" fontId="131" fillId="0" borderId="0" xfId="0" applyNumberFormat="1" applyFont="1" applyAlignment="1" applyProtection="1">
      <alignment horizontal="right"/>
      <protection locked="0"/>
    </xf>
    <xf numFmtId="171" fontId="131" fillId="0" borderId="0" xfId="0" applyNumberFormat="1" applyFont="1" applyAlignment="1" applyProtection="1">
      <alignment horizontal="right"/>
      <protection locked="0"/>
    </xf>
    <xf numFmtId="37" fontId="23" fillId="0" borderId="0" xfId="0" applyNumberFormat="1" applyFont="1" applyAlignment="1" applyProtection="1">
      <alignment horizontal="right"/>
      <protection locked="0"/>
    </xf>
    <xf numFmtId="171" fontId="23" fillId="0" borderId="0" xfId="0" applyNumberFormat="1" applyFont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right" vertical="top"/>
      <protection locked="0"/>
    </xf>
    <xf numFmtId="171" fontId="0" fillId="0" borderId="0" xfId="0" applyNumberFormat="1" applyAlignment="1" applyProtection="1">
      <alignment horizontal="right" vertical="top"/>
      <protection locked="0"/>
    </xf>
    <xf numFmtId="0" fontId="54" fillId="0" borderId="0" xfId="0" applyFont="1" applyAlignment="1" applyProtection="1">
      <alignment horizontal="center"/>
    </xf>
    <xf numFmtId="0" fontId="64" fillId="0" borderId="0" xfId="0" applyFont="1" applyAlignment="1" applyProtection="1">
      <alignment horizontal="center"/>
    </xf>
    <xf numFmtId="0" fontId="125" fillId="0" borderId="0" xfId="0" applyFont="1" applyAlignment="1" applyProtection="1">
      <alignment horizontal="center"/>
    </xf>
    <xf numFmtId="37" fontId="64" fillId="0" borderId="2" xfId="0" applyNumberFormat="1" applyFont="1" applyBorder="1" applyAlignment="1" applyProtection="1">
      <alignment horizontal="center"/>
      <protection locked="0"/>
    </xf>
    <xf numFmtId="37" fontId="131" fillId="0" borderId="0" xfId="0" applyNumberFormat="1" applyFont="1" applyAlignment="1" applyProtection="1">
      <alignment horizontal="center"/>
      <protection locked="0"/>
    </xf>
    <xf numFmtId="0" fontId="132" fillId="0" borderId="0" xfId="0" applyFont="1" applyAlignment="1" applyProtection="1">
      <alignment horizontal="left" wrapText="1"/>
      <protection locked="0"/>
    </xf>
    <xf numFmtId="167" fontId="132" fillId="0" borderId="0" xfId="0" applyNumberFormat="1" applyFont="1" applyAlignment="1" applyProtection="1">
      <alignment horizontal="right"/>
      <protection locked="0"/>
    </xf>
    <xf numFmtId="39" fontId="132" fillId="0" borderId="0" xfId="0" applyNumberFormat="1" applyFont="1" applyAlignment="1" applyProtection="1">
      <alignment horizontal="right"/>
      <protection locked="0"/>
    </xf>
    <xf numFmtId="171" fontId="132" fillId="0" borderId="0" xfId="0" applyNumberFormat="1" applyFont="1" applyAlignment="1" applyProtection="1">
      <alignment horizontal="right"/>
      <protection locked="0"/>
    </xf>
    <xf numFmtId="171" fontId="128" fillId="0" borderId="2" xfId="0" applyNumberFormat="1" applyFont="1" applyBorder="1" applyAlignment="1" applyProtection="1">
      <alignment horizontal="right"/>
      <protection locked="0"/>
    </xf>
    <xf numFmtId="49" fontId="68" fillId="0" borderId="82" xfId="0" applyNumberFormat="1" applyFont="1" applyBorder="1" applyAlignment="1" applyProtection="1">
      <alignment horizontal="left" wrapText="1"/>
      <protection locked="0"/>
    </xf>
    <xf numFmtId="37" fontId="132" fillId="0" borderId="0" xfId="0" applyNumberFormat="1" applyFont="1" applyAlignment="1" applyProtection="1">
      <alignment horizontal="center"/>
      <protection locked="0"/>
    </xf>
    <xf numFmtId="164" fontId="90" fillId="0" borderId="0" xfId="1" applyNumberFormat="1" applyFont="1" applyFill="1" applyAlignment="1">
      <alignment horizontal="right" vertical="center"/>
      <protection locked="0"/>
    </xf>
    <xf numFmtId="0" fontId="75" fillId="0" borderId="0" xfId="0" applyFont="1" applyAlignment="1" applyProtection="1">
      <alignment vertical="center"/>
    </xf>
    <xf numFmtId="0" fontId="3" fillId="0" borderId="2" xfId="1" applyFont="1" applyFill="1" applyBorder="1" applyAlignment="1" applyProtection="1">
      <alignment horizontal="left" wrapText="1"/>
    </xf>
    <xf numFmtId="0" fontId="74" fillId="0" borderId="2" xfId="0" applyFont="1" applyBorder="1" applyAlignment="1" applyProtection="1">
      <alignment horizontal="left" wrapText="1"/>
    </xf>
    <xf numFmtId="4" fontId="140" fillId="0" borderId="0" xfId="0" applyNumberFormat="1" applyFont="1" applyAlignment="1"/>
    <xf numFmtId="4" fontId="141" fillId="0" borderId="0" xfId="0" applyNumberFormat="1" applyFont="1" applyAlignment="1"/>
    <xf numFmtId="4" fontId="142" fillId="0" borderId="0" xfId="0" applyNumberFormat="1" applyFont="1" applyAlignment="1"/>
    <xf numFmtId="4" fontId="5" fillId="0" borderId="115" xfId="0" applyNumberFormat="1" applyFont="1" applyBorder="1" applyAlignment="1" applyProtection="1">
      <alignment vertical="center"/>
      <protection locked="0"/>
    </xf>
    <xf numFmtId="0" fontId="18" fillId="0" borderId="106" xfId="0" applyFont="1" applyBorder="1" applyAlignment="1">
      <alignment vertical="center"/>
    </xf>
    <xf numFmtId="0" fontId="64" fillId="0" borderId="0" xfId="0" applyFont="1" applyAlignment="1" applyProtection="1">
      <alignment horizontal="left"/>
    </xf>
    <xf numFmtId="37" fontId="64" fillId="0" borderId="2" xfId="0" applyNumberFormat="1" applyFont="1" applyBorder="1" applyAlignment="1" applyProtection="1">
      <alignment horizontal="right"/>
      <protection locked="0"/>
    </xf>
    <xf numFmtId="37" fontId="128" fillId="0" borderId="2" xfId="0" applyNumberFormat="1" applyFont="1" applyBorder="1" applyAlignment="1" applyProtection="1">
      <alignment horizontal="right"/>
      <protection locked="0"/>
    </xf>
    <xf numFmtId="37" fontId="129" fillId="0" borderId="0" xfId="0" applyNumberFormat="1" applyFont="1" applyAlignment="1" applyProtection="1">
      <alignment horizontal="right" vertical="center"/>
      <protection locked="0"/>
    </xf>
    <xf numFmtId="171" fontId="129" fillId="0" borderId="0" xfId="0" applyNumberFormat="1" applyFont="1" applyAlignment="1" applyProtection="1">
      <alignment horizontal="right" vertical="center"/>
      <protection locked="0"/>
    </xf>
    <xf numFmtId="0" fontId="64" fillId="0" borderId="0" xfId="9" applyFont="1" applyAlignment="1" applyProtection="1">
      <alignment horizontal="left"/>
    </xf>
    <xf numFmtId="0" fontId="64" fillId="0" borderId="0" xfId="9" applyFont="1" applyAlignment="1" applyProtection="1">
      <alignment horizontal="left" vertical="top" wrapText="1"/>
    </xf>
    <xf numFmtId="167" fontId="64" fillId="0" borderId="0" xfId="9" applyNumberFormat="1" applyFont="1" applyAlignment="1" applyProtection="1">
      <alignment horizontal="right" vertical="top"/>
    </xf>
    <xf numFmtId="39" fontId="64" fillId="0" borderId="0" xfId="9" applyNumberFormat="1" applyFont="1" applyAlignment="1" applyProtection="1">
      <alignment horizontal="right" vertical="top"/>
    </xf>
    <xf numFmtId="171" fontId="64" fillId="0" borderId="0" xfId="9" applyNumberFormat="1" applyFont="1" applyAlignment="1" applyProtection="1">
      <alignment horizontal="right" vertical="top"/>
    </xf>
    <xf numFmtId="0" fontId="125" fillId="0" borderId="0" xfId="9" applyFont="1" applyAlignment="1" applyProtection="1">
      <alignment horizontal="left"/>
    </xf>
    <xf numFmtId="0" fontId="130" fillId="12" borderId="2" xfId="9" applyFont="1" applyFill="1" applyBorder="1" applyAlignment="1" applyProtection="1">
      <alignment horizontal="center" vertical="center" wrapText="1"/>
    </xf>
    <xf numFmtId="37" fontId="126" fillId="0" borderId="0" xfId="9" applyNumberFormat="1" applyFont="1" applyAlignment="1">
      <alignment horizontal="right"/>
      <protection locked="0"/>
    </xf>
    <xf numFmtId="0" fontId="126" fillId="0" borderId="0" xfId="9" applyFont="1" applyAlignment="1">
      <alignment horizontal="left" wrapText="1"/>
      <protection locked="0"/>
    </xf>
    <xf numFmtId="167" fontId="126" fillId="0" borderId="0" xfId="9" applyNumberFormat="1" applyFont="1" applyAlignment="1">
      <alignment horizontal="right"/>
      <protection locked="0"/>
    </xf>
    <xf numFmtId="39" fontId="126" fillId="0" borderId="0" xfId="9" applyNumberFormat="1" applyFont="1" applyAlignment="1">
      <alignment horizontal="right"/>
      <protection locked="0"/>
    </xf>
    <xf numFmtId="171" fontId="126" fillId="0" borderId="0" xfId="9" applyNumberFormat="1" applyFont="1" applyAlignment="1">
      <alignment horizontal="right"/>
      <protection locked="0"/>
    </xf>
    <xf numFmtId="37" fontId="127" fillId="0" borderId="0" xfId="9" applyNumberFormat="1" applyFont="1" applyAlignment="1">
      <alignment horizontal="right"/>
      <protection locked="0"/>
    </xf>
    <xf numFmtId="0" fontId="127" fillId="0" borderId="0" xfId="9" applyFont="1" applyAlignment="1">
      <alignment horizontal="left" wrapText="1"/>
      <protection locked="0"/>
    </xf>
    <xf numFmtId="167" fontId="127" fillId="0" borderId="0" xfId="9" applyNumberFormat="1" applyFont="1" applyAlignment="1">
      <alignment horizontal="right"/>
      <protection locked="0"/>
    </xf>
    <xf numFmtId="39" fontId="127" fillId="0" borderId="0" xfId="9" applyNumberFormat="1" applyFont="1" applyAlignment="1">
      <alignment horizontal="right"/>
      <protection locked="0"/>
    </xf>
    <xf numFmtId="171" fontId="127" fillId="0" borderId="0" xfId="9" applyNumberFormat="1" applyFont="1" applyAlignment="1">
      <alignment horizontal="right"/>
      <protection locked="0"/>
    </xf>
    <xf numFmtId="37" fontId="64" fillId="0" borderId="2" xfId="9" applyNumberFormat="1" applyFont="1" applyBorder="1" applyAlignment="1">
      <alignment horizontal="right"/>
      <protection locked="0"/>
    </xf>
    <xf numFmtId="0" fontId="64" fillId="0" borderId="2" xfId="9" applyFont="1" applyBorder="1" applyAlignment="1">
      <alignment horizontal="left" wrapText="1"/>
      <protection locked="0"/>
    </xf>
    <xf numFmtId="167" fontId="64" fillId="0" borderId="2" xfId="9" applyNumberFormat="1" applyFont="1" applyBorder="1" applyAlignment="1">
      <alignment horizontal="right"/>
      <protection locked="0"/>
    </xf>
    <xf numFmtId="39" fontId="64" fillId="0" borderId="2" xfId="9" applyNumberFormat="1" applyFont="1" applyBorder="1" applyAlignment="1">
      <alignment horizontal="right"/>
      <protection locked="0"/>
    </xf>
    <xf numFmtId="171" fontId="64" fillId="0" borderId="2" xfId="9" applyNumberFormat="1" applyFont="1" applyBorder="1" applyAlignment="1">
      <alignment horizontal="right"/>
      <protection locked="0"/>
    </xf>
    <xf numFmtId="37" fontId="131" fillId="0" borderId="0" xfId="9" applyNumberFormat="1" applyFont="1" applyAlignment="1">
      <alignment horizontal="right"/>
      <protection locked="0"/>
    </xf>
    <xf numFmtId="0" fontId="131" fillId="0" borderId="0" xfId="9" applyFont="1" applyAlignment="1">
      <alignment horizontal="left" wrapText="1"/>
      <protection locked="0"/>
    </xf>
    <xf numFmtId="167" fontId="131" fillId="0" borderId="0" xfId="9" applyNumberFormat="1" applyFont="1" applyAlignment="1">
      <alignment horizontal="right"/>
      <protection locked="0"/>
    </xf>
    <xf numFmtId="39" fontId="131" fillId="0" borderId="0" xfId="9" applyNumberFormat="1" applyFont="1" applyAlignment="1">
      <alignment horizontal="right"/>
      <protection locked="0"/>
    </xf>
    <xf numFmtId="171" fontId="131" fillId="0" borderId="0" xfId="9" applyNumberFormat="1" applyFont="1" applyAlignment="1">
      <alignment horizontal="right"/>
      <protection locked="0"/>
    </xf>
    <xf numFmtId="37" fontId="128" fillId="0" borderId="2" xfId="9" applyNumberFormat="1" applyFont="1" applyBorder="1" applyAlignment="1">
      <alignment horizontal="right"/>
      <protection locked="0"/>
    </xf>
    <xf numFmtId="0" fontId="128" fillId="0" borderId="2" xfId="9" applyFont="1" applyBorder="1" applyAlignment="1">
      <alignment horizontal="left" wrapText="1"/>
      <protection locked="0"/>
    </xf>
    <xf numFmtId="167" fontId="128" fillId="0" borderId="2" xfId="9" applyNumberFormat="1" applyFont="1" applyBorder="1" applyAlignment="1">
      <alignment horizontal="right"/>
      <protection locked="0"/>
    </xf>
    <xf numFmtId="39" fontId="128" fillId="0" borderId="2" xfId="9" applyNumberFormat="1" applyFont="1" applyBorder="1" applyAlignment="1">
      <alignment horizontal="right"/>
      <protection locked="0"/>
    </xf>
    <xf numFmtId="171" fontId="128" fillId="0" borderId="2" xfId="9" applyNumberFormat="1" applyFont="1" applyBorder="1" applyAlignment="1">
      <alignment horizontal="right"/>
      <protection locked="0"/>
    </xf>
    <xf numFmtId="37" fontId="23" fillId="0" borderId="0" xfId="9" applyNumberFormat="1" applyFont="1" applyAlignment="1">
      <alignment horizontal="right"/>
      <protection locked="0"/>
    </xf>
    <xf numFmtId="0" fontId="23" fillId="0" borderId="0" xfId="9" applyFont="1" applyAlignment="1">
      <alignment horizontal="left" wrapText="1"/>
      <protection locked="0"/>
    </xf>
    <xf numFmtId="167" fontId="23" fillId="0" borderId="0" xfId="9" applyNumberFormat="1" applyFont="1" applyAlignment="1">
      <alignment horizontal="right"/>
      <protection locked="0"/>
    </xf>
    <xf numFmtId="39" fontId="23" fillId="0" borderId="0" xfId="9" applyNumberFormat="1" applyFont="1" applyAlignment="1">
      <alignment horizontal="right"/>
      <protection locked="0"/>
    </xf>
    <xf numFmtId="171" fontId="23" fillId="0" borderId="0" xfId="9" applyNumberFormat="1" applyFont="1" applyAlignment="1">
      <alignment horizontal="right"/>
      <protection locked="0"/>
    </xf>
    <xf numFmtId="0" fontId="0" fillId="0" borderId="0" xfId="0" applyFont="1" applyFill="1" applyAlignment="1">
      <alignment vertical="center"/>
    </xf>
    <xf numFmtId="0" fontId="0" fillId="0" borderId="103" xfId="0" applyFont="1" applyFill="1" applyBorder="1" applyAlignment="1" applyProtection="1">
      <alignment vertical="center"/>
      <protection locked="0"/>
    </xf>
    <xf numFmtId="0" fontId="107" fillId="0" borderId="115" xfId="0" applyFont="1" applyFill="1" applyBorder="1" applyAlignment="1" applyProtection="1">
      <alignment horizontal="center" vertical="center"/>
      <protection locked="0"/>
    </xf>
    <xf numFmtId="49" fontId="107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107" fillId="0" borderId="115" xfId="0" applyFont="1" applyFill="1" applyBorder="1" applyAlignment="1" applyProtection="1">
      <alignment horizontal="left" vertical="center" wrapText="1"/>
      <protection locked="0"/>
    </xf>
    <xf numFmtId="0" fontId="107" fillId="0" borderId="115" xfId="0" applyFont="1" applyFill="1" applyBorder="1" applyAlignment="1" applyProtection="1">
      <alignment horizontal="center" vertical="center" wrapText="1"/>
      <protection locked="0"/>
    </xf>
    <xf numFmtId="164" fontId="107" fillId="0" borderId="115" xfId="0" applyNumberFormat="1" applyFont="1" applyFill="1" applyBorder="1" applyAlignment="1" applyProtection="1">
      <alignment vertical="center"/>
      <protection locked="0"/>
    </xf>
    <xf numFmtId="4" fontId="107" fillId="0" borderId="115" xfId="0" applyNumberFormat="1" applyFont="1" applyFill="1" applyBorder="1" applyAlignment="1" applyProtection="1">
      <alignment vertical="center"/>
      <protection locked="0"/>
    </xf>
    <xf numFmtId="4" fontId="5" fillId="0" borderId="115" xfId="0" applyNumberFormat="1" applyFont="1" applyFill="1" applyBorder="1" applyAlignment="1" applyProtection="1">
      <alignment vertical="center"/>
      <protection locked="0"/>
    </xf>
    <xf numFmtId="0" fontId="0" fillId="0" borderId="115" xfId="0" applyFont="1" applyFill="1" applyBorder="1" applyAlignment="1" applyProtection="1">
      <alignment vertical="center"/>
      <protection locked="0"/>
    </xf>
    <xf numFmtId="0" fontId="0" fillId="0" borderId="103" xfId="0" applyFont="1" applyFill="1" applyBorder="1" applyAlignment="1">
      <alignment vertical="center"/>
    </xf>
    <xf numFmtId="0" fontId="110" fillId="0" borderId="113" xfId="0" applyFont="1" applyFill="1" applyBorder="1" applyAlignment="1">
      <alignment horizontal="left" vertical="center"/>
    </xf>
    <xf numFmtId="0" fontId="110" fillId="0" borderId="0" xfId="0" applyFont="1" applyFill="1" applyBorder="1" applyAlignment="1">
      <alignment horizontal="center" vertical="center"/>
    </xf>
    <xf numFmtId="174" fontId="110" fillId="0" borderId="0" xfId="0" applyNumberFormat="1" applyFont="1" applyFill="1" applyBorder="1" applyAlignment="1">
      <alignment vertical="center"/>
    </xf>
    <xf numFmtId="174" fontId="110" fillId="0" borderId="114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114" fillId="0" borderId="0" xfId="0" applyFont="1" applyFill="1" applyAlignment="1">
      <alignment horizontal="left" vertical="center"/>
    </xf>
    <xf numFmtId="0" fontId="115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0" fillId="0" borderId="11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14" xfId="0" applyFont="1" applyFill="1" applyBorder="1" applyAlignment="1">
      <alignment vertical="center"/>
    </xf>
    <xf numFmtId="0" fontId="18" fillId="0" borderId="103" xfId="0" applyFont="1" applyFill="1" applyBorder="1" applyAlignment="1" applyProtection="1">
      <alignment vertical="center"/>
      <protection locked="0"/>
    </xf>
    <xf numFmtId="0" fontId="5" fillId="0" borderId="115" xfId="0" applyFont="1" applyFill="1" applyBorder="1" applyAlignment="1" applyProtection="1">
      <alignment horizontal="center" vertical="center"/>
      <protection locked="0"/>
    </xf>
    <xf numFmtId="49" fontId="5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15" xfId="0" applyFont="1" applyFill="1" applyBorder="1" applyAlignment="1" applyProtection="1">
      <alignment horizontal="left" vertical="center" wrapText="1"/>
      <protection locked="0"/>
    </xf>
    <xf numFmtId="0" fontId="5" fillId="0" borderId="115" xfId="0" applyFont="1" applyFill="1" applyBorder="1" applyAlignment="1" applyProtection="1">
      <alignment horizontal="center" vertical="center" wrapText="1"/>
      <protection locked="0"/>
    </xf>
    <xf numFmtId="164" fontId="5" fillId="0" borderId="115" xfId="0" applyNumberFormat="1" applyFont="1" applyFill="1" applyBorder="1" applyAlignment="1" applyProtection="1">
      <alignment vertical="center"/>
      <protection locked="0"/>
    </xf>
    <xf numFmtId="0" fontId="18" fillId="0" borderId="115" xfId="0" applyFont="1" applyFill="1" applyBorder="1" applyAlignment="1" applyProtection="1">
      <alignment vertical="center"/>
      <protection locked="0"/>
    </xf>
    <xf numFmtId="0" fontId="18" fillId="0" borderId="103" xfId="0" applyFont="1" applyFill="1" applyBorder="1" applyAlignment="1">
      <alignment vertical="center"/>
    </xf>
    <xf numFmtId="0" fontId="138" fillId="0" borderId="113" xfId="0" applyFont="1" applyFill="1" applyBorder="1" applyAlignment="1">
      <alignment horizontal="left" vertical="center"/>
    </xf>
    <xf numFmtId="0" fontId="138" fillId="0" borderId="0" xfId="0" applyFont="1" applyFill="1" applyBorder="1" applyAlignment="1">
      <alignment horizontal="center" vertical="center"/>
    </xf>
    <xf numFmtId="174" fontId="138" fillId="0" borderId="0" xfId="0" applyNumberFormat="1" applyFont="1" applyFill="1" applyBorder="1" applyAlignment="1">
      <alignment vertical="center"/>
    </xf>
    <xf numFmtId="174" fontId="138" fillId="0" borderId="11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4" fontId="18" fillId="0" borderId="0" xfId="0" applyNumberFormat="1" applyFont="1" applyFill="1" applyAlignment="1">
      <alignment vertical="center"/>
    </xf>
    <xf numFmtId="0" fontId="31" fillId="0" borderId="0" xfId="1" applyFont="1" applyFill="1" applyBorder="1" applyAlignment="1" applyProtection="1">
      <alignment horizontal="left" wrapText="1"/>
    </xf>
    <xf numFmtId="0" fontId="113" fillId="0" borderId="0" xfId="0" applyFont="1" applyFill="1" applyAlignment="1"/>
    <xf numFmtId="0" fontId="113" fillId="0" borderId="103" xfId="0" applyFont="1" applyFill="1" applyBorder="1" applyAlignment="1"/>
    <xf numFmtId="0" fontId="113" fillId="0" borderId="0" xfId="0" applyFont="1" applyFill="1" applyAlignment="1">
      <alignment horizontal="left"/>
    </xf>
    <xf numFmtId="0" fontId="109" fillId="0" borderId="0" xfId="0" applyFont="1" applyFill="1" applyAlignment="1">
      <alignment horizontal="left"/>
    </xf>
    <xf numFmtId="4" fontId="141" fillId="0" borderId="0" xfId="0" applyNumberFormat="1" applyFont="1" applyFill="1" applyAlignment="1"/>
    <xf numFmtId="0" fontId="113" fillId="0" borderId="113" xfId="0" applyFont="1" applyFill="1" applyBorder="1" applyAlignment="1"/>
    <xf numFmtId="0" fontId="113" fillId="0" borderId="0" xfId="0" applyFont="1" applyFill="1" applyBorder="1" applyAlignment="1"/>
    <xf numFmtId="174" fontId="113" fillId="0" borderId="0" xfId="0" applyNumberFormat="1" applyFont="1" applyFill="1" applyBorder="1" applyAlignment="1"/>
    <xf numFmtId="174" fontId="113" fillId="0" borderId="114" xfId="0" applyNumberFormat="1" applyFont="1" applyFill="1" applyBorder="1" applyAlignment="1"/>
    <xf numFmtId="0" fontId="113" fillId="0" borderId="0" xfId="0" applyFont="1" applyFill="1" applyAlignment="1">
      <alignment horizontal="center"/>
    </xf>
    <xf numFmtId="4" fontId="113" fillId="0" borderId="0" xfId="0" applyNumberFormat="1" applyFont="1" applyFill="1" applyAlignment="1">
      <alignment vertical="center"/>
    </xf>
    <xf numFmtId="0" fontId="31" fillId="0" borderId="107" xfId="1" applyFont="1" applyFill="1" applyBorder="1" applyAlignment="1" applyProtection="1">
      <alignment horizontal="left" wrapText="1"/>
    </xf>
    <xf numFmtId="0" fontId="31" fillId="0" borderId="107" xfId="1" applyFont="1" applyFill="1" applyBorder="1" applyAlignment="1" applyProtection="1">
      <alignment horizontal="center" vertical="center"/>
    </xf>
    <xf numFmtId="164" fontId="31" fillId="0" borderId="107" xfId="1" applyNumberFormat="1" applyFont="1" applyFill="1" applyBorder="1" applyAlignment="1" applyProtection="1">
      <alignment horizontal="right"/>
    </xf>
    <xf numFmtId="0" fontId="116" fillId="0" borderId="115" xfId="0" applyFont="1" applyFill="1" applyBorder="1" applyAlignment="1" applyProtection="1">
      <alignment horizontal="center" vertical="center"/>
      <protection locked="0"/>
    </xf>
    <xf numFmtId="49" fontId="116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116" fillId="0" borderId="115" xfId="0" applyFont="1" applyFill="1" applyBorder="1" applyAlignment="1" applyProtection="1">
      <alignment horizontal="left" vertical="center" wrapText="1"/>
      <protection locked="0"/>
    </xf>
    <xf numFmtId="0" fontId="116" fillId="0" borderId="115" xfId="0" applyFont="1" applyFill="1" applyBorder="1" applyAlignment="1" applyProtection="1">
      <alignment horizontal="center" vertical="center" wrapText="1"/>
      <protection locked="0"/>
    </xf>
    <xf numFmtId="164" fontId="116" fillId="0" borderId="115" xfId="0" applyNumberFormat="1" applyFont="1" applyFill="1" applyBorder="1" applyAlignment="1" applyProtection="1">
      <alignment vertical="center"/>
      <protection locked="0"/>
    </xf>
    <xf numFmtId="4" fontId="116" fillId="0" borderId="115" xfId="0" applyNumberFormat="1" applyFont="1" applyFill="1" applyBorder="1" applyAlignment="1" applyProtection="1">
      <alignment vertical="center"/>
      <protection locked="0"/>
    </xf>
    <xf numFmtId="4" fontId="11" fillId="0" borderId="115" xfId="0" applyNumberFormat="1" applyFont="1" applyFill="1" applyBorder="1" applyAlignment="1" applyProtection="1">
      <alignment vertical="center"/>
      <protection locked="0"/>
    </xf>
    <xf numFmtId="0" fontId="117" fillId="0" borderId="115" xfId="0" applyFont="1" applyFill="1" applyBorder="1" applyAlignment="1" applyProtection="1">
      <alignment vertical="center"/>
      <protection locked="0"/>
    </xf>
    <xf numFmtId="0" fontId="117" fillId="0" borderId="103" xfId="0" applyFont="1" applyFill="1" applyBorder="1" applyAlignment="1">
      <alignment vertical="center"/>
    </xf>
    <xf numFmtId="0" fontId="116" fillId="0" borderId="113" xfId="0" applyFont="1" applyFill="1" applyBorder="1" applyAlignment="1">
      <alignment horizontal="left" vertical="center"/>
    </xf>
    <xf numFmtId="0" fontId="116" fillId="0" borderId="0" xfId="0" applyFont="1" applyFill="1" applyBorder="1" applyAlignment="1">
      <alignment horizontal="center" vertical="center"/>
    </xf>
    <xf numFmtId="0" fontId="134" fillId="0" borderId="0" xfId="0" applyFont="1" applyFill="1" applyAlignment="1">
      <alignment horizontal="left" vertical="center"/>
    </xf>
    <xf numFmtId="0" fontId="135" fillId="0" borderId="0" xfId="0" applyFont="1" applyFill="1" applyAlignment="1">
      <alignment horizontal="left" vertical="center" wrapText="1"/>
    </xf>
    <xf numFmtId="0" fontId="136" fillId="0" borderId="0" xfId="0" applyFont="1" applyFill="1" applyAlignment="1">
      <alignment vertical="center"/>
    </xf>
    <xf numFmtId="164" fontId="137" fillId="0" borderId="0" xfId="0" applyNumberFormat="1" applyFont="1" applyFill="1" applyAlignment="1">
      <alignment vertical="center"/>
    </xf>
    <xf numFmtId="0" fontId="18" fillId="0" borderId="113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14" xfId="0" applyFont="1" applyFill="1" applyBorder="1" applyAlignment="1">
      <alignment vertical="center"/>
    </xf>
    <xf numFmtId="0" fontId="139" fillId="0" borderId="0" xfId="0" applyFont="1" applyFill="1" applyAlignment="1">
      <alignment horizontal="left"/>
    </xf>
    <xf numFmtId="0" fontId="141" fillId="0" borderId="0" xfId="0" applyFont="1" applyFill="1" applyAlignment="1">
      <alignment horizontal="left"/>
    </xf>
    <xf numFmtId="0" fontId="139" fillId="0" borderId="0" xfId="0" applyFont="1" applyFill="1" applyAlignment="1"/>
    <xf numFmtId="0" fontId="7" fillId="0" borderId="0" xfId="0" applyFont="1" applyFill="1" applyAlignment="1">
      <alignment horizontal="left" vertical="center" wrapText="1"/>
    </xf>
    <xf numFmtId="164" fontId="16" fillId="0" borderId="0" xfId="0" applyNumberFormat="1" applyFont="1" applyFill="1" applyAlignment="1">
      <alignment vertical="center"/>
    </xf>
    <xf numFmtId="0" fontId="139" fillId="0" borderId="103" xfId="0" applyFont="1" applyFill="1" applyBorder="1" applyAlignment="1"/>
    <xf numFmtId="0" fontId="140" fillId="0" borderId="0" xfId="0" applyFont="1" applyFill="1" applyAlignment="1">
      <alignment horizontal="left"/>
    </xf>
    <xf numFmtId="4" fontId="140" fillId="0" borderId="0" xfId="0" applyNumberFormat="1" applyFont="1" applyFill="1" applyAlignment="1"/>
    <xf numFmtId="0" fontId="139" fillId="0" borderId="113" xfId="0" applyFont="1" applyFill="1" applyBorder="1" applyAlignment="1"/>
    <xf numFmtId="0" fontId="139" fillId="0" borderId="0" xfId="0" applyFont="1" applyFill="1" applyBorder="1" applyAlignment="1"/>
    <xf numFmtId="174" fontId="139" fillId="0" borderId="0" xfId="0" applyNumberFormat="1" applyFont="1" applyFill="1" applyBorder="1" applyAlignment="1"/>
    <xf numFmtId="174" fontId="139" fillId="0" borderId="114" xfId="0" applyNumberFormat="1" applyFont="1" applyFill="1" applyBorder="1" applyAlignment="1"/>
    <xf numFmtId="0" fontId="139" fillId="0" borderId="0" xfId="0" applyFont="1" applyFill="1" applyAlignment="1">
      <alignment horizontal="center"/>
    </xf>
    <xf numFmtId="4" fontId="139" fillId="0" borderId="0" xfId="0" applyNumberFormat="1" applyFont="1" applyFill="1" applyAlignment="1">
      <alignment vertical="center"/>
    </xf>
    <xf numFmtId="0" fontId="108" fillId="0" borderId="0" xfId="0" applyFont="1" applyFill="1" applyAlignment="1">
      <alignment horizontal="left"/>
    </xf>
    <xf numFmtId="0" fontId="3" fillId="0" borderId="0" xfId="1" applyFont="1" applyFill="1" applyAlignment="1" applyProtection="1">
      <alignment horizontal="right" wrapText="1"/>
    </xf>
    <xf numFmtId="0" fontId="144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0" fillId="2" borderId="2" xfId="0" applyFont="1" applyFill="1" applyBorder="1" applyAlignment="1" applyProtection="1">
      <alignment horizontal="left" vertical="center" wrapText="1"/>
    </xf>
    <xf numFmtId="165" fontId="5" fillId="2" borderId="2" xfId="1" applyNumberFormat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left" vertical="center" wrapText="1"/>
    </xf>
    <xf numFmtId="164" fontId="5" fillId="2" borderId="2" xfId="1" applyNumberFormat="1" applyFont="1" applyFill="1" applyBorder="1" applyAlignment="1" applyProtection="1">
      <alignment horizontal="right" vertical="center"/>
    </xf>
    <xf numFmtId="4" fontId="5" fillId="2" borderId="2" xfId="1" applyNumberFormat="1" applyFont="1" applyFill="1" applyBorder="1" applyAlignment="1" applyProtection="1">
      <alignment horizontal="right" vertical="center"/>
    </xf>
    <xf numFmtId="0" fontId="6" fillId="2" borderId="0" xfId="1" applyFont="1" applyFill="1" applyAlignment="1" applyProtection="1">
      <alignment horizontal="center"/>
    </xf>
    <xf numFmtId="0" fontId="6" fillId="2" borderId="0" xfId="1" applyFont="1" applyFill="1" applyAlignment="1" applyProtection="1">
      <alignment horizontal="left"/>
    </xf>
    <xf numFmtId="0" fontId="30" fillId="2" borderId="0" xfId="1" applyFont="1" applyFill="1" applyAlignment="1" applyProtection="1">
      <alignment horizontal="left" wrapText="1"/>
    </xf>
    <xf numFmtId="0" fontId="30" fillId="2" borderId="0" xfId="1" applyFont="1" applyFill="1" applyAlignment="1" applyProtection="1">
      <alignment horizontal="center" vertical="center"/>
    </xf>
    <xf numFmtId="164" fontId="30" fillId="2" borderId="0" xfId="1" applyNumberFormat="1" applyFont="1" applyFill="1" applyAlignment="1" applyProtection="1">
      <alignment horizontal="right"/>
    </xf>
    <xf numFmtId="4" fontId="6" fillId="2" borderId="0" xfId="1" applyNumberFormat="1" applyFont="1" applyFill="1" applyAlignment="1" applyProtection="1">
      <alignment horizontal="left"/>
    </xf>
    <xf numFmtId="0" fontId="31" fillId="2" borderId="7" xfId="1" applyFont="1" applyFill="1" applyBorder="1" applyAlignment="1" applyProtection="1">
      <alignment horizontal="left" wrapText="1"/>
    </xf>
    <xf numFmtId="0" fontId="31" fillId="2" borderId="7" xfId="1" applyFont="1" applyFill="1" applyBorder="1" applyAlignment="1" applyProtection="1">
      <alignment horizontal="center" vertical="center"/>
    </xf>
    <xf numFmtId="164" fontId="31" fillId="2" borderId="7" xfId="1" applyNumberFormat="1" applyFont="1" applyFill="1" applyBorder="1" applyAlignment="1" applyProtection="1">
      <alignment horizontal="right"/>
    </xf>
    <xf numFmtId="0" fontId="6" fillId="2" borderId="115" xfId="0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Alignment="1">
      <alignment horizontal="left" vertical="center" wrapText="1"/>
    </xf>
    <xf numFmtId="0" fontId="31" fillId="2" borderId="0" xfId="1" applyFont="1" applyFill="1" applyAlignment="1" applyProtection="1">
      <alignment horizontal="center" vertical="center"/>
    </xf>
    <xf numFmtId="164" fontId="31" fillId="2" borderId="0" xfId="1" applyNumberFormat="1" applyFont="1" applyFill="1" applyAlignment="1" applyProtection="1">
      <alignment horizontal="right"/>
    </xf>
    <xf numFmtId="0" fontId="20" fillId="2" borderId="2" xfId="0" applyFont="1" applyFill="1" applyBorder="1" applyAlignment="1" applyProtection="1">
      <alignment horizontal="center" vertical="center" wrapText="1"/>
    </xf>
    <xf numFmtId="164" fontId="11" fillId="2" borderId="2" xfId="1" applyNumberFormat="1" applyFont="1" applyFill="1" applyBorder="1" applyAlignment="1" applyProtection="1">
      <alignment horizontal="right" vertical="center"/>
    </xf>
    <xf numFmtId="4" fontId="11" fillId="2" borderId="2" xfId="1" applyNumberFormat="1" applyFont="1" applyFill="1" applyBorder="1" applyAlignment="1" applyProtection="1">
      <alignment horizontal="right" vertical="center"/>
    </xf>
    <xf numFmtId="0" fontId="116" fillId="2" borderId="115" xfId="0" applyFont="1" applyFill="1" applyBorder="1" applyAlignment="1" applyProtection="1">
      <alignment horizontal="center" vertical="center"/>
      <protection locked="0"/>
    </xf>
    <xf numFmtId="49" fontId="10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15" xfId="0" applyFont="1" applyFill="1" applyBorder="1" applyAlignment="1" applyProtection="1">
      <alignment horizontal="left" vertical="center" wrapText="1"/>
      <protection locked="0"/>
    </xf>
    <xf numFmtId="0" fontId="116" fillId="2" borderId="115" xfId="0" applyFont="1" applyFill="1" applyBorder="1" applyAlignment="1" applyProtection="1">
      <alignment horizontal="center" vertical="center" wrapText="1"/>
      <protection locked="0"/>
    </xf>
    <xf numFmtId="164" fontId="116" fillId="2" borderId="115" xfId="0" applyNumberFormat="1" applyFont="1" applyFill="1" applyBorder="1" applyAlignment="1" applyProtection="1">
      <alignment vertical="center"/>
      <protection locked="0"/>
    </xf>
    <xf numFmtId="4" fontId="116" fillId="2" borderId="115" xfId="0" applyNumberFormat="1" applyFont="1" applyFill="1" applyBorder="1" applyAlignment="1" applyProtection="1">
      <alignment vertical="center"/>
      <protection locked="0"/>
    </xf>
    <xf numFmtId="0" fontId="0" fillId="2" borderId="0" xfId="0" applyFont="1" applyFill="1" applyAlignment="1">
      <alignment vertical="center"/>
    </xf>
    <xf numFmtId="0" fontId="114" fillId="2" borderId="0" xfId="0" applyFont="1" applyFill="1" applyAlignment="1">
      <alignment horizontal="left" vertical="center"/>
    </xf>
    <xf numFmtId="0" fontId="115" fillId="2" borderId="0" xfId="0" applyFont="1" applyFill="1" applyAlignment="1">
      <alignment horizontal="left" vertical="center" wrapText="1"/>
    </xf>
    <xf numFmtId="0" fontId="10" fillId="2" borderId="115" xfId="0" applyFont="1" applyFill="1" applyBorder="1" applyAlignment="1" applyProtection="1">
      <alignment horizontal="center" vertical="center"/>
      <protection locked="0"/>
    </xf>
    <xf numFmtId="0" fontId="107" fillId="2" borderId="115" xfId="0" applyFont="1" applyFill="1" applyBorder="1" applyAlignment="1" applyProtection="1">
      <alignment horizontal="center" vertical="center"/>
      <protection locked="0"/>
    </xf>
    <xf numFmtId="49" fontId="107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107" fillId="2" borderId="115" xfId="0" applyFont="1" applyFill="1" applyBorder="1" applyAlignment="1" applyProtection="1">
      <alignment horizontal="center" vertical="center" wrapText="1"/>
      <protection locked="0"/>
    </xf>
    <xf numFmtId="164" fontId="107" fillId="2" borderId="115" xfId="0" applyNumberFormat="1" applyFont="1" applyFill="1" applyBorder="1" applyAlignment="1" applyProtection="1">
      <alignment vertical="center"/>
      <protection locked="0"/>
    </xf>
    <xf numFmtId="4" fontId="107" fillId="2" borderId="115" xfId="0" applyNumberFormat="1" applyFont="1" applyFill="1" applyBorder="1" applyAlignment="1" applyProtection="1">
      <alignment vertical="center"/>
      <protection locked="0"/>
    </xf>
    <xf numFmtId="0" fontId="6" fillId="2" borderId="115" xfId="0" applyFont="1" applyFill="1" applyBorder="1" applyAlignment="1" applyProtection="1">
      <alignment horizontal="center" vertical="center"/>
      <protection locked="0"/>
    </xf>
    <xf numFmtId="49" fontId="6" fillId="2" borderId="11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20" fillId="2" borderId="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4" fontId="5" fillId="2" borderId="115" xfId="0" applyNumberFormat="1" applyFont="1" applyFill="1" applyBorder="1" applyAlignment="1" applyProtection="1">
      <alignment vertical="center"/>
      <protection locked="0"/>
    </xf>
    <xf numFmtId="0" fontId="6" fillId="2" borderId="115" xfId="0" applyFont="1" applyFill="1" applyBorder="1" applyAlignment="1" applyProtection="1">
      <alignment horizontal="center" vertical="center" wrapText="1"/>
      <protection locked="0"/>
    </xf>
    <xf numFmtId="0" fontId="31" fillId="2" borderId="107" xfId="1" applyFont="1" applyFill="1" applyBorder="1" applyAlignment="1" applyProtection="1">
      <alignment horizontal="left" wrapText="1"/>
    </xf>
    <xf numFmtId="0" fontId="31" fillId="2" borderId="107" xfId="1" applyFont="1" applyFill="1" applyBorder="1" applyAlignment="1" applyProtection="1">
      <alignment horizontal="center" vertical="center"/>
    </xf>
    <xf numFmtId="164" fontId="31" fillId="2" borderId="107" xfId="1" applyNumberFormat="1" applyFont="1" applyFill="1" applyBorder="1" applyAlignment="1" applyProtection="1">
      <alignment horizontal="right"/>
    </xf>
    <xf numFmtId="164" fontId="5" fillId="2" borderId="115" xfId="0" applyNumberFormat="1" applyFont="1" applyFill="1" applyBorder="1" applyAlignment="1" applyProtection="1">
      <alignment vertical="center"/>
      <protection locked="0"/>
    </xf>
    <xf numFmtId="0" fontId="31" fillId="2" borderId="0" xfId="1" applyFont="1" applyFill="1" applyBorder="1" applyAlignment="1" applyProtection="1">
      <alignment horizontal="left" wrapText="1"/>
    </xf>
    <xf numFmtId="0" fontId="31" fillId="2" borderId="0" xfId="1" applyFont="1" applyFill="1" applyBorder="1" applyAlignment="1" applyProtection="1">
      <alignment horizontal="center" vertical="center"/>
    </xf>
    <xf numFmtId="164" fontId="31" fillId="2" borderId="0" xfId="1" applyNumberFormat="1" applyFont="1" applyFill="1" applyBorder="1" applyAlignment="1" applyProtection="1">
      <alignment horizontal="right"/>
    </xf>
    <xf numFmtId="0" fontId="6" fillId="0" borderId="115" xfId="0" applyFont="1" applyFill="1" applyBorder="1" applyAlignment="1" applyProtection="1">
      <alignment horizontal="left" vertical="center" wrapText="1"/>
      <protection locked="0"/>
    </xf>
    <xf numFmtId="0" fontId="44" fillId="0" borderId="0" xfId="0" applyFont="1" applyFill="1" applyAlignment="1">
      <alignment horizontal="left" vertical="center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/>
    </xf>
    <xf numFmtId="170" fontId="85" fillId="2" borderId="97" xfId="0" applyNumberFormat="1" applyFont="1" applyFill="1" applyBorder="1" applyAlignment="1">
      <alignment horizontal="right" vertical="center" wrapText="1"/>
    </xf>
    <xf numFmtId="0" fontId="54" fillId="0" borderId="47" xfId="0" applyFont="1" applyBorder="1" applyAlignment="1" applyProtection="1">
      <alignment horizontal="left" vertical="center" wrapText="1"/>
    </xf>
    <xf numFmtId="0" fontId="54" fillId="0" borderId="48" xfId="0" applyFont="1" applyBorder="1" applyAlignment="1" applyProtection="1">
      <alignment horizontal="left" vertical="center" wrapText="1"/>
    </xf>
    <xf numFmtId="0" fontId="54" fillId="0" borderId="49" xfId="0" applyFont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horizontal="center"/>
    </xf>
    <xf numFmtId="0" fontId="103" fillId="0" borderId="0" xfId="0" applyFont="1" applyAlignment="1" applyProtection="1">
      <alignment horizontal="left" vertical="center" wrapText="1"/>
    </xf>
    <xf numFmtId="0" fontId="103" fillId="0" borderId="0" xfId="0" applyFont="1" applyAlignment="1" applyProtection="1">
      <alignment horizontal="left" vertical="center"/>
    </xf>
    <xf numFmtId="0" fontId="10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74" fillId="0" borderId="0" xfId="0" applyFont="1" applyAlignment="1" applyProtection="1">
      <alignment horizontal="left" vertical="center" wrapText="1"/>
    </xf>
    <xf numFmtId="0" fontId="74" fillId="0" borderId="0" xfId="0" applyFont="1" applyAlignment="1" applyProtection="1">
      <alignment horizontal="left" vertical="center"/>
    </xf>
    <xf numFmtId="0" fontId="82" fillId="7" borderId="0" xfId="0" applyFont="1" applyFill="1" applyAlignment="1">
      <alignment horizontal="center" vertical="center"/>
    </xf>
    <xf numFmtId="0" fontId="10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124" fillId="0" borderId="0" xfId="0" applyFont="1" applyAlignment="1" applyProtection="1">
      <alignment horizontal="center" vertical="center"/>
    </xf>
    <xf numFmtId="0" fontId="64" fillId="0" borderId="0" xfId="0" applyFont="1" applyAlignment="1" applyProtection="1">
      <alignment horizontal="left" vertical="center"/>
    </xf>
    <xf numFmtId="39" fontId="64" fillId="0" borderId="0" xfId="0" applyNumberFormat="1" applyFont="1" applyAlignment="1" applyProtection="1">
      <alignment horizontal="left" vertical="center"/>
    </xf>
    <xf numFmtId="167" fontId="64" fillId="0" borderId="0" xfId="0" applyNumberFormat="1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/>
    </xf>
    <xf numFmtId="39" fontId="29" fillId="0" borderId="0" xfId="0" applyNumberFormat="1" applyFont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/>
    </xf>
    <xf numFmtId="0" fontId="64" fillId="0" borderId="0" xfId="0" applyFont="1" applyAlignment="1" applyProtection="1">
      <alignment horizontal="left"/>
    </xf>
    <xf numFmtId="39" fontId="64" fillId="0" borderId="0" xfId="0" applyNumberFormat="1" applyFont="1" applyAlignment="1" applyProtection="1">
      <alignment horizontal="center" vertical="center"/>
    </xf>
    <xf numFmtId="171" fontId="64" fillId="0" borderId="0" xfId="0" applyNumberFormat="1" applyFont="1" applyAlignment="1" applyProtection="1">
      <alignment horizontal="center" vertical="center"/>
    </xf>
    <xf numFmtId="0" fontId="64" fillId="0" borderId="0" xfId="9" applyFont="1" applyAlignment="1" applyProtection="1">
      <alignment horizontal="left"/>
    </xf>
    <xf numFmtId="39" fontId="64" fillId="0" borderId="0" xfId="9" applyNumberFormat="1" applyFont="1" applyAlignment="1" applyProtection="1">
      <alignment horizontal="center" vertical="center"/>
    </xf>
    <xf numFmtId="171" fontId="64" fillId="0" borderId="0" xfId="9" applyNumberFormat="1" applyFont="1" applyAlignment="1" applyProtection="1">
      <alignment horizontal="center" vertical="center"/>
    </xf>
    <xf numFmtId="4" fontId="36" fillId="4" borderId="11" xfId="4" applyNumberFormat="1" applyFont="1" applyFill="1" applyBorder="1" applyAlignment="1">
      <alignment horizontal="center" vertical="center"/>
    </xf>
    <xf numFmtId="4" fontId="36" fillId="4" borderId="10" xfId="4" applyNumberFormat="1" applyFont="1" applyFill="1" applyBorder="1" applyAlignment="1">
      <alignment horizontal="center" vertical="center"/>
    </xf>
    <xf numFmtId="4" fontId="36" fillId="4" borderId="9" xfId="4" applyNumberFormat="1" applyFont="1" applyFill="1" applyBorder="1" applyAlignment="1">
      <alignment horizontal="center" vertical="center"/>
    </xf>
    <xf numFmtId="0" fontId="23" fillId="0" borderId="32" xfId="4" applyFont="1" applyFill="1" applyBorder="1" applyAlignment="1" applyProtection="1">
      <alignment horizontal="center" vertical="center" wrapText="1"/>
    </xf>
    <xf numFmtId="0" fontId="23" fillId="0" borderId="24" xfId="4" applyFont="1" applyFill="1" applyBorder="1" applyAlignment="1" applyProtection="1">
      <alignment horizontal="center" vertical="center" wrapText="1"/>
    </xf>
    <xf numFmtId="0" fontId="23" fillId="0" borderId="33" xfId="4" applyFont="1" applyFill="1" applyBorder="1" applyAlignment="1" applyProtection="1">
      <alignment horizontal="center" vertical="center" wrapText="1"/>
    </xf>
    <xf numFmtId="0" fontId="37" fillId="4" borderId="11" xfId="4" applyFont="1" applyFill="1" applyBorder="1" applyAlignment="1">
      <alignment horizontal="center" vertical="center" wrapText="1"/>
    </xf>
    <xf numFmtId="0" fontId="37" fillId="4" borderId="10" xfId="4" applyFont="1" applyFill="1" applyBorder="1" applyAlignment="1">
      <alignment horizontal="center" vertical="center" wrapText="1"/>
    </xf>
    <xf numFmtId="0" fontId="37" fillId="4" borderId="9" xfId="4" applyFont="1" applyFill="1" applyBorder="1" applyAlignment="1">
      <alignment horizontal="center" vertical="center" wrapText="1"/>
    </xf>
    <xf numFmtId="0" fontId="23" fillId="0" borderId="32" xfId="4" applyFont="1" applyFill="1" applyBorder="1" applyAlignment="1" applyProtection="1">
      <alignment horizontal="center" vertical="center"/>
    </xf>
    <xf numFmtId="0" fontId="23" fillId="0" borderId="24" xfId="4" applyFont="1" applyFill="1" applyBorder="1" applyAlignment="1" applyProtection="1">
      <alignment horizontal="center" vertical="center"/>
    </xf>
    <xf numFmtId="0" fontId="23" fillId="0" borderId="33" xfId="4" applyFont="1" applyFill="1" applyBorder="1" applyAlignment="1" applyProtection="1">
      <alignment horizontal="center" vertical="center"/>
    </xf>
    <xf numFmtId="4" fontId="109" fillId="2" borderId="0" xfId="0" applyNumberFormat="1" applyFont="1" applyFill="1" applyAlignment="1"/>
  </cellXfs>
  <cellStyles count="10">
    <cellStyle name="Normal_F-1214" xfId="2" xr:uid="{00000000-0005-0000-0000-000000000000}"/>
    <cellStyle name="Normálna" xfId="0" builtinId="0"/>
    <cellStyle name="Normálna 2" xfId="3" xr:uid="{00000000-0005-0000-0000-000001000000}"/>
    <cellStyle name="Normálna 3" xfId="1" xr:uid="{00000000-0005-0000-0000-000002000000}"/>
    <cellStyle name="Normálne 2" xfId="6" xr:uid="{00000000-0005-0000-0000-000004000000}"/>
    <cellStyle name="Normálne 2 2 2" xfId="5" xr:uid="{00000000-0005-0000-0000-000005000000}"/>
    <cellStyle name="Normálne 2 4" xfId="4" xr:uid="{00000000-0005-0000-0000-000006000000}"/>
    <cellStyle name="Normálne 3" xfId="9" xr:uid="{00000000-0005-0000-0000-000007000000}"/>
    <cellStyle name="normálne_M 09 0253_DCMVSR@Tajov_v 03_vzorce" xfId="8" xr:uid="{00000000-0005-0000-0000-000008000000}"/>
    <cellStyle name="normální_List1" xfId="7" xr:uid="{00000000-0005-0000-0000-000009000000}"/>
  </cellStyles>
  <dxfs count="39">
    <dxf>
      <fill>
        <patternFill>
          <bgColor rgb="FFCC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99FF66"/>
      <color rgb="FFFFFF66"/>
      <color rgb="FF0000FF"/>
      <color rgb="FFCCFF99"/>
      <color rgb="FFFFCCCC"/>
      <color rgb="FFCC99FF"/>
      <color rgb="FFFFFF99"/>
      <color rgb="FF66FFFF"/>
      <color rgb="FFFF0066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ISCES\F_114\Rozpo&#269;ty\Trnava%20SO%2001%20E1.4%20EL%20rozpo&#269;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jekty\2018\&#352;tudentsk&#253;_dom_Nitra_N&#225;bre&#382;ie_ml&#225;de&#382;e\V&#253;kaz%20v&#253;mer%20Rom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ISCES\F_114\Rozpo&#269;ty\Trnava%20SO%2011%20AO%20rozpo&#269;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"/>
      <sheetName val="REKAP"/>
      <sheetName val="Rozpocet"/>
      <sheetName val="#Figury"/>
    </sheetNames>
    <sheetDataSet>
      <sheetData sheetId="0">
        <row r="9">
          <cell r="E9" t="str">
            <v>E1.4 Elektroinštalácia</v>
          </cell>
        </row>
      </sheetData>
      <sheetData sheetId="1">
        <row r="4">
          <cell r="B4" t="str">
            <v>ZŚ s MŚ SUT - REKONŚTRUKCIA AREÁLU - TRNAVA</v>
          </cell>
        </row>
        <row r="5">
          <cell r="B5" t="str">
            <v>SO 01 Objekt pre správcu</v>
          </cell>
        </row>
        <row r="9">
          <cell r="B9" t="str">
            <v xml:space="preserve">Mesto Hlavná 1, 91771 Trnava 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.4.1 ST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"/>
      <sheetName val="Rozpocet"/>
      <sheetName val="#Figury"/>
    </sheetNames>
    <sheetDataSet>
      <sheetData sheetId="0">
        <row r="5">
          <cell r="P5" t="str">
            <v/>
          </cell>
        </row>
        <row r="26">
          <cell r="E26" t="str">
            <v xml:space="preserve">Mesto Hlavná 1, 91771 Trnava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workbookViewId="0">
      <selection activeCell="E5" sqref="E5:J5"/>
    </sheetView>
  </sheetViews>
  <sheetFormatPr defaultRowHeight="15"/>
  <cols>
    <col min="1" max="1" width="2.42578125" style="222" customWidth="1"/>
    <col min="2" max="2" width="1.85546875" style="222" customWidth="1"/>
    <col min="3" max="3" width="2.85546875" style="222" customWidth="1"/>
    <col min="4" max="4" width="6.7109375" style="222" customWidth="1"/>
    <col min="5" max="5" width="14.42578125" style="222" customWidth="1"/>
    <col min="6" max="6" width="0.5703125" style="222" customWidth="1"/>
    <col min="7" max="7" width="2.5703125" style="222" customWidth="1"/>
    <col min="8" max="8" width="14.28515625" style="222" customWidth="1"/>
    <col min="9" max="9" width="10.42578125" style="222" customWidth="1"/>
    <col min="10" max="10" width="8.85546875" style="222" customWidth="1"/>
    <col min="11" max="11" width="0.140625" style="222" hidden="1" customWidth="1"/>
    <col min="12" max="12" width="0.28515625" style="222" hidden="1" customWidth="1"/>
    <col min="13" max="13" width="3.42578125" style="222" customWidth="1"/>
    <col min="14" max="14" width="4.5703125" style="222" customWidth="1"/>
    <col min="15" max="15" width="13.42578125" style="222" bestFit="1" customWidth="1"/>
    <col min="16" max="16" width="3" style="222" customWidth="1"/>
    <col min="17" max="17" width="2" style="222" customWidth="1"/>
    <col min="18" max="18" width="14.7109375" style="222" customWidth="1"/>
    <col min="19" max="19" width="2" style="222" customWidth="1"/>
    <col min="20" max="256" width="9.140625" style="222"/>
    <col min="257" max="257" width="2.42578125" style="222" customWidth="1"/>
    <col min="258" max="258" width="1.85546875" style="222" customWidth="1"/>
    <col min="259" max="259" width="2.85546875" style="222" customWidth="1"/>
    <col min="260" max="260" width="6.7109375" style="222" customWidth="1"/>
    <col min="261" max="261" width="13.5703125" style="222" customWidth="1"/>
    <col min="262" max="262" width="0.5703125" style="222" customWidth="1"/>
    <col min="263" max="263" width="2.5703125" style="222" customWidth="1"/>
    <col min="264" max="264" width="2.7109375" style="222" customWidth="1"/>
    <col min="265" max="265" width="10.42578125" style="222" customWidth="1"/>
    <col min="266" max="266" width="13.28515625" style="222" customWidth="1"/>
    <col min="267" max="268" width="0" style="222" hidden="1" customWidth="1"/>
    <col min="269" max="269" width="2.85546875" style="222" customWidth="1"/>
    <col min="270" max="270" width="4.5703125" style="222" customWidth="1"/>
    <col min="271" max="271" width="12.42578125" style="222" customWidth="1"/>
    <col min="272" max="272" width="3" style="222" customWidth="1"/>
    <col min="273" max="273" width="2" style="222" customWidth="1"/>
    <col min="274" max="274" width="13.5703125" style="222" customWidth="1"/>
    <col min="275" max="275" width="2" style="222" customWidth="1"/>
    <col min="276" max="512" width="9.140625" style="222"/>
    <col min="513" max="513" width="2.42578125" style="222" customWidth="1"/>
    <col min="514" max="514" width="1.85546875" style="222" customWidth="1"/>
    <col min="515" max="515" width="2.85546875" style="222" customWidth="1"/>
    <col min="516" max="516" width="6.7109375" style="222" customWidth="1"/>
    <col min="517" max="517" width="13.5703125" style="222" customWidth="1"/>
    <col min="518" max="518" width="0.5703125" style="222" customWidth="1"/>
    <col min="519" max="519" width="2.5703125" style="222" customWidth="1"/>
    <col min="520" max="520" width="2.7109375" style="222" customWidth="1"/>
    <col min="521" max="521" width="10.42578125" style="222" customWidth="1"/>
    <col min="522" max="522" width="13.28515625" style="222" customWidth="1"/>
    <col min="523" max="524" width="0" style="222" hidden="1" customWidth="1"/>
    <col min="525" max="525" width="2.85546875" style="222" customWidth="1"/>
    <col min="526" max="526" width="4.5703125" style="222" customWidth="1"/>
    <col min="527" max="527" width="12.42578125" style="222" customWidth="1"/>
    <col min="528" max="528" width="3" style="222" customWidth="1"/>
    <col min="529" max="529" width="2" style="222" customWidth="1"/>
    <col min="530" max="530" width="13.5703125" style="222" customWidth="1"/>
    <col min="531" max="531" width="2" style="222" customWidth="1"/>
    <col min="532" max="768" width="9.140625" style="222"/>
    <col min="769" max="769" width="2.42578125" style="222" customWidth="1"/>
    <col min="770" max="770" width="1.85546875" style="222" customWidth="1"/>
    <col min="771" max="771" width="2.85546875" style="222" customWidth="1"/>
    <col min="772" max="772" width="6.7109375" style="222" customWidth="1"/>
    <col min="773" max="773" width="13.5703125" style="222" customWidth="1"/>
    <col min="774" max="774" width="0.5703125" style="222" customWidth="1"/>
    <col min="775" max="775" width="2.5703125" style="222" customWidth="1"/>
    <col min="776" max="776" width="2.7109375" style="222" customWidth="1"/>
    <col min="777" max="777" width="10.42578125" style="222" customWidth="1"/>
    <col min="778" max="778" width="13.28515625" style="222" customWidth="1"/>
    <col min="779" max="780" width="0" style="222" hidden="1" customWidth="1"/>
    <col min="781" max="781" width="2.85546875" style="222" customWidth="1"/>
    <col min="782" max="782" width="4.5703125" style="222" customWidth="1"/>
    <col min="783" max="783" width="12.42578125" style="222" customWidth="1"/>
    <col min="784" max="784" width="3" style="222" customWidth="1"/>
    <col min="785" max="785" width="2" style="222" customWidth="1"/>
    <col min="786" max="786" width="13.5703125" style="222" customWidth="1"/>
    <col min="787" max="787" width="2" style="222" customWidth="1"/>
    <col min="788" max="1024" width="9.140625" style="222"/>
    <col min="1025" max="1025" width="2.42578125" style="222" customWidth="1"/>
    <col min="1026" max="1026" width="1.85546875" style="222" customWidth="1"/>
    <col min="1027" max="1027" width="2.85546875" style="222" customWidth="1"/>
    <col min="1028" max="1028" width="6.7109375" style="222" customWidth="1"/>
    <col min="1029" max="1029" width="13.5703125" style="222" customWidth="1"/>
    <col min="1030" max="1030" width="0.5703125" style="222" customWidth="1"/>
    <col min="1031" max="1031" width="2.5703125" style="222" customWidth="1"/>
    <col min="1032" max="1032" width="2.7109375" style="222" customWidth="1"/>
    <col min="1033" max="1033" width="10.42578125" style="222" customWidth="1"/>
    <col min="1034" max="1034" width="13.28515625" style="222" customWidth="1"/>
    <col min="1035" max="1036" width="0" style="222" hidden="1" customWidth="1"/>
    <col min="1037" max="1037" width="2.85546875" style="222" customWidth="1"/>
    <col min="1038" max="1038" width="4.5703125" style="222" customWidth="1"/>
    <col min="1039" max="1039" width="12.42578125" style="222" customWidth="1"/>
    <col min="1040" max="1040" width="3" style="222" customWidth="1"/>
    <col min="1041" max="1041" width="2" style="222" customWidth="1"/>
    <col min="1042" max="1042" width="13.5703125" style="222" customWidth="1"/>
    <col min="1043" max="1043" width="2" style="222" customWidth="1"/>
    <col min="1044" max="1280" width="9.140625" style="222"/>
    <col min="1281" max="1281" width="2.42578125" style="222" customWidth="1"/>
    <col min="1282" max="1282" width="1.85546875" style="222" customWidth="1"/>
    <col min="1283" max="1283" width="2.85546875" style="222" customWidth="1"/>
    <col min="1284" max="1284" width="6.7109375" style="222" customWidth="1"/>
    <col min="1285" max="1285" width="13.5703125" style="222" customWidth="1"/>
    <col min="1286" max="1286" width="0.5703125" style="222" customWidth="1"/>
    <col min="1287" max="1287" width="2.5703125" style="222" customWidth="1"/>
    <col min="1288" max="1288" width="2.7109375" style="222" customWidth="1"/>
    <col min="1289" max="1289" width="10.42578125" style="222" customWidth="1"/>
    <col min="1290" max="1290" width="13.28515625" style="222" customWidth="1"/>
    <col min="1291" max="1292" width="0" style="222" hidden="1" customWidth="1"/>
    <col min="1293" max="1293" width="2.85546875" style="222" customWidth="1"/>
    <col min="1294" max="1294" width="4.5703125" style="222" customWidth="1"/>
    <col min="1295" max="1295" width="12.42578125" style="222" customWidth="1"/>
    <col min="1296" max="1296" width="3" style="222" customWidth="1"/>
    <col min="1297" max="1297" width="2" style="222" customWidth="1"/>
    <col min="1298" max="1298" width="13.5703125" style="222" customWidth="1"/>
    <col min="1299" max="1299" width="2" style="222" customWidth="1"/>
    <col min="1300" max="1536" width="9.140625" style="222"/>
    <col min="1537" max="1537" width="2.42578125" style="222" customWidth="1"/>
    <col min="1538" max="1538" width="1.85546875" style="222" customWidth="1"/>
    <col min="1539" max="1539" width="2.85546875" style="222" customWidth="1"/>
    <col min="1540" max="1540" width="6.7109375" style="222" customWidth="1"/>
    <col min="1541" max="1541" width="13.5703125" style="222" customWidth="1"/>
    <col min="1542" max="1542" width="0.5703125" style="222" customWidth="1"/>
    <col min="1543" max="1543" width="2.5703125" style="222" customWidth="1"/>
    <col min="1544" max="1544" width="2.7109375" style="222" customWidth="1"/>
    <col min="1545" max="1545" width="10.42578125" style="222" customWidth="1"/>
    <col min="1546" max="1546" width="13.28515625" style="222" customWidth="1"/>
    <col min="1547" max="1548" width="0" style="222" hidden="1" customWidth="1"/>
    <col min="1549" max="1549" width="2.85546875" style="222" customWidth="1"/>
    <col min="1550" max="1550" width="4.5703125" style="222" customWidth="1"/>
    <col min="1551" max="1551" width="12.42578125" style="222" customWidth="1"/>
    <col min="1552" max="1552" width="3" style="222" customWidth="1"/>
    <col min="1553" max="1553" width="2" style="222" customWidth="1"/>
    <col min="1554" max="1554" width="13.5703125" style="222" customWidth="1"/>
    <col min="1555" max="1555" width="2" style="222" customWidth="1"/>
    <col min="1556" max="1792" width="9.140625" style="222"/>
    <col min="1793" max="1793" width="2.42578125" style="222" customWidth="1"/>
    <col min="1794" max="1794" width="1.85546875" style="222" customWidth="1"/>
    <col min="1795" max="1795" width="2.85546875" style="222" customWidth="1"/>
    <col min="1796" max="1796" width="6.7109375" style="222" customWidth="1"/>
    <col min="1797" max="1797" width="13.5703125" style="222" customWidth="1"/>
    <col min="1798" max="1798" width="0.5703125" style="222" customWidth="1"/>
    <col min="1799" max="1799" width="2.5703125" style="222" customWidth="1"/>
    <col min="1800" max="1800" width="2.7109375" style="222" customWidth="1"/>
    <col min="1801" max="1801" width="10.42578125" style="222" customWidth="1"/>
    <col min="1802" max="1802" width="13.28515625" style="222" customWidth="1"/>
    <col min="1803" max="1804" width="0" style="222" hidden="1" customWidth="1"/>
    <col min="1805" max="1805" width="2.85546875" style="222" customWidth="1"/>
    <col min="1806" max="1806" width="4.5703125" style="222" customWidth="1"/>
    <col min="1807" max="1807" width="12.42578125" style="222" customWidth="1"/>
    <col min="1808" max="1808" width="3" style="222" customWidth="1"/>
    <col min="1809" max="1809" width="2" style="222" customWidth="1"/>
    <col min="1810" max="1810" width="13.5703125" style="222" customWidth="1"/>
    <col min="1811" max="1811" width="2" style="222" customWidth="1"/>
    <col min="1812" max="2048" width="9.140625" style="222"/>
    <col min="2049" max="2049" width="2.42578125" style="222" customWidth="1"/>
    <col min="2050" max="2050" width="1.85546875" style="222" customWidth="1"/>
    <col min="2051" max="2051" width="2.85546875" style="222" customWidth="1"/>
    <col min="2052" max="2052" width="6.7109375" style="222" customWidth="1"/>
    <col min="2053" max="2053" width="13.5703125" style="222" customWidth="1"/>
    <col min="2054" max="2054" width="0.5703125" style="222" customWidth="1"/>
    <col min="2055" max="2055" width="2.5703125" style="222" customWidth="1"/>
    <col min="2056" max="2056" width="2.7109375" style="222" customWidth="1"/>
    <col min="2057" max="2057" width="10.42578125" style="222" customWidth="1"/>
    <col min="2058" max="2058" width="13.28515625" style="222" customWidth="1"/>
    <col min="2059" max="2060" width="0" style="222" hidden="1" customWidth="1"/>
    <col min="2061" max="2061" width="2.85546875" style="222" customWidth="1"/>
    <col min="2062" max="2062" width="4.5703125" style="222" customWidth="1"/>
    <col min="2063" max="2063" width="12.42578125" style="222" customWidth="1"/>
    <col min="2064" max="2064" width="3" style="222" customWidth="1"/>
    <col min="2065" max="2065" width="2" style="222" customWidth="1"/>
    <col min="2066" max="2066" width="13.5703125" style="222" customWidth="1"/>
    <col min="2067" max="2067" width="2" style="222" customWidth="1"/>
    <col min="2068" max="2304" width="9.140625" style="222"/>
    <col min="2305" max="2305" width="2.42578125" style="222" customWidth="1"/>
    <col min="2306" max="2306" width="1.85546875" style="222" customWidth="1"/>
    <col min="2307" max="2307" width="2.85546875" style="222" customWidth="1"/>
    <col min="2308" max="2308" width="6.7109375" style="222" customWidth="1"/>
    <col min="2309" max="2309" width="13.5703125" style="222" customWidth="1"/>
    <col min="2310" max="2310" width="0.5703125" style="222" customWidth="1"/>
    <col min="2311" max="2311" width="2.5703125" style="222" customWidth="1"/>
    <col min="2312" max="2312" width="2.7109375" style="222" customWidth="1"/>
    <col min="2313" max="2313" width="10.42578125" style="222" customWidth="1"/>
    <col min="2314" max="2314" width="13.28515625" style="222" customWidth="1"/>
    <col min="2315" max="2316" width="0" style="222" hidden="1" customWidth="1"/>
    <col min="2317" max="2317" width="2.85546875" style="222" customWidth="1"/>
    <col min="2318" max="2318" width="4.5703125" style="222" customWidth="1"/>
    <col min="2319" max="2319" width="12.42578125" style="222" customWidth="1"/>
    <col min="2320" max="2320" width="3" style="222" customWidth="1"/>
    <col min="2321" max="2321" width="2" style="222" customWidth="1"/>
    <col min="2322" max="2322" width="13.5703125" style="222" customWidth="1"/>
    <col min="2323" max="2323" width="2" style="222" customWidth="1"/>
    <col min="2324" max="2560" width="9.140625" style="222"/>
    <col min="2561" max="2561" width="2.42578125" style="222" customWidth="1"/>
    <col min="2562" max="2562" width="1.85546875" style="222" customWidth="1"/>
    <col min="2563" max="2563" width="2.85546875" style="222" customWidth="1"/>
    <col min="2564" max="2564" width="6.7109375" style="222" customWidth="1"/>
    <col min="2565" max="2565" width="13.5703125" style="222" customWidth="1"/>
    <col min="2566" max="2566" width="0.5703125" style="222" customWidth="1"/>
    <col min="2567" max="2567" width="2.5703125" style="222" customWidth="1"/>
    <col min="2568" max="2568" width="2.7109375" style="222" customWidth="1"/>
    <col min="2569" max="2569" width="10.42578125" style="222" customWidth="1"/>
    <col min="2570" max="2570" width="13.28515625" style="222" customWidth="1"/>
    <col min="2571" max="2572" width="0" style="222" hidden="1" customWidth="1"/>
    <col min="2573" max="2573" width="2.85546875" style="222" customWidth="1"/>
    <col min="2574" max="2574" width="4.5703125" style="222" customWidth="1"/>
    <col min="2575" max="2575" width="12.42578125" style="222" customWidth="1"/>
    <col min="2576" max="2576" width="3" style="222" customWidth="1"/>
    <col min="2577" max="2577" width="2" style="222" customWidth="1"/>
    <col min="2578" max="2578" width="13.5703125" style="222" customWidth="1"/>
    <col min="2579" max="2579" width="2" style="222" customWidth="1"/>
    <col min="2580" max="2816" width="9.140625" style="222"/>
    <col min="2817" max="2817" width="2.42578125" style="222" customWidth="1"/>
    <col min="2818" max="2818" width="1.85546875" style="222" customWidth="1"/>
    <col min="2819" max="2819" width="2.85546875" style="222" customWidth="1"/>
    <col min="2820" max="2820" width="6.7109375" style="222" customWidth="1"/>
    <col min="2821" max="2821" width="13.5703125" style="222" customWidth="1"/>
    <col min="2822" max="2822" width="0.5703125" style="222" customWidth="1"/>
    <col min="2823" max="2823" width="2.5703125" style="222" customWidth="1"/>
    <col min="2824" max="2824" width="2.7109375" style="222" customWidth="1"/>
    <col min="2825" max="2825" width="10.42578125" style="222" customWidth="1"/>
    <col min="2826" max="2826" width="13.28515625" style="222" customWidth="1"/>
    <col min="2827" max="2828" width="0" style="222" hidden="1" customWidth="1"/>
    <col min="2829" max="2829" width="2.85546875" style="222" customWidth="1"/>
    <col min="2830" max="2830" width="4.5703125" style="222" customWidth="1"/>
    <col min="2831" max="2831" width="12.42578125" style="222" customWidth="1"/>
    <col min="2832" max="2832" width="3" style="222" customWidth="1"/>
    <col min="2833" max="2833" width="2" style="222" customWidth="1"/>
    <col min="2834" max="2834" width="13.5703125" style="222" customWidth="1"/>
    <col min="2835" max="2835" width="2" style="222" customWidth="1"/>
    <col min="2836" max="3072" width="9.140625" style="222"/>
    <col min="3073" max="3073" width="2.42578125" style="222" customWidth="1"/>
    <col min="3074" max="3074" width="1.85546875" style="222" customWidth="1"/>
    <col min="3075" max="3075" width="2.85546875" style="222" customWidth="1"/>
    <col min="3076" max="3076" width="6.7109375" style="222" customWidth="1"/>
    <col min="3077" max="3077" width="13.5703125" style="222" customWidth="1"/>
    <col min="3078" max="3078" width="0.5703125" style="222" customWidth="1"/>
    <col min="3079" max="3079" width="2.5703125" style="222" customWidth="1"/>
    <col min="3080" max="3080" width="2.7109375" style="222" customWidth="1"/>
    <col min="3081" max="3081" width="10.42578125" style="222" customWidth="1"/>
    <col min="3082" max="3082" width="13.28515625" style="222" customWidth="1"/>
    <col min="3083" max="3084" width="0" style="222" hidden="1" customWidth="1"/>
    <col min="3085" max="3085" width="2.85546875" style="222" customWidth="1"/>
    <col min="3086" max="3086" width="4.5703125" style="222" customWidth="1"/>
    <col min="3087" max="3087" width="12.42578125" style="222" customWidth="1"/>
    <col min="3088" max="3088" width="3" style="222" customWidth="1"/>
    <col min="3089" max="3089" width="2" style="222" customWidth="1"/>
    <col min="3090" max="3090" width="13.5703125" style="222" customWidth="1"/>
    <col min="3091" max="3091" width="2" style="222" customWidth="1"/>
    <col min="3092" max="3328" width="9.140625" style="222"/>
    <col min="3329" max="3329" width="2.42578125" style="222" customWidth="1"/>
    <col min="3330" max="3330" width="1.85546875" style="222" customWidth="1"/>
    <col min="3331" max="3331" width="2.85546875" style="222" customWidth="1"/>
    <col min="3332" max="3332" width="6.7109375" style="222" customWidth="1"/>
    <col min="3333" max="3333" width="13.5703125" style="222" customWidth="1"/>
    <col min="3334" max="3334" width="0.5703125" style="222" customWidth="1"/>
    <col min="3335" max="3335" width="2.5703125" style="222" customWidth="1"/>
    <col min="3336" max="3336" width="2.7109375" style="222" customWidth="1"/>
    <col min="3337" max="3337" width="10.42578125" style="222" customWidth="1"/>
    <col min="3338" max="3338" width="13.28515625" style="222" customWidth="1"/>
    <col min="3339" max="3340" width="0" style="222" hidden="1" customWidth="1"/>
    <col min="3341" max="3341" width="2.85546875" style="222" customWidth="1"/>
    <col min="3342" max="3342" width="4.5703125" style="222" customWidth="1"/>
    <col min="3343" max="3343" width="12.42578125" style="222" customWidth="1"/>
    <col min="3344" max="3344" width="3" style="222" customWidth="1"/>
    <col min="3345" max="3345" width="2" style="222" customWidth="1"/>
    <col min="3346" max="3346" width="13.5703125" style="222" customWidth="1"/>
    <col min="3347" max="3347" width="2" style="222" customWidth="1"/>
    <col min="3348" max="3584" width="9.140625" style="222"/>
    <col min="3585" max="3585" width="2.42578125" style="222" customWidth="1"/>
    <col min="3586" max="3586" width="1.85546875" style="222" customWidth="1"/>
    <col min="3587" max="3587" width="2.85546875" style="222" customWidth="1"/>
    <col min="3588" max="3588" width="6.7109375" style="222" customWidth="1"/>
    <col min="3589" max="3589" width="13.5703125" style="222" customWidth="1"/>
    <col min="3590" max="3590" width="0.5703125" style="222" customWidth="1"/>
    <col min="3591" max="3591" width="2.5703125" style="222" customWidth="1"/>
    <col min="3592" max="3592" width="2.7109375" style="222" customWidth="1"/>
    <col min="3593" max="3593" width="10.42578125" style="222" customWidth="1"/>
    <col min="3594" max="3594" width="13.28515625" style="222" customWidth="1"/>
    <col min="3595" max="3596" width="0" style="222" hidden="1" customWidth="1"/>
    <col min="3597" max="3597" width="2.85546875" style="222" customWidth="1"/>
    <col min="3598" max="3598" width="4.5703125" style="222" customWidth="1"/>
    <col min="3599" max="3599" width="12.42578125" style="222" customWidth="1"/>
    <col min="3600" max="3600" width="3" style="222" customWidth="1"/>
    <col min="3601" max="3601" width="2" style="222" customWidth="1"/>
    <col min="3602" max="3602" width="13.5703125" style="222" customWidth="1"/>
    <col min="3603" max="3603" width="2" style="222" customWidth="1"/>
    <col min="3604" max="3840" width="9.140625" style="222"/>
    <col min="3841" max="3841" width="2.42578125" style="222" customWidth="1"/>
    <col min="3842" max="3842" width="1.85546875" style="222" customWidth="1"/>
    <col min="3843" max="3843" width="2.85546875" style="222" customWidth="1"/>
    <col min="3844" max="3844" width="6.7109375" style="222" customWidth="1"/>
    <col min="3845" max="3845" width="13.5703125" style="222" customWidth="1"/>
    <col min="3846" max="3846" width="0.5703125" style="222" customWidth="1"/>
    <col min="3847" max="3847" width="2.5703125" style="222" customWidth="1"/>
    <col min="3848" max="3848" width="2.7109375" style="222" customWidth="1"/>
    <col min="3849" max="3849" width="10.42578125" style="222" customWidth="1"/>
    <col min="3850" max="3850" width="13.28515625" style="222" customWidth="1"/>
    <col min="3851" max="3852" width="0" style="222" hidden="1" customWidth="1"/>
    <col min="3853" max="3853" width="2.85546875" style="222" customWidth="1"/>
    <col min="3854" max="3854" width="4.5703125" style="222" customWidth="1"/>
    <col min="3855" max="3855" width="12.42578125" style="222" customWidth="1"/>
    <col min="3856" max="3856" width="3" style="222" customWidth="1"/>
    <col min="3857" max="3857" width="2" style="222" customWidth="1"/>
    <col min="3858" max="3858" width="13.5703125" style="222" customWidth="1"/>
    <col min="3859" max="3859" width="2" style="222" customWidth="1"/>
    <col min="3860" max="4096" width="9.140625" style="222"/>
    <col min="4097" max="4097" width="2.42578125" style="222" customWidth="1"/>
    <col min="4098" max="4098" width="1.85546875" style="222" customWidth="1"/>
    <col min="4099" max="4099" width="2.85546875" style="222" customWidth="1"/>
    <col min="4100" max="4100" width="6.7109375" style="222" customWidth="1"/>
    <col min="4101" max="4101" width="13.5703125" style="222" customWidth="1"/>
    <col min="4102" max="4102" width="0.5703125" style="222" customWidth="1"/>
    <col min="4103" max="4103" width="2.5703125" style="222" customWidth="1"/>
    <col min="4104" max="4104" width="2.7109375" style="222" customWidth="1"/>
    <col min="4105" max="4105" width="10.42578125" style="222" customWidth="1"/>
    <col min="4106" max="4106" width="13.28515625" style="222" customWidth="1"/>
    <col min="4107" max="4108" width="0" style="222" hidden="1" customWidth="1"/>
    <col min="4109" max="4109" width="2.85546875" style="222" customWidth="1"/>
    <col min="4110" max="4110" width="4.5703125" style="222" customWidth="1"/>
    <col min="4111" max="4111" width="12.42578125" style="222" customWidth="1"/>
    <col min="4112" max="4112" width="3" style="222" customWidth="1"/>
    <col min="4113" max="4113" width="2" style="222" customWidth="1"/>
    <col min="4114" max="4114" width="13.5703125" style="222" customWidth="1"/>
    <col min="4115" max="4115" width="2" style="222" customWidth="1"/>
    <col min="4116" max="4352" width="9.140625" style="222"/>
    <col min="4353" max="4353" width="2.42578125" style="222" customWidth="1"/>
    <col min="4354" max="4354" width="1.85546875" style="222" customWidth="1"/>
    <col min="4355" max="4355" width="2.85546875" style="222" customWidth="1"/>
    <col min="4356" max="4356" width="6.7109375" style="222" customWidth="1"/>
    <col min="4357" max="4357" width="13.5703125" style="222" customWidth="1"/>
    <col min="4358" max="4358" width="0.5703125" style="222" customWidth="1"/>
    <col min="4359" max="4359" width="2.5703125" style="222" customWidth="1"/>
    <col min="4360" max="4360" width="2.7109375" style="222" customWidth="1"/>
    <col min="4361" max="4361" width="10.42578125" style="222" customWidth="1"/>
    <col min="4362" max="4362" width="13.28515625" style="222" customWidth="1"/>
    <col min="4363" max="4364" width="0" style="222" hidden="1" customWidth="1"/>
    <col min="4365" max="4365" width="2.85546875" style="222" customWidth="1"/>
    <col min="4366" max="4366" width="4.5703125" style="222" customWidth="1"/>
    <col min="4367" max="4367" width="12.42578125" style="222" customWidth="1"/>
    <col min="4368" max="4368" width="3" style="222" customWidth="1"/>
    <col min="4369" max="4369" width="2" style="222" customWidth="1"/>
    <col min="4370" max="4370" width="13.5703125" style="222" customWidth="1"/>
    <col min="4371" max="4371" width="2" style="222" customWidth="1"/>
    <col min="4372" max="4608" width="9.140625" style="222"/>
    <col min="4609" max="4609" width="2.42578125" style="222" customWidth="1"/>
    <col min="4610" max="4610" width="1.85546875" style="222" customWidth="1"/>
    <col min="4611" max="4611" width="2.85546875" style="222" customWidth="1"/>
    <col min="4612" max="4612" width="6.7109375" style="222" customWidth="1"/>
    <col min="4613" max="4613" width="13.5703125" style="222" customWidth="1"/>
    <col min="4614" max="4614" width="0.5703125" style="222" customWidth="1"/>
    <col min="4615" max="4615" width="2.5703125" style="222" customWidth="1"/>
    <col min="4616" max="4616" width="2.7109375" style="222" customWidth="1"/>
    <col min="4617" max="4617" width="10.42578125" style="222" customWidth="1"/>
    <col min="4618" max="4618" width="13.28515625" style="222" customWidth="1"/>
    <col min="4619" max="4620" width="0" style="222" hidden="1" customWidth="1"/>
    <col min="4621" max="4621" width="2.85546875" style="222" customWidth="1"/>
    <col min="4622" max="4622" width="4.5703125" style="222" customWidth="1"/>
    <col min="4623" max="4623" width="12.42578125" style="222" customWidth="1"/>
    <col min="4624" max="4624" width="3" style="222" customWidth="1"/>
    <col min="4625" max="4625" width="2" style="222" customWidth="1"/>
    <col min="4626" max="4626" width="13.5703125" style="222" customWidth="1"/>
    <col min="4627" max="4627" width="2" style="222" customWidth="1"/>
    <col min="4628" max="4864" width="9.140625" style="222"/>
    <col min="4865" max="4865" width="2.42578125" style="222" customWidth="1"/>
    <col min="4866" max="4866" width="1.85546875" style="222" customWidth="1"/>
    <col min="4867" max="4867" width="2.85546875" style="222" customWidth="1"/>
    <col min="4868" max="4868" width="6.7109375" style="222" customWidth="1"/>
    <col min="4869" max="4869" width="13.5703125" style="222" customWidth="1"/>
    <col min="4870" max="4870" width="0.5703125" style="222" customWidth="1"/>
    <col min="4871" max="4871" width="2.5703125" style="222" customWidth="1"/>
    <col min="4872" max="4872" width="2.7109375" style="222" customWidth="1"/>
    <col min="4873" max="4873" width="10.42578125" style="222" customWidth="1"/>
    <col min="4874" max="4874" width="13.28515625" style="222" customWidth="1"/>
    <col min="4875" max="4876" width="0" style="222" hidden="1" customWidth="1"/>
    <col min="4877" max="4877" width="2.85546875" style="222" customWidth="1"/>
    <col min="4878" max="4878" width="4.5703125" style="222" customWidth="1"/>
    <col min="4879" max="4879" width="12.42578125" style="222" customWidth="1"/>
    <col min="4880" max="4880" width="3" style="222" customWidth="1"/>
    <col min="4881" max="4881" width="2" style="222" customWidth="1"/>
    <col min="4882" max="4882" width="13.5703125" style="222" customWidth="1"/>
    <col min="4883" max="4883" width="2" style="222" customWidth="1"/>
    <col min="4884" max="5120" width="9.140625" style="222"/>
    <col min="5121" max="5121" width="2.42578125" style="222" customWidth="1"/>
    <col min="5122" max="5122" width="1.85546875" style="222" customWidth="1"/>
    <col min="5123" max="5123" width="2.85546875" style="222" customWidth="1"/>
    <col min="5124" max="5124" width="6.7109375" style="222" customWidth="1"/>
    <col min="5125" max="5125" width="13.5703125" style="222" customWidth="1"/>
    <col min="5126" max="5126" width="0.5703125" style="222" customWidth="1"/>
    <col min="5127" max="5127" width="2.5703125" style="222" customWidth="1"/>
    <col min="5128" max="5128" width="2.7109375" style="222" customWidth="1"/>
    <col min="5129" max="5129" width="10.42578125" style="222" customWidth="1"/>
    <col min="5130" max="5130" width="13.28515625" style="222" customWidth="1"/>
    <col min="5131" max="5132" width="0" style="222" hidden="1" customWidth="1"/>
    <col min="5133" max="5133" width="2.85546875" style="222" customWidth="1"/>
    <col min="5134" max="5134" width="4.5703125" style="222" customWidth="1"/>
    <col min="5135" max="5135" width="12.42578125" style="222" customWidth="1"/>
    <col min="5136" max="5136" width="3" style="222" customWidth="1"/>
    <col min="5137" max="5137" width="2" style="222" customWidth="1"/>
    <col min="5138" max="5138" width="13.5703125" style="222" customWidth="1"/>
    <col min="5139" max="5139" width="2" style="222" customWidth="1"/>
    <col min="5140" max="5376" width="9.140625" style="222"/>
    <col min="5377" max="5377" width="2.42578125" style="222" customWidth="1"/>
    <col min="5378" max="5378" width="1.85546875" style="222" customWidth="1"/>
    <col min="5379" max="5379" width="2.85546875" style="222" customWidth="1"/>
    <col min="5380" max="5380" width="6.7109375" style="222" customWidth="1"/>
    <col min="5381" max="5381" width="13.5703125" style="222" customWidth="1"/>
    <col min="5382" max="5382" width="0.5703125" style="222" customWidth="1"/>
    <col min="5383" max="5383" width="2.5703125" style="222" customWidth="1"/>
    <col min="5384" max="5384" width="2.7109375" style="222" customWidth="1"/>
    <col min="5385" max="5385" width="10.42578125" style="222" customWidth="1"/>
    <col min="5386" max="5386" width="13.28515625" style="222" customWidth="1"/>
    <col min="5387" max="5388" width="0" style="222" hidden="1" customWidth="1"/>
    <col min="5389" max="5389" width="2.85546875" style="222" customWidth="1"/>
    <col min="5390" max="5390" width="4.5703125" style="222" customWidth="1"/>
    <col min="5391" max="5391" width="12.42578125" style="222" customWidth="1"/>
    <col min="5392" max="5392" width="3" style="222" customWidth="1"/>
    <col min="5393" max="5393" width="2" style="222" customWidth="1"/>
    <col min="5394" max="5394" width="13.5703125" style="222" customWidth="1"/>
    <col min="5395" max="5395" width="2" style="222" customWidth="1"/>
    <col min="5396" max="5632" width="9.140625" style="222"/>
    <col min="5633" max="5633" width="2.42578125" style="222" customWidth="1"/>
    <col min="5634" max="5634" width="1.85546875" style="222" customWidth="1"/>
    <col min="5635" max="5635" width="2.85546875" style="222" customWidth="1"/>
    <col min="5636" max="5636" width="6.7109375" style="222" customWidth="1"/>
    <col min="5637" max="5637" width="13.5703125" style="222" customWidth="1"/>
    <col min="5638" max="5638" width="0.5703125" style="222" customWidth="1"/>
    <col min="5639" max="5639" width="2.5703125" style="222" customWidth="1"/>
    <col min="5640" max="5640" width="2.7109375" style="222" customWidth="1"/>
    <col min="5641" max="5641" width="10.42578125" style="222" customWidth="1"/>
    <col min="5642" max="5642" width="13.28515625" style="222" customWidth="1"/>
    <col min="5643" max="5644" width="0" style="222" hidden="1" customWidth="1"/>
    <col min="5645" max="5645" width="2.85546875" style="222" customWidth="1"/>
    <col min="5646" max="5646" width="4.5703125" style="222" customWidth="1"/>
    <col min="5647" max="5647" width="12.42578125" style="222" customWidth="1"/>
    <col min="5648" max="5648" width="3" style="222" customWidth="1"/>
    <col min="5649" max="5649" width="2" style="222" customWidth="1"/>
    <col min="5650" max="5650" width="13.5703125" style="222" customWidth="1"/>
    <col min="5651" max="5651" width="2" style="222" customWidth="1"/>
    <col min="5652" max="5888" width="9.140625" style="222"/>
    <col min="5889" max="5889" width="2.42578125" style="222" customWidth="1"/>
    <col min="5890" max="5890" width="1.85546875" style="222" customWidth="1"/>
    <col min="5891" max="5891" width="2.85546875" style="222" customWidth="1"/>
    <col min="5892" max="5892" width="6.7109375" style="222" customWidth="1"/>
    <col min="5893" max="5893" width="13.5703125" style="222" customWidth="1"/>
    <col min="5894" max="5894" width="0.5703125" style="222" customWidth="1"/>
    <col min="5895" max="5895" width="2.5703125" style="222" customWidth="1"/>
    <col min="5896" max="5896" width="2.7109375" style="222" customWidth="1"/>
    <col min="5897" max="5897" width="10.42578125" style="222" customWidth="1"/>
    <col min="5898" max="5898" width="13.28515625" style="222" customWidth="1"/>
    <col min="5899" max="5900" width="0" style="222" hidden="1" customWidth="1"/>
    <col min="5901" max="5901" width="2.85546875" style="222" customWidth="1"/>
    <col min="5902" max="5902" width="4.5703125" style="222" customWidth="1"/>
    <col min="5903" max="5903" width="12.42578125" style="222" customWidth="1"/>
    <col min="5904" max="5904" width="3" style="222" customWidth="1"/>
    <col min="5905" max="5905" width="2" style="222" customWidth="1"/>
    <col min="5906" max="5906" width="13.5703125" style="222" customWidth="1"/>
    <col min="5907" max="5907" width="2" style="222" customWidth="1"/>
    <col min="5908" max="6144" width="9.140625" style="222"/>
    <col min="6145" max="6145" width="2.42578125" style="222" customWidth="1"/>
    <col min="6146" max="6146" width="1.85546875" style="222" customWidth="1"/>
    <col min="6147" max="6147" width="2.85546875" style="222" customWidth="1"/>
    <col min="6148" max="6148" width="6.7109375" style="222" customWidth="1"/>
    <col min="6149" max="6149" width="13.5703125" style="222" customWidth="1"/>
    <col min="6150" max="6150" width="0.5703125" style="222" customWidth="1"/>
    <col min="6151" max="6151" width="2.5703125" style="222" customWidth="1"/>
    <col min="6152" max="6152" width="2.7109375" style="222" customWidth="1"/>
    <col min="6153" max="6153" width="10.42578125" style="222" customWidth="1"/>
    <col min="6154" max="6154" width="13.28515625" style="222" customWidth="1"/>
    <col min="6155" max="6156" width="0" style="222" hidden="1" customWidth="1"/>
    <col min="6157" max="6157" width="2.85546875" style="222" customWidth="1"/>
    <col min="6158" max="6158" width="4.5703125" style="222" customWidth="1"/>
    <col min="6159" max="6159" width="12.42578125" style="222" customWidth="1"/>
    <col min="6160" max="6160" width="3" style="222" customWidth="1"/>
    <col min="6161" max="6161" width="2" style="222" customWidth="1"/>
    <col min="6162" max="6162" width="13.5703125" style="222" customWidth="1"/>
    <col min="6163" max="6163" width="2" style="222" customWidth="1"/>
    <col min="6164" max="6400" width="9.140625" style="222"/>
    <col min="6401" max="6401" width="2.42578125" style="222" customWidth="1"/>
    <col min="6402" max="6402" width="1.85546875" style="222" customWidth="1"/>
    <col min="6403" max="6403" width="2.85546875" style="222" customWidth="1"/>
    <col min="6404" max="6404" width="6.7109375" style="222" customWidth="1"/>
    <col min="6405" max="6405" width="13.5703125" style="222" customWidth="1"/>
    <col min="6406" max="6406" width="0.5703125" style="222" customWidth="1"/>
    <col min="6407" max="6407" width="2.5703125" style="222" customWidth="1"/>
    <col min="6408" max="6408" width="2.7109375" style="222" customWidth="1"/>
    <col min="6409" max="6409" width="10.42578125" style="222" customWidth="1"/>
    <col min="6410" max="6410" width="13.28515625" style="222" customWidth="1"/>
    <col min="6411" max="6412" width="0" style="222" hidden="1" customWidth="1"/>
    <col min="6413" max="6413" width="2.85546875" style="222" customWidth="1"/>
    <col min="6414" max="6414" width="4.5703125" style="222" customWidth="1"/>
    <col min="6415" max="6415" width="12.42578125" style="222" customWidth="1"/>
    <col min="6416" max="6416" width="3" style="222" customWidth="1"/>
    <col min="6417" max="6417" width="2" style="222" customWidth="1"/>
    <col min="6418" max="6418" width="13.5703125" style="222" customWidth="1"/>
    <col min="6419" max="6419" width="2" style="222" customWidth="1"/>
    <col min="6420" max="6656" width="9.140625" style="222"/>
    <col min="6657" max="6657" width="2.42578125" style="222" customWidth="1"/>
    <col min="6658" max="6658" width="1.85546875" style="222" customWidth="1"/>
    <col min="6659" max="6659" width="2.85546875" style="222" customWidth="1"/>
    <col min="6660" max="6660" width="6.7109375" style="222" customWidth="1"/>
    <col min="6661" max="6661" width="13.5703125" style="222" customWidth="1"/>
    <col min="6662" max="6662" width="0.5703125" style="222" customWidth="1"/>
    <col min="6663" max="6663" width="2.5703125" style="222" customWidth="1"/>
    <col min="6664" max="6664" width="2.7109375" style="222" customWidth="1"/>
    <col min="6665" max="6665" width="10.42578125" style="222" customWidth="1"/>
    <col min="6666" max="6666" width="13.28515625" style="222" customWidth="1"/>
    <col min="6667" max="6668" width="0" style="222" hidden="1" customWidth="1"/>
    <col min="6669" max="6669" width="2.85546875" style="222" customWidth="1"/>
    <col min="6670" max="6670" width="4.5703125" style="222" customWidth="1"/>
    <col min="6671" max="6671" width="12.42578125" style="222" customWidth="1"/>
    <col min="6672" max="6672" width="3" style="222" customWidth="1"/>
    <col min="6673" max="6673" width="2" style="222" customWidth="1"/>
    <col min="6674" max="6674" width="13.5703125" style="222" customWidth="1"/>
    <col min="6675" max="6675" width="2" style="222" customWidth="1"/>
    <col min="6676" max="6912" width="9.140625" style="222"/>
    <col min="6913" max="6913" width="2.42578125" style="222" customWidth="1"/>
    <col min="6914" max="6914" width="1.85546875" style="222" customWidth="1"/>
    <col min="6915" max="6915" width="2.85546875" style="222" customWidth="1"/>
    <col min="6916" max="6916" width="6.7109375" style="222" customWidth="1"/>
    <col min="6917" max="6917" width="13.5703125" style="222" customWidth="1"/>
    <col min="6918" max="6918" width="0.5703125" style="222" customWidth="1"/>
    <col min="6919" max="6919" width="2.5703125" style="222" customWidth="1"/>
    <col min="6920" max="6920" width="2.7109375" style="222" customWidth="1"/>
    <col min="6921" max="6921" width="10.42578125" style="222" customWidth="1"/>
    <col min="6922" max="6922" width="13.28515625" style="222" customWidth="1"/>
    <col min="6923" max="6924" width="0" style="222" hidden="1" customWidth="1"/>
    <col min="6925" max="6925" width="2.85546875" style="222" customWidth="1"/>
    <col min="6926" max="6926" width="4.5703125" style="222" customWidth="1"/>
    <col min="6927" max="6927" width="12.42578125" style="222" customWidth="1"/>
    <col min="6928" max="6928" width="3" style="222" customWidth="1"/>
    <col min="6929" max="6929" width="2" style="222" customWidth="1"/>
    <col min="6930" max="6930" width="13.5703125" style="222" customWidth="1"/>
    <col min="6931" max="6931" width="2" style="222" customWidth="1"/>
    <col min="6932" max="7168" width="9.140625" style="222"/>
    <col min="7169" max="7169" width="2.42578125" style="222" customWidth="1"/>
    <col min="7170" max="7170" width="1.85546875" style="222" customWidth="1"/>
    <col min="7171" max="7171" width="2.85546875" style="222" customWidth="1"/>
    <col min="7172" max="7172" width="6.7109375" style="222" customWidth="1"/>
    <col min="7173" max="7173" width="13.5703125" style="222" customWidth="1"/>
    <col min="7174" max="7174" width="0.5703125" style="222" customWidth="1"/>
    <col min="7175" max="7175" width="2.5703125" style="222" customWidth="1"/>
    <col min="7176" max="7176" width="2.7109375" style="222" customWidth="1"/>
    <col min="7177" max="7177" width="10.42578125" style="222" customWidth="1"/>
    <col min="7178" max="7178" width="13.28515625" style="222" customWidth="1"/>
    <col min="7179" max="7180" width="0" style="222" hidden="1" customWidth="1"/>
    <col min="7181" max="7181" width="2.85546875" style="222" customWidth="1"/>
    <col min="7182" max="7182" width="4.5703125" style="222" customWidth="1"/>
    <col min="7183" max="7183" width="12.42578125" style="222" customWidth="1"/>
    <col min="7184" max="7184" width="3" style="222" customWidth="1"/>
    <col min="7185" max="7185" width="2" style="222" customWidth="1"/>
    <col min="7186" max="7186" width="13.5703125" style="222" customWidth="1"/>
    <col min="7187" max="7187" width="2" style="222" customWidth="1"/>
    <col min="7188" max="7424" width="9.140625" style="222"/>
    <col min="7425" max="7425" width="2.42578125" style="222" customWidth="1"/>
    <col min="7426" max="7426" width="1.85546875" style="222" customWidth="1"/>
    <col min="7427" max="7427" width="2.85546875" style="222" customWidth="1"/>
    <col min="7428" max="7428" width="6.7109375" style="222" customWidth="1"/>
    <col min="7429" max="7429" width="13.5703125" style="222" customWidth="1"/>
    <col min="7430" max="7430" width="0.5703125" style="222" customWidth="1"/>
    <col min="7431" max="7431" width="2.5703125" style="222" customWidth="1"/>
    <col min="7432" max="7432" width="2.7109375" style="222" customWidth="1"/>
    <col min="7433" max="7433" width="10.42578125" style="222" customWidth="1"/>
    <col min="7434" max="7434" width="13.28515625" style="222" customWidth="1"/>
    <col min="7435" max="7436" width="0" style="222" hidden="1" customWidth="1"/>
    <col min="7437" max="7437" width="2.85546875" style="222" customWidth="1"/>
    <col min="7438" max="7438" width="4.5703125" style="222" customWidth="1"/>
    <col min="7439" max="7439" width="12.42578125" style="222" customWidth="1"/>
    <col min="7440" max="7440" width="3" style="222" customWidth="1"/>
    <col min="7441" max="7441" width="2" style="222" customWidth="1"/>
    <col min="7442" max="7442" width="13.5703125" style="222" customWidth="1"/>
    <col min="7443" max="7443" width="2" style="222" customWidth="1"/>
    <col min="7444" max="7680" width="9.140625" style="222"/>
    <col min="7681" max="7681" width="2.42578125" style="222" customWidth="1"/>
    <col min="7682" max="7682" width="1.85546875" style="222" customWidth="1"/>
    <col min="7683" max="7683" width="2.85546875" style="222" customWidth="1"/>
    <col min="7684" max="7684" width="6.7109375" style="222" customWidth="1"/>
    <col min="7685" max="7685" width="13.5703125" style="222" customWidth="1"/>
    <col min="7686" max="7686" width="0.5703125" style="222" customWidth="1"/>
    <col min="7687" max="7687" width="2.5703125" style="222" customWidth="1"/>
    <col min="7688" max="7688" width="2.7109375" style="222" customWidth="1"/>
    <col min="7689" max="7689" width="10.42578125" style="222" customWidth="1"/>
    <col min="7690" max="7690" width="13.28515625" style="222" customWidth="1"/>
    <col min="7691" max="7692" width="0" style="222" hidden="1" customWidth="1"/>
    <col min="7693" max="7693" width="2.85546875" style="222" customWidth="1"/>
    <col min="7694" max="7694" width="4.5703125" style="222" customWidth="1"/>
    <col min="7695" max="7695" width="12.42578125" style="222" customWidth="1"/>
    <col min="7696" max="7696" width="3" style="222" customWidth="1"/>
    <col min="7697" max="7697" width="2" style="222" customWidth="1"/>
    <col min="7698" max="7698" width="13.5703125" style="222" customWidth="1"/>
    <col min="7699" max="7699" width="2" style="222" customWidth="1"/>
    <col min="7700" max="7936" width="9.140625" style="222"/>
    <col min="7937" max="7937" width="2.42578125" style="222" customWidth="1"/>
    <col min="7938" max="7938" width="1.85546875" style="222" customWidth="1"/>
    <col min="7939" max="7939" width="2.85546875" style="222" customWidth="1"/>
    <col min="7940" max="7940" width="6.7109375" style="222" customWidth="1"/>
    <col min="7941" max="7941" width="13.5703125" style="222" customWidth="1"/>
    <col min="7942" max="7942" width="0.5703125" style="222" customWidth="1"/>
    <col min="7943" max="7943" width="2.5703125" style="222" customWidth="1"/>
    <col min="7944" max="7944" width="2.7109375" style="222" customWidth="1"/>
    <col min="7945" max="7945" width="10.42578125" style="222" customWidth="1"/>
    <col min="7946" max="7946" width="13.28515625" style="222" customWidth="1"/>
    <col min="7947" max="7948" width="0" style="222" hidden="1" customWidth="1"/>
    <col min="7949" max="7949" width="2.85546875" style="222" customWidth="1"/>
    <col min="7950" max="7950" width="4.5703125" style="222" customWidth="1"/>
    <col min="7951" max="7951" width="12.42578125" style="222" customWidth="1"/>
    <col min="7952" max="7952" width="3" style="222" customWidth="1"/>
    <col min="7953" max="7953" width="2" style="222" customWidth="1"/>
    <col min="7954" max="7954" width="13.5703125" style="222" customWidth="1"/>
    <col min="7955" max="7955" width="2" style="222" customWidth="1"/>
    <col min="7956" max="8192" width="9.140625" style="222"/>
    <col min="8193" max="8193" width="2.42578125" style="222" customWidth="1"/>
    <col min="8194" max="8194" width="1.85546875" style="222" customWidth="1"/>
    <col min="8195" max="8195" width="2.85546875" style="222" customWidth="1"/>
    <col min="8196" max="8196" width="6.7109375" style="222" customWidth="1"/>
    <col min="8197" max="8197" width="13.5703125" style="222" customWidth="1"/>
    <col min="8198" max="8198" width="0.5703125" style="222" customWidth="1"/>
    <col min="8199" max="8199" width="2.5703125" style="222" customWidth="1"/>
    <col min="8200" max="8200" width="2.7109375" style="222" customWidth="1"/>
    <col min="8201" max="8201" width="10.42578125" style="222" customWidth="1"/>
    <col min="8202" max="8202" width="13.28515625" style="222" customWidth="1"/>
    <col min="8203" max="8204" width="0" style="222" hidden="1" customWidth="1"/>
    <col min="8205" max="8205" width="2.85546875" style="222" customWidth="1"/>
    <col min="8206" max="8206" width="4.5703125" style="222" customWidth="1"/>
    <col min="8207" max="8207" width="12.42578125" style="222" customWidth="1"/>
    <col min="8208" max="8208" width="3" style="222" customWidth="1"/>
    <col min="8209" max="8209" width="2" style="222" customWidth="1"/>
    <col min="8210" max="8210" width="13.5703125" style="222" customWidth="1"/>
    <col min="8211" max="8211" width="2" style="222" customWidth="1"/>
    <col min="8212" max="8448" width="9.140625" style="222"/>
    <col min="8449" max="8449" width="2.42578125" style="222" customWidth="1"/>
    <col min="8450" max="8450" width="1.85546875" style="222" customWidth="1"/>
    <col min="8451" max="8451" width="2.85546875" style="222" customWidth="1"/>
    <col min="8452" max="8452" width="6.7109375" style="222" customWidth="1"/>
    <col min="8453" max="8453" width="13.5703125" style="222" customWidth="1"/>
    <col min="8454" max="8454" width="0.5703125" style="222" customWidth="1"/>
    <col min="8455" max="8455" width="2.5703125" style="222" customWidth="1"/>
    <col min="8456" max="8456" width="2.7109375" style="222" customWidth="1"/>
    <col min="8457" max="8457" width="10.42578125" style="222" customWidth="1"/>
    <col min="8458" max="8458" width="13.28515625" style="222" customWidth="1"/>
    <col min="8459" max="8460" width="0" style="222" hidden="1" customWidth="1"/>
    <col min="8461" max="8461" width="2.85546875" style="222" customWidth="1"/>
    <col min="8462" max="8462" width="4.5703125" style="222" customWidth="1"/>
    <col min="8463" max="8463" width="12.42578125" style="222" customWidth="1"/>
    <col min="8464" max="8464" width="3" style="222" customWidth="1"/>
    <col min="8465" max="8465" width="2" style="222" customWidth="1"/>
    <col min="8466" max="8466" width="13.5703125" style="222" customWidth="1"/>
    <col min="8467" max="8467" width="2" style="222" customWidth="1"/>
    <col min="8468" max="8704" width="9.140625" style="222"/>
    <col min="8705" max="8705" width="2.42578125" style="222" customWidth="1"/>
    <col min="8706" max="8706" width="1.85546875" style="222" customWidth="1"/>
    <col min="8707" max="8707" width="2.85546875" style="222" customWidth="1"/>
    <col min="8708" max="8708" width="6.7109375" style="222" customWidth="1"/>
    <col min="8709" max="8709" width="13.5703125" style="222" customWidth="1"/>
    <col min="8710" max="8710" width="0.5703125" style="222" customWidth="1"/>
    <col min="8711" max="8711" width="2.5703125" style="222" customWidth="1"/>
    <col min="8712" max="8712" width="2.7109375" style="222" customWidth="1"/>
    <col min="8713" max="8713" width="10.42578125" style="222" customWidth="1"/>
    <col min="8714" max="8714" width="13.28515625" style="222" customWidth="1"/>
    <col min="8715" max="8716" width="0" style="222" hidden="1" customWidth="1"/>
    <col min="8717" max="8717" width="2.85546875" style="222" customWidth="1"/>
    <col min="8718" max="8718" width="4.5703125" style="222" customWidth="1"/>
    <col min="8719" max="8719" width="12.42578125" style="222" customWidth="1"/>
    <col min="8720" max="8720" width="3" style="222" customWidth="1"/>
    <col min="8721" max="8721" width="2" style="222" customWidth="1"/>
    <col min="8722" max="8722" width="13.5703125" style="222" customWidth="1"/>
    <col min="8723" max="8723" width="2" style="222" customWidth="1"/>
    <col min="8724" max="8960" width="9.140625" style="222"/>
    <col min="8961" max="8961" width="2.42578125" style="222" customWidth="1"/>
    <col min="8962" max="8962" width="1.85546875" style="222" customWidth="1"/>
    <col min="8963" max="8963" width="2.85546875" style="222" customWidth="1"/>
    <col min="8964" max="8964" width="6.7109375" style="222" customWidth="1"/>
    <col min="8965" max="8965" width="13.5703125" style="222" customWidth="1"/>
    <col min="8966" max="8966" width="0.5703125" style="222" customWidth="1"/>
    <col min="8967" max="8967" width="2.5703125" style="222" customWidth="1"/>
    <col min="8968" max="8968" width="2.7109375" style="222" customWidth="1"/>
    <col min="8969" max="8969" width="10.42578125" style="222" customWidth="1"/>
    <col min="8970" max="8970" width="13.28515625" style="222" customWidth="1"/>
    <col min="8971" max="8972" width="0" style="222" hidden="1" customWidth="1"/>
    <col min="8973" max="8973" width="2.85546875" style="222" customWidth="1"/>
    <col min="8974" max="8974" width="4.5703125" style="222" customWidth="1"/>
    <col min="8975" max="8975" width="12.42578125" style="222" customWidth="1"/>
    <col min="8976" max="8976" width="3" style="222" customWidth="1"/>
    <col min="8977" max="8977" width="2" style="222" customWidth="1"/>
    <col min="8978" max="8978" width="13.5703125" style="222" customWidth="1"/>
    <col min="8979" max="8979" width="2" style="222" customWidth="1"/>
    <col min="8980" max="9216" width="9.140625" style="222"/>
    <col min="9217" max="9217" width="2.42578125" style="222" customWidth="1"/>
    <col min="9218" max="9218" width="1.85546875" style="222" customWidth="1"/>
    <col min="9219" max="9219" width="2.85546875" style="222" customWidth="1"/>
    <col min="9220" max="9220" width="6.7109375" style="222" customWidth="1"/>
    <col min="9221" max="9221" width="13.5703125" style="222" customWidth="1"/>
    <col min="9222" max="9222" width="0.5703125" style="222" customWidth="1"/>
    <col min="9223" max="9223" width="2.5703125" style="222" customWidth="1"/>
    <col min="9224" max="9224" width="2.7109375" style="222" customWidth="1"/>
    <col min="9225" max="9225" width="10.42578125" style="222" customWidth="1"/>
    <col min="9226" max="9226" width="13.28515625" style="222" customWidth="1"/>
    <col min="9227" max="9228" width="0" style="222" hidden="1" customWidth="1"/>
    <col min="9229" max="9229" width="2.85546875" style="222" customWidth="1"/>
    <col min="9230" max="9230" width="4.5703125" style="222" customWidth="1"/>
    <col min="9231" max="9231" width="12.42578125" style="222" customWidth="1"/>
    <col min="9232" max="9232" width="3" style="222" customWidth="1"/>
    <col min="9233" max="9233" width="2" style="222" customWidth="1"/>
    <col min="9234" max="9234" width="13.5703125" style="222" customWidth="1"/>
    <col min="9235" max="9235" width="2" style="222" customWidth="1"/>
    <col min="9236" max="9472" width="9.140625" style="222"/>
    <col min="9473" max="9473" width="2.42578125" style="222" customWidth="1"/>
    <col min="9474" max="9474" width="1.85546875" style="222" customWidth="1"/>
    <col min="9475" max="9475" width="2.85546875" style="222" customWidth="1"/>
    <col min="9476" max="9476" width="6.7109375" style="222" customWidth="1"/>
    <col min="9477" max="9477" width="13.5703125" style="222" customWidth="1"/>
    <col min="9478" max="9478" width="0.5703125" style="222" customWidth="1"/>
    <col min="9479" max="9479" width="2.5703125" style="222" customWidth="1"/>
    <col min="9480" max="9480" width="2.7109375" style="222" customWidth="1"/>
    <col min="9481" max="9481" width="10.42578125" style="222" customWidth="1"/>
    <col min="9482" max="9482" width="13.28515625" style="222" customWidth="1"/>
    <col min="9483" max="9484" width="0" style="222" hidden="1" customWidth="1"/>
    <col min="9485" max="9485" width="2.85546875" style="222" customWidth="1"/>
    <col min="9486" max="9486" width="4.5703125" style="222" customWidth="1"/>
    <col min="9487" max="9487" width="12.42578125" style="222" customWidth="1"/>
    <col min="9488" max="9488" width="3" style="222" customWidth="1"/>
    <col min="9489" max="9489" width="2" style="222" customWidth="1"/>
    <col min="9490" max="9490" width="13.5703125" style="222" customWidth="1"/>
    <col min="9491" max="9491" width="2" style="222" customWidth="1"/>
    <col min="9492" max="9728" width="9.140625" style="222"/>
    <col min="9729" max="9729" width="2.42578125" style="222" customWidth="1"/>
    <col min="9730" max="9730" width="1.85546875" style="222" customWidth="1"/>
    <col min="9731" max="9731" width="2.85546875" style="222" customWidth="1"/>
    <col min="9732" max="9732" width="6.7109375" style="222" customWidth="1"/>
    <col min="9733" max="9733" width="13.5703125" style="222" customWidth="1"/>
    <col min="9734" max="9734" width="0.5703125" style="222" customWidth="1"/>
    <col min="9735" max="9735" width="2.5703125" style="222" customWidth="1"/>
    <col min="9736" max="9736" width="2.7109375" style="222" customWidth="1"/>
    <col min="9737" max="9737" width="10.42578125" style="222" customWidth="1"/>
    <col min="9738" max="9738" width="13.28515625" style="222" customWidth="1"/>
    <col min="9739" max="9740" width="0" style="222" hidden="1" customWidth="1"/>
    <col min="9741" max="9741" width="2.85546875" style="222" customWidth="1"/>
    <col min="9742" max="9742" width="4.5703125" style="222" customWidth="1"/>
    <col min="9743" max="9743" width="12.42578125" style="222" customWidth="1"/>
    <col min="9744" max="9744" width="3" style="222" customWidth="1"/>
    <col min="9745" max="9745" width="2" style="222" customWidth="1"/>
    <col min="9746" max="9746" width="13.5703125" style="222" customWidth="1"/>
    <col min="9747" max="9747" width="2" style="222" customWidth="1"/>
    <col min="9748" max="9984" width="9.140625" style="222"/>
    <col min="9985" max="9985" width="2.42578125" style="222" customWidth="1"/>
    <col min="9986" max="9986" width="1.85546875" style="222" customWidth="1"/>
    <col min="9987" max="9987" width="2.85546875" style="222" customWidth="1"/>
    <col min="9988" max="9988" width="6.7109375" style="222" customWidth="1"/>
    <col min="9989" max="9989" width="13.5703125" style="222" customWidth="1"/>
    <col min="9990" max="9990" width="0.5703125" style="222" customWidth="1"/>
    <col min="9991" max="9991" width="2.5703125" style="222" customWidth="1"/>
    <col min="9992" max="9992" width="2.7109375" style="222" customWidth="1"/>
    <col min="9993" max="9993" width="10.42578125" style="222" customWidth="1"/>
    <col min="9994" max="9994" width="13.28515625" style="222" customWidth="1"/>
    <col min="9995" max="9996" width="0" style="222" hidden="1" customWidth="1"/>
    <col min="9997" max="9997" width="2.85546875" style="222" customWidth="1"/>
    <col min="9998" max="9998" width="4.5703125" style="222" customWidth="1"/>
    <col min="9999" max="9999" width="12.42578125" style="222" customWidth="1"/>
    <col min="10000" max="10000" width="3" style="222" customWidth="1"/>
    <col min="10001" max="10001" width="2" style="222" customWidth="1"/>
    <col min="10002" max="10002" width="13.5703125" style="222" customWidth="1"/>
    <col min="10003" max="10003" width="2" style="222" customWidth="1"/>
    <col min="10004" max="10240" width="9.140625" style="222"/>
    <col min="10241" max="10241" width="2.42578125" style="222" customWidth="1"/>
    <col min="10242" max="10242" width="1.85546875" style="222" customWidth="1"/>
    <col min="10243" max="10243" width="2.85546875" style="222" customWidth="1"/>
    <col min="10244" max="10244" width="6.7109375" style="222" customWidth="1"/>
    <col min="10245" max="10245" width="13.5703125" style="222" customWidth="1"/>
    <col min="10246" max="10246" width="0.5703125" style="222" customWidth="1"/>
    <col min="10247" max="10247" width="2.5703125" style="222" customWidth="1"/>
    <col min="10248" max="10248" width="2.7109375" style="222" customWidth="1"/>
    <col min="10249" max="10249" width="10.42578125" style="222" customWidth="1"/>
    <col min="10250" max="10250" width="13.28515625" style="222" customWidth="1"/>
    <col min="10251" max="10252" width="0" style="222" hidden="1" customWidth="1"/>
    <col min="10253" max="10253" width="2.85546875" style="222" customWidth="1"/>
    <col min="10254" max="10254" width="4.5703125" style="222" customWidth="1"/>
    <col min="10255" max="10255" width="12.42578125" style="222" customWidth="1"/>
    <col min="10256" max="10256" width="3" style="222" customWidth="1"/>
    <col min="10257" max="10257" width="2" style="222" customWidth="1"/>
    <col min="10258" max="10258" width="13.5703125" style="222" customWidth="1"/>
    <col min="10259" max="10259" width="2" style="222" customWidth="1"/>
    <col min="10260" max="10496" width="9.140625" style="222"/>
    <col min="10497" max="10497" width="2.42578125" style="222" customWidth="1"/>
    <col min="10498" max="10498" width="1.85546875" style="222" customWidth="1"/>
    <col min="10499" max="10499" width="2.85546875" style="222" customWidth="1"/>
    <col min="10500" max="10500" width="6.7109375" style="222" customWidth="1"/>
    <col min="10501" max="10501" width="13.5703125" style="222" customWidth="1"/>
    <col min="10502" max="10502" width="0.5703125" style="222" customWidth="1"/>
    <col min="10503" max="10503" width="2.5703125" style="222" customWidth="1"/>
    <col min="10504" max="10504" width="2.7109375" style="222" customWidth="1"/>
    <col min="10505" max="10505" width="10.42578125" style="222" customWidth="1"/>
    <col min="10506" max="10506" width="13.28515625" style="222" customWidth="1"/>
    <col min="10507" max="10508" width="0" style="222" hidden="1" customWidth="1"/>
    <col min="10509" max="10509" width="2.85546875" style="222" customWidth="1"/>
    <col min="10510" max="10510" width="4.5703125" style="222" customWidth="1"/>
    <col min="10511" max="10511" width="12.42578125" style="222" customWidth="1"/>
    <col min="10512" max="10512" width="3" style="222" customWidth="1"/>
    <col min="10513" max="10513" width="2" style="222" customWidth="1"/>
    <col min="10514" max="10514" width="13.5703125" style="222" customWidth="1"/>
    <col min="10515" max="10515" width="2" style="222" customWidth="1"/>
    <col min="10516" max="10752" width="9.140625" style="222"/>
    <col min="10753" max="10753" width="2.42578125" style="222" customWidth="1"/>
    <col min="10754" max="10754" width="1.85546875" style="222" customWidth="1"/>
    <col min="10755" max="10755" width="2.85546875" style="222" customWidth="1"/>
    <col min="10756" max="10756" width="6.7109375" style="222" customWidth="1"/>
    <col min="10757" max="10757" width="13.5703125" style="222" customWidth="1"/>
    <col min="10758" max="10758" width="0.5703125" style="222" customWidth="1"/>
    <col min="10759" max="10759" width="2.5703125" style="222" customWidth="1"/>
    <col min="10760" max="10760" width="2.7109375" style="222" customWidth="1"/>
    <col min="10761" max="10761" width="10.42578125" style="222" customWidth="1"/>
    <col min="10762" max="10762" width="13.28515625" style="222" customWidth="1"/>
    <col min="10763" max="10764" width="0" style="222" hidden="1" customWidth="1"/>
    <col min="10765" max="10765" width="2.85546875" style="222" customWidth="1"/>
    <col min="10766" max="10766" width="4.5703125" style="222" customWidth="1"/>
    <col min="10767" max="10767" width="12.42578125" style="222" customWidth="1"/>
    <col min="10768" max="10768" width="3" style="222" customWidth="1"/>
    <col min="10769" max="10769" width="2" style="222" customWidth="1"/>
    <col min="10770" max="10770" width="13.5703125" style="222" customWidth="1"/>
    <col min="10771" max="10771" width="2" style="222" customWidth="1"/>
    <col min="10772" max="11008" width="9.140625" style="222"/>
    <col min="11009" max="11009" width="2.42578125" style="222" customWidth="1"/>
    <col min="11010" max="11010" width="1.85546875" style="222" customWidth="1"/>
    <col min="11011" max="11011" width="2.85546875" style="222" customWidth="1"/>
    <col min="11012" max="11012" width="6.7109375" style="222" customWidth="1"/>
    <col min="11013" max="11013" width="13.5703125" style="222" customWidth="1"/>
    <col min="11014" max="11014" width="0.5703125" style="222" customWidth="1"/>
    <col min="11015" max="11015" width="2.5703125" style="222" customWidth="1"/>
    <col min="11016" max="11016" width="2.7109375" style="222" customWidth="1"/>
    <col min="11017" max="11017" width="10.42578125" style="222" customWidth="1"/>
    <col min="11018" max="11018" width="13.28515625" style="222" customWidth="1"/>
    <col min="11019" max="11020" width="0" style="222" hidden="1" customWidth="1"/>
    <col min="11021" max="11021" width="2.85546875" style="222" customWidth="1"/>
    <col min="11022" max="11022" width="4.5703125" style="222" customWidth="1"/>
    <col min="11023" max="11023" width="12.42578125" style="222" customWidth="1"/>
    <col min="11024" max="11024" width="3" style="222" customWidth="1"/>
    <col min="11025" max="11025" width="2" style="222" customWidth="1"/>
    <col min="11026" max="11026" width="13.5703125" style="222" customWidth="1"/>
    <col min="11027" max="11027" width="2" style="222" customWidth="1"/>
    <col min="11028" max="11264" width="9.140625" style="222"/>
    <col min="11265" max="11265" width="2.42578125" style="222" customWidth="1"/>
    <col min="11266" max="11266" width="1.85546875" style="222" customWidth="1"/>
    <col min="11267" max="11267" width="2.85546875" style="222" customWidth="1"/>
    <col min="11268" max="11268" width="6.7109375" style="222" customWidth="1"/>
    <col min="11269" max="11269" width="13.5703125" style="222" customWidth="1"/>
    <col min="11270" max="11270" width="0.5703125" style="222" customWidth="1"/>
    <col min="11271" max="11271" width="2.5703125" style="222" customWidth="1"/>
    <col min="11272" max="11272" width="2.7109375" style="222" customWidth="1"/>
    <col min="11273" max="11273" width="10.42578125" style="222" customWidth="1"/>
    <col min="11274" max="11274" width="13.28515625" style="222" customWidth="1"/>
    <col min="11275" max="11276" width="0" style="222" hidden="1" customWidth="1"/>
    <col min="11277" max="11277" width="2.85546875" style="222" customWidth="1"/>
    <col min="11278" max="11278" width="4.5703125" style="222" customWidth="1"/>
    <col min="11279" max="11279" width="12.42578125" style="222" customWidth="1"/>
    <col min="11280" max="11280" width="3" style="222" customWidth="1"/>
    <col min="11281" max="11281" width="2" style="222" customWidth="1"/>
    <col min="11282" max="11282" width="13.5703125" style="222" customWidth="1"/>
    <col min="11283" max="11283" width="2" style="222" customWidth="1"/>
    <col min="11284" max="11520" width="9.140625" style="222"/>
    <col min="11521" max="11521" width="2.42578125" style="222" customWidth="1"/>
    <col min="11522" max="11522" width="1.85546875" style="222" customWidth="1"/>
    <col min="11523" max="11523" width="2.85546875" style="222" customWidth="1"/>
    <col min="11524" max="11524" width="6.7109375" style="222" customWidth="1"/>
    <col min="11525" max="11525" width="13.5703125" style="222" customWidth="1"/>
    <col min="11526" max="11526" width="0.5703125" style="222" customWidth="1"/>
    <col min="11527" max="11527" width="2.5703125" style="222" customWidth="1"/>
    <col min="11528" max="11528" width="2.7109375" style="222" customWidth="1"/>
    <col min="11529" max="11529" width="10.42578125" style="222" customWidth="1"/>
    <col min="11530" max="11530" width="13.28515625" style="222" customWidth="1"/>
    <col min="11531" max="11532" width="0" style="222" hidden="1" customWidth="1"/>
    <col min="11533" max="11533" width="2.85546875" style="222" customWidth="1"/>
    <col min="11534" max="11534" width="4.5703125" style="222" customWidth="1"/>
    <col min="11535" max="11535" width="12.42578125" style="222" customWidth="1"/>
    <col min="11536" max="11536" width="3" style="222" customWidth="1"/>
    <col min="11537" max="11537" width="2" style="222" customWidth="1"/>
    <col min="11538" max="11538" width="13.5703125" style="222" customWidth="1"/>
    <col min="11539" max="11539" width="2" style="222" customWidth="1"/>
    <col min="11540" max="11776" width="9.140625" style="222"/>
    <col min="11777" max="11777" width="2.42578125" style="222" customWidth="1"/>
    <col min="11778" max="11778" width="1.85546875" style="222" customWidth="1"/>
    <col min="11779" max="11779" width="2.85546875" style="222" customWidth="1"/>
    <col min="11780" max="11780" width="6.7109375" style="222" customWidth="1"/>
    <col min="11781" max="11781" width="13.5703125" style="222" customWidth="1"/>
    <col min="11782" max="11782" width="0.5703125" style="222" customWidth="1"/>
    <col min="11783" max="11783" width="2.5703125" style="222" customWidth="1"/>
    <col min="11784" max="11784" width="2.7109375" style="222" customWidth="1"/>
    <col min="11785" max="11785" width="10.42578125" style="222" customWidth="1"/>
    <col min="11786" max="11786" width="13.28515625" style="222" customWidth="1"/>
    <col min="11787" max="11788" width="0" style="222" hidden="1" customWidth="1"/>
    <col min="11789" max="11789" width="2.85546875" style="222" customWidth="1"/>
    <col min="11790" max="11790" width="4.5703125" style="222" customWidth="1"/>
    <col min="11791" max="11791" width="12.42578125" style="222" customWidth="1"/>
    <col min="11792" max="11792" width="3" style="222" customWidth="1"/>
    <col min="11793" max="11793" width="2" style="222" customWidth="1"/>
    <col min="11794" max="11794" width="13.5703125" style="222" customWidth="1"/>
    <col min="11795" max="11795" width="2" style="222" customWidth="1"/>
    <col min="11796" max="12032" width="9.140625" style="222"/>
    <col min="12033" max="12033" width="2.42578125" style="222" customWidth="1"/>
    <col min="12034" max="12034" width="1.85546875" style="222" customWidth="1"/>
    <col min="12035" max="12035" width="2.85546875" style="222" customWidth="1"/>
    <col min="12036" max="12036" width="6.7109375" style="222" customWidth="1"/>
    <col min="12037" max="12037" width="13.5703125" style="222" customWidth="1"/>
    <col min="12038" max="12038" width="0.5703125" style="222" customWidth="1"/>
    <col min="12039" max="12039" width="2.5703125" style="222" customWidth="1"/>
    <col min="12040" max="12040" width="2.7109375" style="222" customWidth="1"/>
    <col min="12041" max="12041" width="10.42578125" style="222" customWidth="1"/>
    <col min="12042" max="12042" width="13.28515625" style="222" customWidth="1"/>
    <col min="12043" max="12044" width="0" style="222" hidden="1" customWidth="1"/>
    <col min="12045" max="12045" width="2.85546875" style="222" customWidth="1"/>
    <col min="12046" max="12046" width="4.5703125" style="222" customWidth="1"/>
    <col min="12047" max="12047" width="12.42578125" style="222" customWidth="1"/>
    <col min="12048" max="12048" width="3" style="222" customWidth="1"/>
    <col min="12049" max="12049" width="2" style="222" customWidth="1"/>
    <col min="12050" max="12050" width="13.5703125" style="222" customWidth="1"/>
    <col min="12051" max="12051" width="2" style="222" customWidth="1"/>
    <col min="12052" max="12288" width="9.140625" style="222"/>
    <col min="12289" max="12289" width="2.42578125" style="222" customWidth="1"/>
    <col min="12290" max="12290" width="1.85546875" style="222" customWidth="1"/>
    <col min="12291" max="12291" width="2.85546875" style="222" customWidth="1"/>
    <col min="12292" max="12292" width="6.7109375" style="222" customWidth="1"/>
    <col min="12293" max="12293" width="13.5703125" style="222" customWidth="1"/>
    <col min="12294" max="12294" width="0.5703125" style="222" customWidth="1"/>
    <col min="12295" max="12295" width="2.5703125" style="222" customWidth="1"/>
    <col min="12296" max="12296" width="2.7109375" style="222" customWidth="1"/>
    <col min="12297" max="12297" width="10.42578125" style="222" customWidth="1"/>
    <col min="12298" max="12298" width="13.28515625" style="222" customWidth="1"/>
    <col min="12299" max="12300" width="0" style="222" hidden="1" customWidth="1"/>
    <col min="12301" max="12301" width="2.85546875" style="222" customWidth="1"/>
    <col min="12302" max="12302" width="4.5703125" style="222" customWidth="1"/>
    <col min="12303" max="12303" width="12.42578125" style="222" customWidth="1"/>
    <col min="12304" max="12304" width="3" style="222" customWidth="1"/>
    <col min="12305" max="12305" width="2" style="222" customWidth="1"/>
    <col min="12306" max="12306" width="13.5703125" style="222" customWidth="1"/>
    <col min="12307" max="12307" width="2" style="222" customWidth="1"/>
    <col min="12308" max="12544" width="9.140625" style="222"/>
    <col min="12545" max="12545" width="2.42578125" style="222" customWidth="1"/>
    <col min="12546" max="12546" width="1.85546875" style="222" customWidth="1"/>
    <col min="12547" max="12547" width="2.85546875" style="222" customWidth="1"/>
    <col min="12548" max="12548" width="6.7109375" style="222" customWidth="1"/>
    <col min="12549" max="12549" width="13.5703125" style="222" customWidth="1"/>
    <col min="12550" max="12550" width="0.5703125" style="222" customWidth="1"/>
    <col min="12551" max="12551" width="2.5703125" style="222" customWidth="1"/>
    <col min="12552" max="12552" width="2.7109375" style="222" customWidth="1"/>
    <col min="12553" max="12553" width="10.42578125" style="222" customWidth="1"/>
    <col min="12554" max="12554" width="13.28515625" style="222" customWidth="1"/>
    <col min="12555" max="12556" width="0" style="222" hidden="1" customWidth="1"/>
    <col min="12557" max="12557" width="2.85546875" style="222" customWidth="1"/>
    <col min="12558" max="12558" width="4.5703125" style="222" customWidth="1"/>
    <col min="12559" max="12559" width="12.42578125" style="222" customWidth="1"/>
    <col min="12560" max="12560" width="3" style="222" customWidth="1"/>
    <col min="12561" max="12561" width="2" style="222" customWidth="1"/>
    <col min="12562" max="12562" width="13.5703125" style="222" customWidth="1"/>
    <col min="12563" max="12563" width="2" style="222" customWidth="1"/>
    <col min="12564" max="12800" width="9.140625" style="222"/>
    <col min="12801" max="12801" width="2.42578125" style="222" customWidth="1"/>
    <col min="12802" max="12802" width="1.85546875" style="222" customWidth="1"/>
    <col min="12803" max="12803" width="2.85546875" style="222" customWidth="1"/>
    <col min="12804" max="12804" width="6.7109375" style="222" customWidth="1"/>
    <col min="12805" max="12805" width="13.5703125" style="222" customWidth="1"/>
    <col min="12806" max="12806" width="0.5703125" style="222" customWidth="1"/>
    <col min="12807" max="12807" width="2.5703125" style="222" customWidth="1"/>
    <col min="12808" max="12808" width="2.7109375" style="222" customWidth="1"/>
    <col min="12809" max="12809" width="10.42578125" style="222" customWidth="1"/>
    <col min="12810" max="12810" width="13.28515625" style="222" customWidth="1"/>
    <col min="12811" max="12812" width="0" style="222" hidden="1" customWidth="1"/>
    <col min="12813" max="12813" width="2.85546875" style="222" customWidth="1"/>
    <col min="12814" max="12814" width="4.5703125" style="222" customWidth="1"/>
    <col min="12815" max="12815" width="12.42578125" style="222" customWidth="1"/>
    <col min="12816" max="12816" width="3" style="222" customWidth="1"/>
    <col min="12817" max="12817" width="2" style="222" customWidth="1"/>
    <col min="12818" max="12818" width="13.5703125" style="222" customWidth="1"/>
    <col min="12819" max="12819" width="2" style="222" customWidth="1"/>
    <col min="12820" max="13056" width="9.140625" style="222"/>
    <col min="13057" max="13057" width="2.42578125" style="222" customWidth="1"/>
    <col min="13058" max="13058" width="1.85546875" style="222" customWidth="1"/>
    <col min="13059" max="13059" width="2.85546875" style="222" customWidth="1"/>
    <col min="13060" max="13060" width="6.7109375" style="222" customWidth="1"/>
    <col min="13061" max="13061" width="13.5703125" style="222" customWidth="1"/>
    <col min="13062" max="13062" width="0.5703125" style="222" customWidth="1"/>
    <col min="13063" max="13063" width="2.5703125" style="222" customWidth="1"/>
    <col min="13064" max="13064" width="2.7109375" style="222" customWidth="1"/>
    <col min="13065" max="13065" width="10.42578125" style="222" customWidth="1"/>
    <col min="13066" max="13066" width="13.28515625" style="222" customWidth="1"/>
    <col min="13067" max="13068" width="0" style="222" hidden="1" customWidth="1"/>
    <col min="13069" max="13069" width="2.85546875" style="222" customWidth="1"/>
    <col min="13070" max="13070" width="4.5703125" style="222" customWidth="1"/>
    <col min="13071" max="13071" width="12.42578125" style="222" customWidth="1"/>
    <col min="13072" max="13072" width="3" style="222" customWidth="1"/>
    <col min="13073" max="13073" width="2" style="222" customWidth="1"/>
    <col min="13074" max="13074" width="13.5703125" style="222" customWidth="1"/>
    <col min="13075" max="13075" width="2" style="222" customWidth="1"/>
    <col min="13076" max="13312" width="9.140625" style="222"/>
    <col min="13313" max="13313" width="2.42578125" style="222" customWidth="1"/>
    <col min="13314" max="13314" width="1.85546875" style="222" customWidth="1"/>
    <col min="13315" max="13315" width="2.85546875" style="222" customWidth="1"/>
    <col min="13316" max="13316" width="6.7109375" style="222" customWidth="1"/>
    <col min="13317" max="13317" width="13.5703125" style="222" customWidth="1"/>
    <col min="13318" max="13318" width="0.5703125" style="222" customWidth="1"/>
    <col min="13319" max="13319" width="2.5703125" style="222" customWidth="1"/>
    <col min="13320" max="13320" width="2.7109375" style="222" customWidth="1"/>
    <col min="13321" max="13321" width="10.42578125" style="222" customWidth="1"/>
    <col min="13322" max="13322" width="13.28515625" style="222" customWidth="1"/>
    <col min="13323" max="13324" width="0" style="222" hidden="1" customWidth="1"/>
    <col min="13325" max="13325" width="2.85546875" style="222" customWidth="1"/>
    <col min="13326" max="13326" width="4.5703125" style="222" customWidth="1"/>
    <col min="13327" max="13327" width="12.42578125" style="222" customWidth="1"/>
    <col min="13328" max="13328" width="3" style="222" customWidth="1"/>
    <col min="13329" max="13329" width="2" style="222" customWidth="1"/>
    <col min="13330" max="13330" width="13.5703125" style="222" customWidth="1"/>
    <col min="13331" max="13331" width="2" style="222" customWidth="1"/>
    <col min="13332" max="13568" width="9.140625" style="222"/>
    <col min="13569" max="13569" width="2.42578125" style="222" customWidth="1"/>
    <col min="13570" max="13570" width="1.85546875" style="222" customWidth="1"/>
    <col min="13571" max="13571" width="2.85546875" style="222" customWidth="1"/>
    <col min="13572" max="13572" width="6.7109375" style="222" customWidth="1"/>
    <col min="13573" max="13573" width="13.5703125" style="222" customWidth="1"/>
    <col min="13574" max="13574" width="0.5703125" style="222" customWidth="1"/>
    <col min="13575" max="13575" width="2.5703125" style="222" customWidth="1"/>
    <col min="13576" max="13576" width="2.7109375" style="222" customWidth="1"/>
    <col min="13577" max="13577" width="10.42578125" style="222" customWidth="1"/>
    <col min="13578" max="13578" width="13.28515625" style="222" customWidth="1"/>
    <col min="13579" max="13580" width="0" style="222" hidden="1" customWidth="1"/>
    <col min="13581" max="13581" width="2.85546875" style="222" customWidth="1"/>
    <col min="13582" max="13582" width="4.5703125" style="222" customWidth="1"/>
    <col min="13583" max="13583" width="12.42578125" style="222" customWidth="1"/>
    <col min="13584" max="13584" width="3" style="222" customWidth="1"/>
    <col min="13585" max="13585" width="2" style="222" customWidth="1"/>
    <col min="13586" max="13586" width="13.5703125" style="222" customWidth="1"/>
    <col min="13587" max="13587" width="2" style="222" customWidth="1"/>
    <col min="13588" max="13824" width="9.140625" style="222"/>
    <col min="13825" max="13825" width="2.42578125" style="222" customWidth="1"/>
    <col min="13826" max="13826" width="1.85546875" style="222" customWidth="1"/>
    <col min="13827" max="13827" width="2.85546875" style="222" customWidth="1"/>
    <col min="13828" max="13828" width="6.7109375" style="222" customWidth="1"/>
    <col min="13829" max="13829" width="13.5703125" style="222" customWidth="1"/>
    <col min="13830" max="13830" width="0.5703125" style="222" customWidth="1"/>
    <col min="13831" max="13831" width="2.5703125" style="222" customWidth="1"/>
    <col min="13832" max="13832" width="2.7109375" style="222" customWidth="1"/>
    <col min="13833" max="13833" width="10.42578125" style="222" customWidth="1"/>
    <col min="13834" max="13834" width="13.28515625" style="222" customWidth="1"/>
    <col min="13835" max="13836" width="0" style="222" hidden="1" customWidth="1"/>
    <col min="13837" max="13837" width="2.85546875" style="222" customWidth="1"/>
    <col min="13838" max="13838" width="4.5703125" style="222" customWidth="1"/>
    <col min="13839" max="13839" width="12.42578125" style="222" customWidth="1"/>
    <col min="13840" max="13840" width="3" style="222" customWidth="1"/>
    <col min="13841" max="13841" width="2" style="222" customWidth="1"/>
    <col min="13842" max="13842" width="13.5703125" style="222" customWidth="1"/>
    <col min="13843" max="13843" width="2" style="222" customWidth="1"/>
    <col min="13844" max="14080" width="9.140625" style="222"/>
    <col min="14081" max="14081" width="2.42578125" style="222" customWidth="1"/>
    <col min="14082" max="14082" width="1.85546875" style="222" customWidth="1"/>
    <col min="14083" max="14083" width="2.85546875" style="222" customWidth="1"/>
    <col min="14084" max="14084" width="6.7109375" style="222" customWidth="1"/>
    <col min="14085" max="14085" width="13.5703125" style="222" customWidth="1"/>
    <col min="14086" max="14086" width="0.5703125" style="222" customWidth="1"/>
    <col min="14087" max="14087" width="2.5703125" style="222" customWidth="1"/>
    <col min="14088" max="14088" width="2.7109375" style="222" customWidth="1"/>
    <col min="14089" max="14089" width="10.42578125" style="222" customWidth="1"/>
    <col min="14090" max="14090" width="13.28515625" style="222" customWidth="1"/>
    <col min="14091" max="14092" width="0" style="222" hidden="1" customWidth="1"/>
    <col min="14093" max="14093" width="2.85546875" style="222" customWidth="1"/>
    <col min="14094" max="14094" width="4.5703125" style="222" customWidth="1"/>
    <col min="14095" max="14095" width="12.42578125" style="222" customWidth="1"/>
    <col min="14096" max="14096" width="3" style="222" customWidth="1"/>
    <col min="14097" max="14097" width="2" style="222" customWidth="1"/>
    <col min="14098" max="14098" width="13.5703125" style="222" customWidth="1"/>
    <col min="14099" max="14099" width="2" style="222" customWidth="1"/>
    <col min="14100" max="14336" width="9.140625" style="222"/>
    <col min="14337" max="14337" width="2.42578125" style="222" customWidth="1"/>
    <col min="14338" max="14338" width="1.85546875" style="222" customWidth="1"/>
    <col min="14339" max="14339" width="2.85546875" style="222" customWidth="1"/>
    <col min="14340" max="14340" width="6.7109375" style="222" customWidth="1"/>
    <col min="14341" max="14341" width="13.5703125" style="222" customWidth="1"/>
    <col min="14342" max="14342" width="0.5703125" style="222" customWidth="1"/>
    <col min="14343" max="14343" width="2.5703125" style="222" customWidth="1"/>
    <col min="14344" max="14344" width="2.7109375" style="222" customWidth="1"/>
    <col min="14345" max="14345" width="10.42578125" style="222" customWidth="1"/>
    <col min="14346" max="14346" width="13.28515625" style="222" customWidth="1"/>
    <col min="14347" max="14348" width="0" style="222" hidden="1" customWidth="1"/>
    <col min="14349" max="14349" width="2.85546875" style="222" customWidth="1"/>
    <col min="14350" max="14350" width="4.5703125" style="222" customWidth="1"/>
    <col min="14351" max="14351" width="12.42578125" style="222" customWidth="1"/>
    <col min="14352" max="14352" width="3" style="222" customWidth="1"/>
    <col min="14353" max="14353" width="2" style="222" customWidth="1"/>
    <col min="14354" max="14354" width="13.5703125" style="222" customWidth="1"/>
    <col min="14355" max="14355" width="2" style="222" customWidth="1"/>
    <col min="14356" max="14592" width="9.140625" style="222"/>
    <col min="14593" max="14593" width="2.42578125" style="222" customWidth="1"/>
    <col min="14594" max="14594" width="1.85546875" style="222" customWidth="1"/>
    <col min="14595" max="14595" width="2.85546875" style="222" customWidth="1"/>
    <col min="14596" max="14596" width="6.7109375" style="222" customWidth="1"/>
    <col min="14597" max="14597" width="13.5703125" style="222" customWidth="1"/>
    <col min="14598" max="14598" width="0.5703125" style="222" customWidth="1"/>
    <col min="14599" max="14599" width="2.5703125" style="222" customWidth="1"/>
    <col min="14600" max="14600" width="2.7109375" style="222" customWidth="1"/>
    <col min="14601" max="14601" width="10.42578125" style="222" customWidth="1"/>
    <col min="14602" max="14602" width="13.28515625" style="222" customWidth="1"/>
    <col min="14603" max="14604" width="0" style="222" hidden="1" customWidth="1"/>
    <col min="14605" max="14605" width="2.85546875" style="222" customWidth="1"/>
    <col min="14606" max="14606" width="4.5703125" style="222" customWidth="1"/>
    <col min="14607" max="14607" width="12.42578125" style="222" customWidth="1"/>
    <col min="14608" max="14608" width="3" style="222" customWidth="1"/>
    <col min="14609" max="14609" width="2" style="222" customWidth="1"/>
    <col min="14610" max="14610" width="13.5703125" style="222" customWidth="1"/>
    <col min="14611" max="14611" width="2" style="222" customWidth="1"/>
    <col min="14612" max="14848" width="9.140625" style="222"/>
    <col min="14849" max="14849" width="2.42578125" style="222" customWidth="1"/>
    <col min="14850" max="14850" width="1.85546875" style="222" customWidth="1"/>
    <col min="14851" max="14851" width="2.85546875" style="222" customWidth="1"/>
    <col min="14852" max="14852" width="6.7109375" style="222" customWidth="1"/>
    <col min="14853" max="14853" width="13.5703125" style="222" customWidth="1"/>
    <col min="14854" max="14854" width="0.5703125" style="222" customWidth="1"/>
    <col min="14855" max="14855" width="2.5703125" style="222" customWidth="1"/>
    <col min="14856" max="14856" width="2.7109375" style="222" customWidth="1"/>
    <col min="14857" max="14857" width="10.42578125" style="222" customWidth="1"/>
    <col min="14858" max="14858" width="13.28515625" style="222" customWidth="1"/>
    <col min="14859" max="14860" width="0" style="222" hidden="1" customWidth="1"/>
    <col min="14861" max="14861" width="2.85546875" style="222" customWidth="1"/>
    <col min="14862" max="14862" width="4.5703125" style="222" customWidth="1"/>
    <col min="14863" max="14863" width="12.42578125" style="222" customWidth="1"/>
    <col min="14864" max="14864" width="3" style="222" customWidth="1"/>
    <col min="14865" max="14865" width="2" style="222" customWidth="1"/>
    <col min="14866" max="14866" width="13.5703125" style="222" customWidth="1"/>
    <col min="14867" max="14867" width="2" style="222" customWidth="1"/>
    <col min="14868" max="15104" width="9.140625" style="222"/>
    <col min="15105" max="15105" width="2.42578125" style="222" customWidth="1"/>
    <col min="15106" max="15106" width="1.85546875" style="222" customWidth="1"/>
    <col min="15107" max="15107" width="2.85546875" style="222" customWidth="1"/>
    <col min="15108" max="15108" width="6.7109375" style="222" customWidth="1"/>
    <col min="15109" max="15109" width="13.5703125" style="222" customWidth="1"/>
    <col min="15110" max="15110" width="0.5703125" style="222" customWidth="1"/>
    <col min="15111" max="15111" width="2.5703125" style="222" customWidth="1"/>
    <col min="15112" max="15112" width="2.7109375" style="222" customWidth="1"/>
    <col min="15113" max="15113" width="10.42578125" style="222" customWidth="1"/>
    <col min="15114" max="15114" width="13.28515625" style="222" customWidth="1"/>
    <col min="15115" max="15116" width="0" style="222" hidden="1" customWidth="1"/>
    <col min="15117" max="15117" width="2.85546875" style="222" customWidth="1"/>
    <col min="15118" max="15118" width="4.5703125" style="222" customWidth="1"/>
    <col min="15119" max="15119" width="12.42578125" style="222" customWidth="1"/>
    <col min="15120" max="15120" width="3" style="222" customWidth="1"/>
    <col min="15121" max="15121" width="2" style="222" customWidth="1"/>
    <col min="15122" max="15122" width="13.5703125" style="222" customWidth="1"/>
    <col min="15123" max="15123" width="2" style="222" customWidth="1"/>
    <col min="15124" max="15360" width="9.140625" style="222"/>
    <col min="15361" max="15361" width="2.42578125" style="222" customWidth="1"/>
    <col min="15362" max="15362" width="1.85546875" style="222" customWidth="1"/>
    <col min="15363" max="15363" width="2.85546875" style="222" customWidth="1"/>
    <col min="15364" max="15364" width="6.7109375" style="222" customWidth="1"/>
    <col min="15365" max="15365" width="13.5703125" style="222" customWidth="1"/>
    <col min="15366" max="15366" width="0.5703125" style="222" customWidth="1"/>
    <col min="15367" max="15367" width="2.5703125" style="222" customWidth="1"/>
    <col min="15368" max="15368" width="2.7109375" style="222" customWidth="1"/>
    <col min="15369" max="15369" width="10.42578125" style="222" customWidth="1"/>
    <col min="15370" max="15370" width="13.28515625" style="222" customWidth="1"/>
    <col min="15371" max="15372" width="0" style="222" hidden="1" customWidth="1"/>
    <col min="15373" max="15373" width="2.85546875" style="222" customWidth="1"/>
    <col min="15374" max="15374" width="4.5703125" style="222" customWidth="1"/>
    <col min="15375" max="15375" width="12.42578125" style="222" customWidth="1"/>
    <col min="15376" max="15376" width="3" style="222" customWidth="1"/>
    <col min="15377" max="15377" width="2" style="222" customWidth="1"/>
    <col min="15378" max="15378" width="13.5703125" style="222" customWidth="1"/>
    <col min="15379" max="15379" width="2" style="222" customWidth="1"/>
    <col min="15380" max="15616" width="9.140625" style="222"/>
    <col min="15617" max="15617" width="2.42578125" style="222" customWidth="1"/>
    <col min="15618" max="15618" width="1.85546875" style="222" customWidth="1"/>
    <col min="15619" max="15619" width="2.85546875" style="222" customWidth="1"/>
    <col min="15620" max="15620" width="6.7109375" style="222" customWidth="1"/>
    <col min="15621" max="15621" width="13.5703125" style="222" customWidth="1"/>
    <col min="15622" max="15622" width="0.5703125" style="222" customWidth="1"/>
    <col min="15623" max="15623" width="2.5703125" style="222" customWidth="1"/>
    <col min="15624" max="15624" width="2.7109375" style="222" customWidth="1"/>
    <col min="15625" max="15625" width="10.42578125" style="222" customWidth="1"/>
    <col min="15626" max="15626" width="13.28515625" style="222" customWidth="1"/>
    <col min="15627" max="15628" width="0" style="222" hidden="1" customWidth="1"/>
    <col min="15629" max="15629" width="2.85546875" style="222" customWidth="1"/>
    <col min="15630" max="15630" width="4.5703125" style="222" customWidth="1"/>
    <col min="15631" max="15631" width="12.42578125" style="222" customWidth="1"/>
    <col min="15632" max="15632" width="3" style="222" customWidth="1"/>
    <col min="15633" max="15633" width="2" style="222" customWidth="1"/>
    <col min="15634" max="15634" width="13.5703125" style="222" customWidth="1"/>
    <col min="15635" max="15635" width="2" style="222" customWidth="1"/>
    <col min="15636" max="15872" width="9.140625" style="222"/>
    <col min="15873" max="15873" width="2.42578125" style="222" customWidth="1"/>
    <col min="15874" max="15874" width="1.85546875" style="222" customWidth="1"/>
    <col min="15875" max="15875" width="2.85546875" style="222" customWidth="1"/>
    <col min="15876" max="15876" width="6.7109375" style="222" customWidth="1"/>
    <col min="15877" max="15877" width="13.5703125" style="222" customWidth="1"/>
    <col min="15878" max="15878" width="0.5703125" style="222" customWidth="1"/>
    <col min="15879" max="15879" width="2.5703125" style="222" customWidth="1"/>
    <col min="15880" max="15880" width="2.7109375" style="222" customWidth="1"/>
    <col min="15881" max="15881" width="10.42578125" style="222" customWidth="1"/>
    <col min="15882" max="15882" width="13.28515625" style="222" customWidth="1"/>
    <col min="15883" max="15884" width="0" style="222" hidden="1" customWidth="1"/>
    <col min="15885" max="15885" width="2.85546875" style="222" customWidth="1"/>
    <col min="15886" max="15886" width="4.5703125" style="222" customWidth="1"/>
    <col min="15887" max="15887" width="12.42578125" style="222" customWidth="1"/>
    <col min="15888" max="15888" width="3" style="222" customWidth="1"/>
    <col min="15889" max="15889" width="2" style="222" customWidth="1"/>
    <col min="15890" max="15890" width="13.5703125" style="222" customWidth="1"/>
    <col min="15891" max="15891" width="2" style="222" customWidth="1"/>
    <col min="15892" max="16128" width="9.140625" style="222"/>
    <col min="16129" max="16129" width="2.42578125" style="222" customWidth="1"/>
    <col min="16130" max="16130" width="1.85546875" style="222" customWidth="1"/>
    <col min="16131" max="16131" width="2.85546875" style="222" customWidth="1"/>
    <col min="16132" max="16132" width="6.7109375" style="222" customWidth="1"/>
    <col min="16133" max="16133" width="13.5703125" style="222" customWidth="1"/>
    <col min="16134" max="16134" width="0.5703125" style="222" customWidth="1"/>
    <col min="16135" max="16135" width="2.5703125" style="222" customWidth="1"/>
    <col min="16136" max="16136" width="2.7109375" style="222" customWidth="1"/>
    <col min="16137" max="16137" width="10.42578125" style="222" customWidth="1"/>
    <col min="16138" max="16138" width="13.28515625" style="222" customWidth="1"/>
    <col min="16139" max="16140" width="0" style="222" hidden="1" customWidth="1"/>
    <col min="16141" max="16141" width="2.85546875" style="222" customWidth="1"/>
    <col min="16142" max="16142" width="4.5703125" style="222" customWidth="1"/>
    <col min="16143" max="16143" width="12.42578125" style="222" customWidth="1"/>
    <col min="16144" max="16144" width="3" style="222" customWidth="1"/>
    <col min="16145" max="16145" width="2" style="222" customWidth="1"/>
    <col min="16146" max="16146" width="13.5703125" style="222" customWidth="1"/>
    <col min="16147" max="16147" width="2" style="222" customWidth="1"/>
    <col min="16148" max="16384" width="9.140625" style="222"/>
  </cols>
  <sheetData>
    <row r="1" spans="1:19" ht="12" customHeight="1">
      <c r="A1" s="219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19" ht="23.25" customHeight="1">
      <c r="A2" s="223"/>
      <c r="B2" s="224"/>
      <c r="C2" s="224"/>
      <c r="D2" s="224"/>
      <c r="E2" s="224"/>
      <c r="F2" s="224"/>
      <c r="G2" s="225" t="s">
        <v>433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6"/>
    </row>
    <row r="3" spans="1:19" ht="12" customHeight="1">
      <c r="A3" s="227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9"/>
    </row>
    <row r="4" spans="1:19" ht="8.25" customHeight="1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2"/>
    </row>
    <row r="5" spans="1:19" ht="21.75" customHeight="1">
      <c r="A5" s="233"/>
      <c r="B5" s="234" t="s">
        <v>434</v>
      </c>
      <c r="C5" s="234"/>
      <c r="D5" s="234"/>
      <c r="E5" s="1107" t="s">
        <v>2664</v>
      </c>
      <c r="F5" s="1108"/>
      <c r="G5" s="1108"/>
      <c r="H5" s="1108"/>
      <c r="I5" s="1108"/>
      <c r="J5" s="1109"/>
      <c r="K5" s="235"/>
      <c r="L5" s="236"/>
      <c r="M5" s="234"/>
      <c r="N5" s="234"/>
      <c r="O5" s="234" t="s">
        <v>435</v>
      </c>
      <c r="P5" s="237" t="s">
        <v>436</v>
      </c>
      <c r="Q5" s="238"/>
      <c r="R5" s="236"/>
      <c r="S5" s="239"/>
    </row>
    <row r="6" spans="1:19" ht="17.25" hidden="1" customHeight="1">
      <c r="A6" s="233"/>
      <c r="B6" s="234" t="s">
        <v>437</v>
      </c>
      <c r="C6" s="234"/>
      <c r="D6" s="234"/>
      <c r="E6" s="240" t="s">
        <v>438</v>
      </c>
      <c r="F6" s="234"/>
      <c r="G6" s="234"/>
      <c r="H6" s="234"/>
      <c r="I6" s="234"/>
      <c r="J6" s="241"/>
      <c r="K6" s="234"/>
      <c r="L6" s="241"/>
      <c r="M6" s="234"/>
      <c r="N6" s="234"/>
      <c r="O6" s="234"/>
      <c r="P6" s="242"/>
      <c r="Q6" s="243"/>
      <c r="R6" s="241"/>
      <c r="S6" s="239"/>
    </row>
    <row r="7" spans="1:19" ht="15.75" customHeight="1">
      <c r="A7" s="233"/>
      <c r="B7" s="234" t="s">
        <v>439</v>
      </c>
      <c r="C7" s="234"/>
      <c r="D7" s="234"/>
      <c r="E7" s="240"/>
      <c r="F7" s="234"/>
      <c r="G7" s="234"/>
      <c r="H7" s="234"/>
      <c r="I7" s="234"/>
      <c r="J7" s="241"/>
      <c r="K7" s="234"/>
      <c r="L7" s="241"/>
      <c r="M7" s="234"/>
      <c r="N7" s="234"/>
      <c r="O7" s="234" t="s">
        <v>440</v>
      </c>
      <c r="P7" s="240"/>
      <c r="Q7" s="243"/>
      <c r="R7" s="241"/>
      <c r="S7" s="239"/>
    </row>
    <row r="8" spans="1:19" ht="17.25" hidden="1" customHeight="1">
      <c r="A8" s="233"/>
      <c r="B8" s="234" t="s">
        <v>441</v>
      </c>
      <c r="C8" s="234"/>
      <c r="D8" s="234"/>
      <c r="E8" s="240" t="s">
        <v>442</v>
      </c>
      <c r="F8" s="234"/>
      <c r="G8" s="234"/>
      <c r="H8" s="234"/>
      <c r="I8" s="234"/>
      <c r="J8" s="241"/>
      <c r="K8" s="234"/>
      <c r="L8" s="241"/>
      <c r="M8" s="234"/>
      <c r="N8" s="234"/>
      <c r="O8" s="234"/>
      <c r="P8" s="242"/>
      <c r="Q8" s="243"/>
      <c r="R8" s="241"/>
      <c r="S8" s="239"/>
    </row>
    <row r="9" spans="1:19" ht="15.75" customHeight="1">
      <c r="A9" s="233"/>
      <c r="B9" s="234" t="s">
        <v>443</v>
      </c>
      <c r="C9" s="234"/>
      <c r="D9" s="234"/>
      <c r="E9" s="244"/>
      <c r="F9" s="245"/>
      <c r="G9" s="245"/>
      <c r="H9" s="245"/>
      <c r="I9" s="245"/>
      <c r="J9" s="246"/>
      <c r="K9" s="245"/>
      <c r="L9" s="246"/>
      <c r="M9" s="234"/>
      <c r="N9" s="234"/>
      <c r="O9" s="234" t="s">
        <v>444</v>
      </c>
      <c r="P9" s="247"/>
      <c r="Q9" s="248"/>
      <c r="R9" s="246"/>
      <c r="S9" s="239"/>
    </row>
    <row r="10" spans="1:19" ht="17.25" hidden="1" customHeight="1">
      <c r="A10" s="233"/>
      <c r="B10" s="234" t="s">
        <v>445</v>
      </c>
      <c r="C10" s="234"/>
      <c r="D10" s="234"/>
      <c r="E10" s="249" t="s">
        <v>436</v>
      </c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43"/>
      <c r="Q10" s="243"/>
      <c r="R10" s="234"/>
      <c r="S10" s="239"/>
    </row>
    <row r="11" spans="1:19" ht="17.25" hidden="1" customHeight="1">
      <c r="A11" s="233"/>
      <c r="B11" s="234" t="s">
        <v>446</v>
      </c>
      <c r="C11" s="234"/>
      <c r="D11" s="234"/>
      <c r="E11" s="249" t="s">
        <v>436</v>
      </c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43"/>
      <c r="Q11" s="243"/>
      <c r="R11" s="234"/>
      <c r="S11" s="239"/>
    </row>
    <row r="12" spans="1:19" ht="17.25" hidden="1" customHeight="1">
      <c r="A12" s="233"/>
      <c r="B12" s="234" t="s">
        <v>447</v>
      </c>
      <c r="C12" s="234"/>
      <c r="D12" s="234"/>
      <c r="E12" s="249" t="s">
        <v>436</v>
      </c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43"/>
      <c r="Q12" s="243"/>
      <c r="R12" s="234"/>
      <c r="S12" s="239"/>
    </row>
    <row r="13" spans="1:19" ht="17.25" hidden="1" customHeight="1">
      <c r="A13" s="233"/>
      <c r="B13" s="234"/>
      <c r="C13" s="234"/>
      <c r="D13" s="234"/>
      <c r="E13" s="249" t="s">
        <v>436</v>
      </c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43"/>
      <c r="Q13" s="243"/>
      <c r="R13" s="234"/>
      <c r="S13" s="239"/>
    </row>
    <row r="14" spans="1:19" ht="17.25" hidden="1" customHeight="1">
      <c r="A14" s="233"/>
      <c r="B14" s="234"/>
      <c r="C14" s="234"/>
      <c r="D14" s="234"/>
      <c r="E14" s="249" t="s">
        <v>436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43"/>
      <c r="Q14" s="243"/>
      <c r="R14" s="234"/>
      <c r="S14" s="239"/>
    </row>
    <row r="15" spans="1:19" ht="17.25" hidden="1" customHeight="1">
      <c r="A15" s="233"/>
      <c r="B15" s="234"/>
      <c r="C15" s="234"/>
      <c r="D15" s="234"/>
      <c r="E15" s="249" t="s">
        <v>436</v>
      </c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43"/>
      <c r="Q15" s="243"/>
      <c r="R15" s="234"/>
      <c r="S15" s="239"/>
    </row>
    <row r="16" spans="1:19" ht="17.25" hidden="1" customHeight="1">
      <c r="A16" s="233"/>
      <c r="B16" s="234"/>
      <c r="C16" s="234"/>
      <c r="D16" s="234"/>
      <c r="E16" s="249" t="s">
        <v>436</v>
      </c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43"/>
      <c r="Q16" s="243"/>
      <c r="R16" s="234"/>
      <c r="S16" s="239"/>
    </row>
    <row r="17" spans="1:19" ht="17.25" hidden="1" customHeight="1">
      <c r="A17" s="233"/>
      <c r="B17" s="234"/>
      <c r="C17" s="234"/>
      <c r="D17" s="234"/>
      <c r="E17" s="249" t="s">
        <v>436</v>
      </c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43"/>
      <c r="Q17" s="243"/>
      <c r="R17" s="234"/>
      <c r="S17" s="239"/>
    </row>
    <row r="18" spans="1:19" ht="17.25" hidden="1" customHeight="1">
      <c r="A18" s="233"/>
      <c r="B18" s="234"/>
      <c r="C18" s="234"/>
      <c r="D18" s="234"/>
      <c r="E18" s="249" t="s">
        <v>436</v>
      </c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43"/>
      <c r="Q18" s="243"/>
      <c r="R18" s="234"/>
      <c r="S18" s="239"/>
    </row>
    <row r="19" spans="1:19" ht="17.25" hidden="1" customHeight="1">
      <c r="A19" s="233"/>
      <c r="B19" s="234"/>
      <c r="C19" s="234"/>
      <c r="D19" s="234"/>
      <c r="E19" s="249" t="s">
        <v>436</v>
      </c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43"/>
      <c r="Q19" s="243"/>
      <c r="R19" s="234"/>
      <c r="S19" s="239"/>
    </row>
    <row r="20" spans="1:19" ht="17.25" hidden="1" customHeight="1">
      <c r="A20" s="233"/>
      <c r="B20" s="234"/>
      <c r="C20" s="234"/>
      <c r="D20" s="234"/>
      <c r="E20" s="249" t="s">
        <v>436</v>
      </c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43"/>
      <c r="Q20" s="243"/>
      <c r="R20" s="234"/>
      <c r="S20" s="239"/>
    </row>
    <row r="21" spans="1:19" ht="17.25" hidden="1" customHeight="1">
      <c r="A21" s="233"/>
      <c r="B21" s="234"/>
      <c r="C21" s="234"/>
      <c r="D21" s="234"/>
      <c r="E21" s="249" t="s">
        <v>436</v>
      </c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43"/>
      <c r="Q21" s="243"/>
      <c r="R21" s="234"/>
      <c r="S21" s="239"/>
    </row>
    <row r="22" spans="1:19" ht="17.25" hidden="1" customHeight="1">
      <c r="A22" s="233"/>
      <c r="B22" s="234"/>
      <c r="C22" s="234"/>
      <c r="D22" s="234"/>
      <c r="E22" s="249" t="s">
        <v>436</v>
      </c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43"/>
      <c r="Q22" s="243"/>
      <c r="R22" s="234"/>
      <c r="S22" s="239"/>
    </row>
    <row r="23" spans="1:19" ht="17.25" hidden="1" customHeight="1">
      <c r="A23" s="233"/>
      <c r="B23" s="234"/>
      <c r="C23" s="234"/>
      <c r="D23" s="234"/>
      <c r="E23" s="249" t="s">
        <v>436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43"/>
      <c r="Q23" s="243"/>
      <c r="R23" s="234"/>
      <c r="S23" s="239"/>
    </row>
    <row r="24" spans="1:19" ht="17.25" hidden="1" customHeight="1">
      <c r="A24" s="233"/>
      <c r="B24" s="234"/>
      <c r="C24" s="234"/>
      <c r="D24" s="234"/>
      <c r="E24" s="249" t="s">
        <v>436</v>
      </c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43"/>
      <c r="Q24" s="243"/>
      <c r="R24" s="234"/>
      <c r="S24" s="239"/>
    </row>
    <row r="25" spans="1:19" ht="17.25" customHeight="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 t="s">
        <v>448</v>
      </c>
      <c r="P25" s="234" t="s">
        <v>449</v>
      </c>
      <c r="Q25" s="234"/>
      <c r="R25" s="234"/>
      <c r="S25" s="239"/>
    </row>
    <row r="26" spans="1:19" ht="17.25" customHeight="1">
      <c r="A26" s="233"/>
      <c r="B26" s="234" t="s">
        <v>450</v>
      </c>
      <c r="C26" s="234"/>
      <c r="D26" s="234"/>
      <c r="E26" s="234" t="s">
        <v>2527</v>
      </c>
      <c r="F26" s="235"/>
      <c r="G26" s="235"/>
      <c r="H26" s="235"/>
      <c r="I26" s="235"/>
      <c r="J26" s="236"/>
      <c r="K26" s="234"/>
      <c r="L26" s="234"/>
      <c r="M26" s="234"/>
      <c r="N26" s="234"/>
      <c r="O26" s="250"/>
      <c r="P26" s="251"/>
      <c r="Q26" s="252"/>
      <c r="R26" s="253"/>
      <c r="S26" s="239"/>
    </row>
    <row r="27" spans="1:19" ht="17.25" customHeight="1">
      <c r="A27" s="233"/>
      <c r="B27" s="234" t="s">
        <v>451</v>
      </c>
      <c r="C27" s="234"/>
      <c r="D27" s="234"/>
      <c r="E27" s="240" t="s">
        <v>452</v>
      </c>
      <c r="F27" s="234"/>
      <c r="G27" s="234"/>
      <c r="H27" s="234"/>
      <c r="I27" s="234"/>
      <c r="J27" s="241"/>
      <c r="K27" s="234"/>
      <c r="L27" s="234"/>
      <c r="M27" s="234"/>
      <c r="N27" s="234"/>
      <c r="O27" s="250"/>
      <c r="P27" s="251"/>
      <c r="Q27" s="252"/>
      <c r="R27" s="253"/>
      <c r="S27" s="239"/>
    </row>
    <row r="28" spans="1:19" ht="17.25" customHeight="1">
      <c r="A28" s="233"/>
      <c r="B28" s="234" t="s">
        <v>453</v>
      </c>
      <c r="C28" s="234"/>
      <c r="D28" s="234"/>
      <c r="E28" s="240"/>
      <c r="F28" s="234"/>
      <c r="G28" s="234"/>
      <c r="H28" s="234"/>
      <c r="I28" s="234"/>
      <c r="J28" s="241"/>
      <c r="K28" s="234"/>
      <c r="L28" s="234"/>
      <c r="M28" s="234"/>
      <c r="N28" s="234"/>
      <c r="O28" s="250"/>
      <c r="P28" s="251"/>
      <c r="Q28" s="252"/>
      <c r="R28" s="253"/>
      <c r="S28" s="239"/>
    </row>
    <row r="29" spans="1:19" ht="17.25" customHeight="1">
      <c r="A29" s="233"/>
      <c r="B29" s="234"/>
      <c r="C29" s="234"/>
      <c r="D29" s="234"/>
      <c r="E29" s="247"/>
      <c r="F29" s="245"/>
      <c r="G29" s="245"/>
      <c r="H29" s="245"/>
      <c r="I29" s="245"/>
      <c r="J29" s="246"/>
      <c r="K29" s="234"/>
      <c r="L29" s="234"/>
      <c r="M29" s="234"/>
      <c r="N29" s="234"/>
      <c r="O29" s="243"/>
      <c r="P29" s="243"/>
      <c r="Q29" s="243"/>
      <c r="R29" s="234"/>
      <c r="S29" s="239"/>
    </row>
    <row r="30" spans="1:19" ht="17.25" customHeight="1">
      <c r="A30" s="233"/>
      <c r="B30" s="234"/>
      <c r="C30" s="234"/>
      <c r="D30" s="234"/>
      <c r="E30" s="254" t="s">
        <v>454</v>
      </c>
      <c r="F30" s="234"/>
      <c r="G30" s="234" t="s">
        <v>455</v>
      </c>
      <c r="H30" s="234"/>
      <c r="I30" s="234"/>
      <c r="J30" s="234"/>
      <c r="K30" s="234"/>
      <c r="L30" s="234"/>
      <c r="M30" s="234"/>
      <c r="N30" s="234"/>
      <c r="O30" s="254" t="s">
        <v>456</v>
      </c>
      <c r="P30" s="243"/>
      <c r="Q30" s="243"/>
      <c r="R30" s="255">
        <v>44337</v>
      </c>
      <c r="S30" s="239"/>
    </row>
    <row r="31" spans="1:19" ht="17.25" customHeight="1">
      <c r="A31" s="233"/>
      <c r="B31" s="234"/>
      <c r="C31" s="234"/>
      <c r="D31" s="234"/>
      <c r="E31" s="250"/>
      <c r="F31" s="234"/>
      <c r="G31" s="251"/>
      <c r="H31" s="256"/>
      <c r="I31" s="257"/>
      <c r="J31" s="234"/>
      <c r="K31" s="234"/>
      <c r="L31" s="234"/>
      <c r="M31" s="234"/>
      <c r="N31" s="234"/>
      <c r="O31" s="258"/>
      <c r="P31" s="243"/>
      <c r="Q31" s="243"/>
      <c r="R31" s="259"/>
      <c r="S31" s="239"/>
    </row>
    <row r="32" spans="1:19" ht="8.25" customHeight="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2"/>
    </row>
    <row r="33" spans="1:19" ht="20.25" customHeight="1">
      <c r="A33" s="263"/>
      <c r="B33" s="264"/>
      <c r="C33" s="264"/>
      <c r="D33" s="264"/>
      <c r="E33" s="265" t="s">
        <v>457</v>
      </c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6"/>
    </row>
    <row r="34" spans="1:19" ht="20.25" customHeight="1">
      <c r="A34" s="267" t="s">
        <v>458</v>
      </c>
      <c r="B34" s="268"/>
      <c r="C34" s="268"/>
      <c r="D34" s="269"/>
      <c r="E34" s="270" t="s">
        <v>459</v>
      </c>
      <c r="F34" s="269"/>
      <c r="G34" s="270" t="s">
        <v>460</v>
      </c>
      <c r="H34" s="268"/>
      <c r="I34" s="269"/>
      <c r="J34" s="270" t="s">
        <v>461</v>
      </c>
      <c r="K34" s="268"/>
      <c r="L34" s="270" t="s">
        <v>462</v>
      </c>
      <c r="M34" s="268"/>
      <c r="N34" s="268"/>
      <c r="O34" s="269"/>
      <c r="P34" s="270" t="s">
        <v>463</v>
      </c>
      <c r="Q34" s="268"/>
      <c r="R34" s="268"/>
      <c r="S34" s="271"/>
    </row>
    <row r="35" spans="1:19" ht="20.25" customHeight="1">
      <c r="A35" s="272"/>
      <c r="B35" s="273"/>
      <c r="C35" s="273"/>
      <c r="D35" s="274">
        <v>0</v>
      </c>
      <c r="E35" s="275">
        <f>IF(D35=0,0,R47/D35)</f>
        <v>0</v>
      </c>
      <c r="F35" s="276"/>
      <c r="G35" s="277"/>
      <c r="H35" s="273"/>
      <c r="I35" s="274">
        <v>0</v>
      </c>
      <c r="J35" s="275">
        <f>IF(I35=0,0,R47/I35)</f>
        <v>0</v>
      </c>
      <c r="K35" s="278"/>
      <c r="L35" s="277"/>
      <c r="M35" s="273"/>
      <c r="N35" s="273"/>
      <c r="O35" s="274">
        <v>0</v>
      </c>
      <c r="P35" s="277"/>
      <c r="Q35" s="273"/>
      <c r="R35" s="279">
        <f>IF(O35=0,0,R47/O35)</f>
        <v>0</v>
      </c>
      <c r="S35" s="280"/>
    </row>
    <row r="36" spans="1:19" ht="20.25" customHeight="1">
      <c r="A36" s="263"/>
      <c r="B36" s="264"/>
      <c r="C36" s="264"/>
      <c r="D36" s="264"/>
      <c r="E36" s="265" t="s">
        <v>464</v>
      </c>
      <c r="F36" s="264"/>
      <c r="G36" s="264"/>
      <c r="H36" s="264"/>
      <c r="I36" s="264"/>
      <c r="J36" s="281" t="s">
        <v>465</v>
      </c>
      <c r="K36" s="264"/>
      <c r="L36" s="264"/>
      <c r="M36" s="264"/>
      <c r="N36" s="264"/>
      <c r="O36" s="264"/>
      <c r="P36" s="264"/>
      <c r="Q36" s="264"/>
      <c r="R36" s="264"/>
      <c r="S36" s="266"/>
    </row>
    <row r="37" spans="1:19" ht="20.25" customHeight="1">
      <c r="A37" s="282" t="s">
        <v>466</v>
      </c>
      <c r="B37" s="283"/>
      <c r="C37" s="284" t="s">
        <v>467</v>
      </c>
      <c r="D37" s="285"/>
      <c r="E37" s="285"/>
      <c r="F37" s="286"/>
      <c r="G37" s="282" t="s">
        <v>468</v>
      </c>
      <c r="H37" s="287"/>
      <c r="I37" s="284" t="s">
        <v>469</v>
      </c>
      <c r="J37" s="285"/>
      <c r="K37" s="285"/>
      <c r="L37" s="282" t="s">
        <v>470</v>
      </c>
      <c r="M37" s="287"/>
      <c r="N37" s="284" t="s">
        <v>471</v>
      </c>
      <c r="O37" s="285"/>
      <c r="P37" s="285"/>
      <c r="Q37" s="285"/>
      <c r="R37" s="285"/>
      <c r="S37" s="286"/>
    </row>
    <row r="38" spans="1:19" ht="20.25" customHeight="1">
      <c r="A38" s="288">
        <v>1</v>
      </c>
      <c r="B38" s="289" t="s">
        <v>22</v>
      </c>
      <c r="C38" s="236"/>
      <c r="D38" s="290" t="s">
        <v>472</v>
      </c>
      <c r="E38" s="291">
        <v>0</v>
      </c>
      <c r="F38" s="292"/>
      <c r="G38" s="288">
        <v>8</v>
      </c>
      <c r="H38" s="293" t="s">
        <v>473</v>
      </c>
      <c r="I38" s="253"/>
      <c r="J38" s="294">
        <v>0</v>
      </c>
      <c r="K38" s="295"/>
      <c r="L38" s="288">
        <v>13</v>
      </c>
      <c r="M38" s="251" t="s">
        <v>474</v>
      </c>
      <c r="N38" s="256"/>
      <c r="O38" s="256"/>
      <c r="P38" s="296">
        <f>M48</f>
        <v>20</v>
      </c>
      <c r="Q38" s="297" t="s">
        <v>475</v>
      </c>
      <c r="R38" s="291">
        <v>0</v>
      </c>
      <c r="S38" s="292"/>
    </row>
    <row r="39" spans="1:19" ht="20.25" customHeight="1">
      <c r="A39" s="288">
        <v>2</v>
      </c>
      <c r="B39" s="298"/>
      <c r="C39" s="246"/>
      <c r="D39" s="290" t="s">
        <v>476</v>
      </c>
      <c r="E39" s="291">
        <v>0</v>
      </c>
      <c r="F39" s="292"/>
      <c r="G39" s="288">
        <v>9</v>
      </c>
      <c r="H39" s="234" t="s">
        <v>477</v>
      </c>
      <c r="I39" s="290"/>
      <c r="J39" s="294">
        <v>0</v>
      </c>
      <c r="K39" s="295"/>
      <c r="L39" s="288">
        <v>14</v>
      </c>
      <c r="M39" s="251" t="s">
        <v>478</v>
      </c>
      <c r="N39" s="256"/>
      <c r="O39" s="256"/>
      <c r="P39" s="296">
        <f>M48</f>
        <v>20</v>
      </c>
      <c r="Q39" s="297" t="s">
        <v>475</v>
      </c>
      <c r="R39" s="291">
        <v>0</v>
      </c>
      <c r="S39" s="292"/>
    </row>
    <row r="40" spans="1:19" ht="20.25" customHeight="1">
      <c r="A40" s="288">
        <v>3</v>
      </c>
      <c r="B40" s="289" t="s">
        <v>24</v>
      </c>
      <c r="C40" s="236"/>
      <c r="D40" s="290" t="s">
        <v>472</v>
      </c>
      <c r="E40" s="291">
        <v>0</v>
      </c>
      <c r="F40" s="292"/>
      <c r="G40" s="288">
        <v>10</v>
      </c>
      <c r="H40" s="293" t="s">
        <v>479</v>
      </c>
      <c r="I40" s="253"/>
      <c r="J40" s="294">
        <v>0</v>
      </c>
      <c r="K40" s="295"/>
      <c r="L40" s="288">
        <v>15</v>
      </c>
      <c r="M40" s="251" t="s">
        <v>480</v>
      </c>
      <c r="N40" s="256"/>
      <c r="O40" s="256"/>
      <c r="P40" s="296">
        <f>M48</f>
        <v>20</v>
      </c>
      <c r="Q40" s="297" t="s">
        <v>475</v>
      </c>
      <c r="R40" s="291">
        <v>0</v>
      </c>
      <c r="S40" s="292"/>
    </row>
    <row r="41" spans="1:19" ht="20.25" customHeight="1">
      <c r="A41" s="288">
        <v>4</v>
      </c>
      <c r="B41" s="298"/>
      <c r="C41" s="246"/>
      <c r="D41" s="290" t="s">
        <v>476</v>
      </c>
      <c r="E41" s="291">
        <v>0</v>
      </c>
      <c r="F41" s="292"/>
      <c r="G41" s="288">
        <v>11</v>
      </c>
      <c r="H41" s="293"/>
      <c r="I41" s="253"/>
      <c r="J41" s="294">
        <v>0</v>
      </c>
      <c r="K41" s="295"/>
      <c r="L41" s="288">
        <v>16</v>
      </c>
      <c r="M41" s="251" t="s">
        <v>481</v>
      </c>
      <c r="N41" s="256"/>
      <c r="O41" s="256"/>
      <c r="P41" s="296">
        <f>M48</f>
        <v>20</v>
      </c>
      <c r="Q41" s="297" t="s">
        <v>475</v>
      </c>
      <c r="R41" s="291">
        <v>0</v>
      </c>
      <c r="S41" s="292"/>
    </row>
    <row r="42" spans="1:19" ht="20.25" customHeight="1">
      <c r="A42" s="288">
        <v>5</v>
      </c>
      <c r="B42" s="289" t="s">
        <v>482</v>
      </c>
      <c r="C42" s="236"/>
      <c r="D42" s="290" t="s">
        <v>472</v>
      </c>
      <c r="E42" s="291">
        <v>0</v>
      </c>
      <c r="F42" s="292"/>
      <c r="G42" s="299"/>
      <c r="H42" s="256"/>
      <c r="I42" s="253"/>
      <c r="J42" s="300"/>
      <c r="K42" s="295"/>
      <c r="L42" s="288">
        <v>17</v>
      </c>
      <c r="M42" s="251" t="s">
        <v>483</v>
      </c>
      <c r="N42" s="256"/>
      <c r="O42" s="256"/>
      <c r="P42" s="296">
        <f>M48</f>
        <v>20</v>
      </c>
      <c r="Q42" s="297" t="s">
        <v>475</v>
      </c>
      <c r="R42" s="291">
        <v>0</v>
      </c>
      <c r="S42" s="292"/>
    </row>
    <row r="43" spans="1:19" ht="20.25" customHeight="1">
      <c r="A43" s="288">
        <v>6</v>
      </c>
      <c r="B43" s="298"/>
      <c r="C43" s="246"/>
      <c r="D43" s="290" t="s">
        <v>476</v>
      </c>
      <c r="E43" s="291">
        <v>0</v>
      </c>
      <c r="F43" s="292"/>
      <c r="G43" s="299"/>
      <c r="H43" s="256"/>
      <c r="I43" s="253"/>
      <c r="J43" s="300"/>
      <c r="K43" s="295"/>
      <c r="L43" s="288">
        <v>18</v>
      </c>
      <c r="M43" s="293" t="s">
        <v>484</v>
      </c>
      <c r="N43" s="256"/>
      <c r="O43" s="256"/>
      <c r="P43" s="256"/>
      <c r="Q43" s="256"/>
      <c r="R43" s="291" t="e">
        <f>Rekapitulácia!C35</f>
        <v>#REF!</v>
      </c>
      <c r="S43" s="292"/>
    </row>
    <row r="44" spans="1:19" ht="20.25" customHeight="1">
      <c r="A44" s="288">
        <v>7</v>
      </c>
      <c r="B44" s="301" t="s">
        <v>485</v>
      </c>
      <c r="C44" s="256"/>
      <c r="D44" s="253"/>
      <c r="E44" s="302" t="e">
        <f>Rekapitulácia!C10</f>
        <v>#REF!</v>
      </c>
      <c r="F44" s="266"/>
      <c r="G44" s="288">
        <v>12</v>
      </c>
      <c r="H44" s="301" t="s">
        <v>486</v>
      </c>
      <c r="I44" s="253"/>
      <c r="J44" s="303">
        <f>SUM(J38:J41)</f>
        <v>0</v>
      </c>
      <c r="K44" s="304"/>
      <c r="L44" s="288">
        <v>19</v>
      </c>
      <c r="M44" s="301" t="s">
        <v>487</v>
      </c>
      <c r="N44" s="256"/>
      <c r="O44" s="256"/>
      <c r="P44" s="256"/>
      <c r="Q44" s="292"/>
      <c r="R44" s="302" t="e">
        <f>SUM(R38:R43)</f>
        <v>#REF!</v>
      </c>
      <c r="S44" s="266"/>
    </row>
    <row r="45" spans="1:19" ht="20.25" customHeight="1">
      <c r="A45" s="305">
        <v>20</v>
      </c>
      <c r="B45" s="306" t="s">
        <v>488</v>
      </c>
      <c r="C45" s="307"/>
      <c r="D45" s="308"/>
      <c r="E45" s="309">
        <v>0</v>
      </c>
      <c r="F45" s="262"/>
      <c r="G45" s="305">
        <v>21</v>
      </c>
      <c r="H45" s="306" t="s">
        <v>489</v>
      </c>
      <c r="I45" s="308"/>
      <c r="J45" s="310">
        <v>0</v>
      </c>
      <c r="K45" s="311">
        <f>M48</f>
        <v>20</v>
      </c>
      <c r="L45" s="305">
        <v>22</v>
      </c>
      <c r="M45" s="306" t="s">
        <v>490</v>
      </c>
      <c r="N45" s="307"/>
      <c r="O45" s="261"/>
      <c r="P45" s="261"/>
      <c r="Q45" s="261"/>
      <c r="R45" s="309">
        <v>0</v>
      </c>
      <c r="S45" s="262"/>
    </row>
    <row r="46" spans="1:19" ht="20.25" customHeight="1">
      <c r="A46" s="312" t="s">
        <v>451</v>
      </c>
      <c r="B46" s="231"/>
      <c r="C46" s="231"/>
      <c r="D46" s="231"/>
      <c r="E46" s="231"/>
      <c r="F46" s="313"/>
      <c r="G46" s="314"/>
      <c r="H46" s="231"/>
      <c r="I46" s="231"/>
      <c r="J46" s="231"/>
      <c r="K46" s="231"/>
      <c r="L46" s="282" t="s">
        <v>491</v>
      </c>
      <c r="M46" s="269"/>
      <c r="N46" s="284" t="s">
        <v>492</v>
      </c>
      <c r="O46" s="268"/>
      <c r="P46" s="268"/>
      <c r="Q46" s="268"/>
      <c r="R46" s="315"/>
      <c r="S46" s="271"/>
    </row>
    <row r="47" spans="1:19" ht="20.25" customHeight="1">
      <c r="A47" s="233"/>
      <c r="B47" s="234"/>
      <c r="C47" s="234"/>
      <c r="D47" s="234"/>
      <c r="E47" s="234"/>
      <c r="F47" s="241"/>
      <c r="G47" s="316"/>
      <c r="H47" s="234"/>
      <c r="I47" s="234"/>
      <c r="J47" s="234"/>
      <c r="K47" s="234"/>
      <c r="L47" s="288">
        <v>23</v>
      </c>
      <c r="M47" s="293" t="s">
        <v>493</v>
      </c>
      <c r="N47" s="256"/>
      <c r="O47" s="256"/>
      <c r="P47" s="256"/>
      <c r="Q47" s="292"/>
      <c r="R47" s="302" t="e">
        <f>E44+J44+R44+R45</f>
        <v>#REF!</v>
      </c>
      <c r="S47" s="266"/>
    </row>
    <row r="48" spans="1:19" ht="20.25" customHeight="1">
      <c r="A48" s="317" t="s">
        <v>494</v>
      </c>
      <c r="B48" s="245"/>
      <c r="C48" s="245"/>
      <c r="D48" s="245"/>
      <c r="E48" s="245"/>
      <c r="F48" s="246"/>
      <c r="G48" s="318" t="s">
        <v>495</v>
      </c>
      <c r="H48" s="245"/>
      <c r="I48" s="245"/>
      <c r="J48" s="245"/>
      <c r="K48" s="245"/>
      <c r="L48" s="288">
        <v>24</v>
      </c>
      <c r="M48" s="319">
        <v>20</v>
      </c>
      <c r="N48" s="253" t="s">
        <v>475</v>
      </c>
      <c r="O48" s="320" t="e">
        <f>R47-O49</f>
        <v>#REF!</v>
      </c>
      <c r="P48" s="245" t="s">
        <v>496</v>
      </c>
      <c r="Q48" s="245"/>
      <c r="R48" s="321" t="e">
        <f>R47*0.2</f>
        <v>#REF!</v>
      </c>
      <c r="S48" s="322"/>
    </row>
    <row r="49" spans="1:19" ht="20.25" customHeight="1" thickBot="1">
      <c r="A49" s="323" t="s">
        <v>450</v>
      </c>
      <c r="B49" s="235"/>
      <c r="C49" s="235"/>
      <c r="D49" s="235"/>
      <c r="E49" s="235"/>
      <c r="F49" s="236"/>
      <c r="G49" s="324"/>
      <c r="H49" s="235"/>
      <c r="I49" s="235"/>
      <c r="J49" s="235"/>
      <c r="K49" s="235"/>
      <c r="L49" s="288">
        <v>25</v>
      </c>
      <c r="M49" s="319">
        <v>20</v>
      </c>
      <c r="N49" s="253" t="s">
        <v>475</v>
      </c>
      <c r="O49" s="320">
        <v>0</v>
      </c>
      <c r="P49" s="256" t="s">
        <v>496</v>
      </c>
      <c r="Q49" s="256"/>
      <c r="R49" s="291"/>
      <c r="S49" s="292"/>
    </row>
    <row r="50" spans="1:19" ht="20.25" customHeight="1" thickBot="1">
      <c r="A50" s="233"/>
      <c r="B50" s="234"/>
      <c r="C50" s="234"/>
      <c r="D50" s="234"/>
      <c r="E50" s="234"/>
      <c r="F50" s="241"/>
      <c r="G50" s="316"/>
      <c r="H50" s="234"/>
      <c r="I50" s="234"/>
      <c r="J50" s="234"/>
      <c r="K50" s="234"/>
      <c r="L50" s="305">
        <v>26</v>
      </c>
      <c r="M50" s="325" t="s">
        <v>497</v>
      </c>
      <c r="N50" s="307"/>
      <c r="O50" s="307"/>
      <c r="P50" s="307"/>
      <c r="Q50" s="261"/>
      <c r="R50" s="326" t="e">
        <f>R47+R48</f>
        <v>#REF!</v>
      </c>
      <c r="S50" s="327"/>
    </row>
    <row r="51" spans="1:19" ht="20.25" customHeight="1">
      <c r="A51" s="317" t="s">
        <v>498</v>
      </c>
      <c r="B51" s="245"/>
      <c r="C51" s="245"/>
      <c r="D51" s="245"/>
      <c r="E51" s="245"/>
      <c r="F51" s="246"/>
      <c r="G51" s="318" t="s">
        <v>495</v>
      </c>
      <c r="H51" s="245"/>
      <c r="I51" s="245"/>
      <c r="J51" s="245"/>
      <c r="K51" s="245"/>
      <c r="L51" s="282" t="s">
        <v>442</v>
      </c>
      <c r="M51" s="269"/>
      <c r="N51" s="284" t="s">
        <v>499</v>
      </c>
      <c r="O51" s="268"/>
      <c r="P51" s="268"/>
      <c r="Q51" s="268"/>
      <c r="R51" s="328"/>
      <c r="S51" s="271"/>
    </row>
    <row r="52" spans="1:19" ht="20.25" customHeight="1">
      <c r="A52" s="323" t="s">
        <v>453</v>
      </c>
      <c r="B52" s="235"/>
      <c r="C52" s="235"/>
      <c r="D52" s="235"/>
      <c r="E52" s="235"/>
      <c r="F52" s="236"/>
      <c r="G52" s="324"/>
      <c r="H52" s="235"/>
      <c r="I52" s="235"/>
      <c r="J52" s="235"/>
      <c r="K52" s="235"/>
      <c r="L52" s="288">
        <v>27</v>
      </c>
      <c r="M52" s="293" t="s">
        <v>500</v>
      </c>
      <c r="N52" s="256"/>
      <c r="O52" s="256"/>
      <c r="P52" s="256"/>
      <c r="Q52" s="253"/>
      <c r="R52" s="291">
        <v>0</v>
      </c>
      <c r="S52" s="292"/>
    </row>
    <row r="53" spans="1:19" ht="20.25" customHeight="1">
      <c r="A53" s="233"/>
      <c r="B53" s="234"/>
      <c r="C53" s="234"/>
      <c r="D53" s="234"/>
      <c r="E53" s="234"/>
      <c r="F53" s="241"/>
      <c r="G53" s="316"/>
      <c r="H53" s="234"/>
      <c r="I53" s="234"/>
      <c r="J53" s="234"/>
      <c r="K53" s="234"/>
      <c r="L53" s="288">
        <v>28</v>
      </c>
      <c r="M53" s="293" t="s">
        <v>501</v>
      </c>
      <c r="N53" s="256"/>
      <c r="O53" s="256"/>
      <c r="P53" s="256"/>
      <c r="Q53" s="253"/>
      <c r="R53" s="291">
        <v>0</v>
      </c>
      <c r="S53" s="292"/>
    </row>
    <row r="54" spans="1:19" ht="20.25" customHeight="1">
      <c r="A54" s="329" t="s">
        <v>494</v>
      </c>
      <c r="B54" s="261"/>
      <c r="C54" s="261"/>
      <c r="D54" s="261"/>
      <c r="E54" s="261"/>
      <c r="F54" s="330"/>
      <c r="G54" s="331" t="s">
        <v>495</v>
      </c>
      <c r="H54" s="261"/>
      <c r="I54" s="261"/>
      <c r="J54" s="261"/>
      <c r="K54" s="261"/>
      <c r="L54" s="305">
        <v>29</v>
      </c>
      <c r="M54" s="306" t="s">
        <v>502</v>
      </c>
      <c r="N54" s="307"/>
      <c r="O54" s="307"/>
      <c r="P54" s="307"/>
      <c r="Q54" s="308"/>
      <c r="R54" s="332">
        <v>0</v>
      </c>
      <c r="S54" s="333"/>
    </row>
  </sheetData>
  <mergeCells count="1">
    <mergeCell ref="E5:J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56"/>
  <sheetViews>
    <sheetView topLeftCell="A7" workbookViewId="0">
      <selection activeCell="F42" sqref="F42"/>
    </sheetView>
  </sheetViews>
  <sheetFormatPr defaultRowHeight="15"/>
  <cols>
    <col min="1" max="2" width="1" customWidth="1"/>
    <col min="3" max="3" width="3.5703125" customWidth="1"/>
    <col min="4" max="4" width="3.7109375" customWidth="1"/>
    <col min="5" max="5" width="13.7109375" customWidth="1"/>
    <col min="6" max="6" width="43.5703125" customWidth="1"/>
    <col min="7" max="7" width="6.42578125" customWidth="1"/>
    <col min="8" max="8" width="12" customWidth="1"/>
    <col min="9" max="9" width="11.140625" customWidth="1"/>
    <col min="10" max="10" width="16.28515625" customWidth="1"/>
    <col min="11" max="11" width="19.140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66" width="0" hidden="1" customWidth="1"/>
  </cols>
  <sheetData>
    <row r="1" spans="1:63" s="634" customFormat="1" ht="6.95" customHeight="1">
      <c r="A1" s="806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806"/>
      <c r="T1" s="806"/>
      <c r="U1" s="806"/>
      <c r="V1" s="806"/>
      <c r="W1" s="806"/>
      <c r="X1" s="806"/>
      <c r="Y1" s="806"/>
      <c r="Z1" s="806"/>
      <c r="AA1" s="806"/>
      <c r="AB1" s="806"/>
      <c r="AC1" s="806"/>
      <c r="AD1" s="806"/>
      <c r="AE1" s="806"/>
    </row>
    <row r="2" spans="1:63" s="634" customFormat="1" ht="24.95" customHeight="1">
      <c r="A2" s="806"/>
      <c r="B2" s="631"/>
      <c r="C2" s="1110" t="s">
        <v>662</v>
      </c>
      <c r="D2" s="1110"/>
      <c r="E2" s="1110"/>
      <c r="F2" s="1110"/>
      <c r="G2" s="1110"/>
      <c r="H2" s="1110"/>
      <c r="I2" s="1110"/>
      <c r="J2" s="1110"/>
      <c r="K2" s="806"/>
      <c r="L2" s="633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</row>
    <row r="3" spans="1:63" s="634" customFormat="1" ht="6.95" customHeight="1">
      <c r="A3" s="806"/>
      <c r="B3" s="631"/>
      <c r="C3" s="806"/>
      <c r="D3" s="806"/>
      <c r="E3" s="806"/>
      <c r="F3" s="806"/>
      <c r="G3" s="806"/>
      <c r="H3" s="806"/>
      <c r="I3" s="806"/>
      <c r="J3" s="806"/>
      <c r="K3" s="806"/>
      <c r="L3" s="633"/>
      <c r="S3" s="806"/>
      <c r="T3" s="806"/>
      <c r="U3" s="806"/>
      <c r="V3" s="806"/>
      <c r="W3" s="806"/>
      <c r="X3" s="806"/>
      <c r="Y3" s="806"/>
      <c r="Z3" s="806"/>
      <c r="AA3" s="806"/>
      <c r="AB3" s="806"/>
      <c r="AC3" s="806"/>
      <c r="AD3" s="806"/>
      <c r="AE3" s="806"/>
    </row>
    <row r="4" spans="1:63" s="634" customFormat="1" ht="12" customHeight="1">
      <c r="A4" s="806"/>
      <c r="B4" s="631"/>
      <c r="C4" s="632" t="s">
        <v>504</v>
      </c>
      <c r="D4" s="806"/>
      <c r="E4" s="817" t="s">
        <v>1812</v>
      </c>
      <c r="F4" s="817"/>
      <c r="G4" s="817"/>
      <c r="H4" s="817"/>
      <c r="I4" s="806"/>
      <c r="J4" s="806"/>
      <c r="K4" s="806"/>
      <c r="L4" s="633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</row>
    <row r="5" spans="1:63" s="634" customFormat="1" ht="16.5" customHeight="1">
      <c r="A5" s="806"/>
      <c r="B5" s="631"/>
      <c r="C5" s="806"/>
      <c r="D5" s="806"/>
      <c r="E5" s="1120"/>
      <c r="F5" s="1121"/>
      <c r="G5" s="1121"/>
      <c r="H5" s="1121"/>
      <c r="I5" s="806"/>
      <c r="J5" s="806"/>
      <c r="K5" s="806"/>
      <c r="L5" s="633"/>
      <c r="S5" s="806"/>
      <c r="T5" s="806"/>
      <c r="U5" s="806"/>
      <c r="V5" s="806"/>
      <c r="W5" s="806"/>
      <c r="X5" s="806"/>
      <c r="Y5" s="806"/>
      <c r="Z5" s="806"/>
      <c r="AA5" s="806"/>
      <c r="AB5" s="806"/>
      <c r="AC5" s="806"/>
      <c r="AD5" s="806"/>
      <c r="AE5" s="806"/>
    </row>
    <row r="6" spans="1:63" s="634" customFormat="1" ht="12" customHeight="1">
      <c r="A6" s="806"/>
      <c r="B6" s="631"/>
      <c r="C6" s="632" t="s">
        <v>65</v>
      </c>
      <c r="D6" s="806"/>
      <c r="E6" s="1118" t="s">
        <v>1706</v>
      </c>
      <c r="F6" s="1119"/>
      <c r="G6" s="1119"/>
      <c r="H6" s="1119"/>
      <c r="I6" s="806"/>
      <c r="J6" s="806"/>
      <c r="K6" s="806"/>
      <c r="L6" s="633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/>
      <c r="AE6" s="806"/>
    </row>
    <row r="7" spans="1:63" s="634" customFormat="1" ht="6.95" customHeight="1">
      <c r="A7" s="806"/>
      <c r="B7" s="631"/>
      <c r="C7" s="806"/>
      <c r="D7" s="806"/>
      <c r="E7" s="806"/>
      <c r="F7" s="806"/>
      <c r="G7" s="806"/>
      <c r="H7" s="806"/>
      <c r="I7" s="806"/>
      <c r="J7" s="806"/>
      <c r="K7" s="806"/>
      <c r="L7" s="633"/>
      <c r="S7" s="806"/>
      <c r="T7" s="806"/>
      <c r="U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</row>
    <row r="8" spans="1:63" s="634" customFormat="1" ht="12" customHeight="1">
      <c r="A8" s="806"/>
      <c r="B8" s="631"/>
      <c r="C8" s="632" t="s">
        <v>1125</v>
      </c>
      <c r="D8" s="806"/>
      <c r="E8" s="806"/>
      <c r="F8" s="635" t="s">
        <v>1707</v>
      </c>
      <c r="G8" s="806"/>
      <c r="H8" s="806"/>
      <c r="I8" s="632" t="s">
        <v>1104</v>
      </c>
      <c r="J8" s="636" t="s">
        <v>1813</v>
      </c>
      <c r="K8" s="806"/>
      <c r="L8" s="633"/>
      <c r="S8" s="806"/>
      <c r="T8" s="806"/>
      <c r="U8" s="806"/>
      <c r="V8" s="806"/>
      <c r="W8" s="806"/>
      <c r="X8" s="806"/>
      <c r="Y8" s="806"/>
      <c r="Z8" s="806"/>
      <c r="AA8" s="806"/>
      <c r="AB8" s="806"/>
      <c r="AC8" s="806"/>
      <c r="AD8" s="806"/>
      <c r="AE8" s="806"/>
    </row>
    <row r="9" spans="1:63" s="634" customFormat="1" ht="6.95" customHeight="1">
      <c r="A9" s="806"/>
      <c r="B9" s="631"/>
      <c r="C9" s="806"/>
      <c r="D9" s="806"/>
      <c r="E9" s="806"/>
      <c r="F9" s="806"/>
      <c r="G9" s="806"/>
      <c r="H9" s="806"/>
      <c r="I9" s="806"/>
      <c r="J9" s="806"/>
      <c r="K9" s="806"/>
      <c r="L9" s="633"/>
      <c r="S9" s="806"/>
      <c r="T9" s="806"/>
      <c r="U9" s="806"/>
      <c r="V9" s="806"/>
      <c r="W9" s="806"/>
      <c r="X9" s="806"/>
      <c r="Y9" s="806"/>
      <c r="Z9" s="806"/>
      <c r="AA9" s="806"/>
      <c r="AB9" s="806"/>
      <c r="AC9" s="806"/>
      <c r="AD9" s="806"/>
      <c r="AE9" s="806"/>
    </row>
    <row r="10" spans="1:63" s="634" customFormat="1" ht="24">
      <c r="A10" s="806"/>
      <c r="B10" s="631"/>
      <c r="C10" s="632" t="s">
        <v>775</v>
      </c>
      <c r="D10" s="806"/>
      <c r="E10" s="806"/>
      <c r="F10" s="635" t="s">
        <v>1708</v>
      </c>
      <c r="G10" s="806"/>
      <c r="H10" s="806"/>
      <c r="I10" s="632" t="s">
        <v>1047</v>
      </c>
      <c r="J10" s="818" t="s">
        <v>1709</v>
      </c>
      <c r="K10" s="806"/>
      <c r="L10" s="633"/>
      <c r="S10" s="806"/>
      <c r="T10" s="806"/>
      <c r="U10" s="806"/>
      <c r="V10" s="806"/>
      <c r="W10" s="806"/>
      <c r="X10" s="806"/>
      <c r="Y10" s="806"/>
      <c r="Z10" s="806"/>
      <c r="AA10" s="806"/>
      <c r="AB10" s="806"/>
      <c r="AC10" s="806"/>
      <c r="AD10" s="806"/>
      <c r="AE10" s="806"/>
    </row>
    <row r="11" spans="1:63" s="634" customFormat="1" ht="15.2" customHeight="1">
      <c r="A11" s="806"/>
      <c r="B11" s="631"/>
      <c r="C11" s="632" t="s">
        <v>506</v>
      </c>
      <c r="D11" s="806"/>
      <c r="E11" s="806"/>
      <c r="F11" s="635"/>
      <c r="G11" s="806"/>
      <c r="H11" s="806"/>
      <c r="I11" s="632" t="s">
        <v>1126</v>
      </c>
      <c r="J11" s="642"/>
      <c r="K11" s="806"/>
      <c r="L11" s="633"/>
      <c r="S11" s="806"/>
      <c r="T11" s="806"/>
      <c r="U11" s="806"/>
      <c r="V11" s="806"/>
      <c r="W11" s="806"/>
      <c r="X11" s="806"/>
      <c r="Y11" s="806"/>
      <c r="Z11" s="806"/>
      <c r="AA11" s="806"/>
      <c r="AB11" s="806"/>
      <c r="AC11" s="806"/>
      <c r="AD11" s="806"/>
      <c r="AE11" s="806"/>
    </row>
    <row r="12" spans="1:63" s="634" customFormat="1" ht="10.35" customHeight="1">
      <c r="A12" s="806"/>
      <c r="B12" s="631"/>
      <c r="C12" s="806"/>
      <c r="D12" s="806"/>
      <c r="E12" s="806"/>
      <c r="F12" s="806"/>
      <c r="G12" s="806"/>
      <c r="H12" s="806"/>
      <c r="I12" s="806"/>
      <c r="J12" s="806"/>
      <c r="K12" s="806"/>
      <c r="L12" s="633"/>
      <c r="S12" s="806"/>
      <c r="T12" s="806"/>
      <c r="U12" s="806"/>
      <c r="V12" s="806"/>
      <c r="W12" s="806"/>
      <c r="X12" s="806"/>
      <c r="Y12" s="806"/>
      <c r="Z12" s="806"/>
      <c r="AA12" s="806"/>
      <c r="AB12" s="806"/>
      <c r="AC12" s="806"/>
      <c r="AD12" s="806"/>
      <c r="AE12" s="806"/>
    </row>
    <row r="13" spans="1:63" s="653" customFormat="1" ht="29.25" customHeight="1">
      <c r="A13" s="643"/>
      <c r="B13" s="644"/>
      <c r="C13" s="645" t="s">
        <v>1051</v>
      </c>
      <c r="D13" s="646" t="s">
        <v>1052</v>
      </c>
      <c r="E13" s="646" t="s">
        <v>507</v>
      </c>
      <c r="F13" s="646" t="s">
        <v>777</v>
      </c>
      <c r="G13" s="646" t="s">
        <v>7</v>
      </c>
      <c r="H13" s="646" t="s">
        <v>566</v>
      </c>
      <c r="I13" s="646" t="s">
        <v>1054</v>
      </c>
      <c r="J13" s="647" t="s">
        <v>1130</v>
      </c>
      <c r="K13" s="648" t="s">
        <v>1133</v>
      </c>
      <c r="L13" s="649"/>
      <c r="M13" s="650" t="s">
        <v>1043</v>
      </c>
      <c r="N13" s="651" t="s">
        <v>496</v>
      </c>
      <c r="O13" s="651" t="s">
        <v>1056</v>
      </c>
      <c r="P13" s="651" t="s">
        <v>1136</v>
      </c>
      <c r="Q13" s="651" t="s">
        <v>1137</v>
      </c>
      <c r="R13" s="651" t="s">
        <v>1138</v>
      </c>
      <c r="S13" s="651" t="s">
        <v>1060</v>
      </c>
      <c r="T13" s="652" t="s">
        <v>1139</v>
      </c>
      <c r="U13" s="643"/>
      <c r="V13" s="643"/>
      <c r="W13" s="643"/>
      <c r="X13" s="643"/>
      <c r="Y13" s="643"/>
      <c r="Z13" s="643"/>
      <c r="AA13" s="643"/>
      <c r="AB13" s="643"/>
      <c r="AC13" s="643"/>
      <c r="AD13" s="643"/>
      <c r="AE13" s="643"/>
    </row>
    <row r="14" spans="1:63" s="634" customFormat="1" ht="22.9" customHeight="1">
      <c r="A14" s="806"/>
      <c r="B14" s="631"/>
      <c r="C14" s="654" t="s">
        <v>1128</v>
      </c>
      <c r="D14" s="806"/>
      <c r="E14" s="806"/>
      <c r="F14" s="806"/>
      <c r="G14" s="806"/>
      <c r="H14" s="806"/>
      <c r="I14" s="806"/>
      <c r="J14" s="807">
        <f>BK14</f>
        <v>0</v>
      </c>
      <c r="K14" s="806"/>
      <c r="L14" s="631"/>
      <c r="M14" s="656"/>
      <c r="N14" s="657"/>
      <c r="O14" s="637"/>
      <c r="P14" s="658">
        <f>P15+P51</f>
        <v>1476.7885653000001</v>
      </c>
      <c r="Q14" s="637"/>
      <c r="R14" s="658">
        <f>R15+R51</f>
        <v>899.69570090000002</v>
      </c>
      <c r="S14" s="637"/>
      <c r="T14" s="659">
        <f>T15+T51</f>
        <v>158.20675</v>
      </c>
      <c r="U14" s="806"/>
      <c r="V14" s="806"/>
      <c r="W14" s="806"/>
      <c r="X14" s="806"/>
      <c r="Y14" s="806"/>
      <c r="Z14" s="806"/>
      <c r="AA14" s="806"/>
      <c r="AB14" s="806"/>
      <c r="AC14" s="806"/>
      <c r="AD14" s="806"/>
      <c r="AE14" s="806"/>
      <c r="AT14" s="629" t="s">
        <v>491</v>
      </c>
      <c r="AU14" s="629" t="s">
        <v>1050</v>
      </c>
      <c r="BK14" s="808">
        <f>BK15+BK51</f>
        <v>0</v>
      </c>
    </row>
    <row r="15" spans="1:63" s="661" customFormat="1" ht="25.9" customHeight="1">
      <c r="B15" s="662"/>
      <c r="D15" s="663" t="s">
        <v>491</v>
      </c>
      <c r="E15" s="664" t="s">
        <v>22</v>
      </c>
      <c r="F15" s="664" t="s">
        <v>11</v>
      </c>
      <c r="J15" s="809">
        <f>BK15</f>
        <v>0</v>
      </c>
      <c r="L15" s="662"/>
      <c r="M15" s="666"/>
      <c r="N15" s="667"/>
      <c r="O15" s="667"/>
      <c r="P15" s="668">
        <f>P16+P26+P35+P37+P49</f>
        <v>1475.6807453000001</v>
      </c>
      <c r="Q15" s="667"/>
      <c r="R15" s="668">
        <f>R16+R26+R35+R37+R49</f>
        <v>899.68155590000003</v>
      </c>
      <c r="S15" s="667"/>
      <c r="T15" s="669">
        <f>T16+T26+T35+T37+T49</f>
        <v>158.20675</v>
      </c>
      <c r="AR15" s="663" t="s">
        <v>791</v>
      </c>
      <c r="AT15" s="670" t="s">
        <v>491</v>
      </c>
      <c r="AU15" s="670" t="s">
        <v>788</v>
      </c>
      <c r="AY15" s="663" t="s">
        <v>1063</v>
      </c>
      <c r="BK15" s="810">
        <f>BK16+BK26+BK35+BK37+BK49</f>
        <v>0</v>
      </c>
    </row>
    <row r="16" spans="1:63" s="661" customFormat="1" ht="22.9" customHeight="1">
      <c r="B16" s="662"/>
      <c r="D16" s="663" t="s">
        <v>491</v>
      </c>
      <c r="E16" s="672" t="s">
        <v>791</v>
      </c>
      <c r="F16" s="672" t="s">
        <v>30</v>
      </c>
      <c r="J16" s="811">
        <f>BK16</f>
        <v>0</v>
      </c>
      <c r="L16" s="662"/>
      <c r="M16" s="666"/>
      <c r="N16" s="667"/>
      <c r="O16" s="667"/>
      <c r="P16" s="668">
        <f>SUM(P17:P25)</f>
        <v>336.73484580000002</v>
      </c>
      <c r="Q16" s="667"/>
      <c r="R16" s="668">
        <f>SUM(R17:R25)</f>
        <v>0</v>
      </c>
      <c r="S16" s="667"/>
      <c r="T16" s="669">
        <f>SUM(T17:T25)</f>
        <v>158.20675</v>
      </c>
      <c r="AR16" s="663" t="s">
        <v>791</v>
      </c>
      <c r="AT16" s="670" t="s">
        <v>491</v>
      </c>
      <c r="AU16" s="670" t="s">
        <v>791</v>
      </c>
      <c r="AY16" s="663" t="s">
        <v>1063</v>
      </c>
      <c r="BK16" s="810">
        <f>SUM(BK17:BK25)</f>
        <v>0</v>
      </c>
    </row>
    <row r="17" spans="1:65" s="634" customFormat="1" ht="24.2" customHeight="1">
      <c r="A17" s="806"/>
      <c r="B17" s="674"/>
      <c r="C17" s="675" t="s">
        <v>791</v>
      </c>
      <c r="D17" s="675" t="s">
        <v>29</v>
      </c>
      <c r="E17" s="676" t="s">
        <v>1710</v>
      </c>
      <c r="F17" s="677" t="s">
        <v>1711</v>
      </c>
      <c r="G17" s="678" t="s">
        <v>13</v>
      </c>
      <c r="H17" s="679">
        <v>83.55</v>
      </c>
      <c r="I17" s="679"/>
      <c r="J17" s="679">
        <f t="shared" ref="J17:J25" si="0">ROUND(I17*H17,3)</f>
        <v>0</v>
      </c>
      <c r="K17" s="681"/>
      <c r="L17" s="631"/>
      <c r="M17" s="682" t="s">
        <v>1043</v>
      </c>
      <c r="N17" s="683" t="s">
        <v>1129</v>
      </c>
      <c r="O17" s="684">
        <v>1.169</v>
      </c>
      <c r="P17" s="684">
        <f t="shared" ref="P17:P25" si="1">O17*H17</f>
        <v>97.66995</v>
      </c>
      <c r="Q17" s="684">
        <v>0</v>
      </c>
      <c r="R17" s="684">
        <f t="shared" ref="R17:R25" si="2">Q17*H17</f>
        <v>0</v>
      </c>
      <c r="S17" s="684">
        <v>0.22500000000000001</v>
      </c>
      <c r="T17" s="685">
        <f t="shared" ref="T17:T25" si="3">S17*H17</f>
        <v>18.798749999999998</v>
      </c>
      <c r="U17" s="806"/>
      <c r="V17" s="806"/>
      <c r="W17" s="806"/>
      <c r="X17" s="806"/>
      <c r="Y17" s="806"/>
      <c r="Z17" s="806"/>
      <c r="AA17" s="806"/>
      <c r="AB17" s="806"/>
      <c r="AC17" s="806"/>
      <c r="AD17" s="806"/>
      <c r="AE17" s="806"/>
      <c r="AR17" s="686" t="s">
        <v>1065</v>
      </c>
      <c r="AT17" s="686" t="s">
        <v>29</v>
      </c>
      <c r="AU17" s="686" t="s">
        <v>795</v>
      </c>
      <c r="AY17" s="629" t="s">
        <v>1063</v>
      </c>
      <c r="BE17" s="687">
        <f t="shared" ref="BE17:BE25" si="4">IF(N17="základná",J17,0)</f>
        <v>0</v>
      </c>
      <c r="BF17" s="687">
        <f t="shared" ref="BF17:BF25" si="5">IF(N17="znížená",J17,0)</f>
        <v>0</v>
      </c>
      <c r="BG17" s="687">
        <f t="shared" ref="BG17:BG25" si="6">IF(N17="zákl. prenesená",J17,0)</f>
        <v>0</v>
      </c>
      <c r="BH17" s="687">
        <f t="shared" ref="BH17:BH25" si="7">IF(N17="zníž. prenesená",J17,0)</f>
        <v>0</v>
      </c>
      <c r="BI17" s="687">
        <f t="shared" ref="BI17:BI25" si="8">IF(N17="nulová",J17,0)</f>
        <v>0</v>
      </c>
      <c r="BJ17" s="629" t="s">
        <v>795</v>
      </c>
      <c r="BK17" s="812">
        <f t="shared" ref="BK17:BK25" si="9">ROUND(I17*H17,3)</f>
        <v>0</v>
      </c>
      <c r="BL17" s="629" t="s">
        <v>1065</v>
      </c>
      <c r="BM17" s="686" t="s">
        <v>1712</v>
      </c>
    </row>
    <row r="18" spans="1:65" s="634" customFormat="1" ht="24.2" customHeight="1">
      <c r="A18" s="806"/>
      <c r="B18" s="674"/>
      <c r="C18" s="675" t="s">
        <v>795</v>
      </c>
      <c r="D18" s="675" t="s">
        <v>29</v>
      </c>
      <c r="E18" s="676" t="s">
        <v>1713</v>
      </c>
      <c r="F18" s="677" t="s">
        <v>1714</v>
      </c>
      <c r="G18" s="678" t="s">
        <v>13</v>
      </c>
      <c r="H18" s="679">
        <v>212</v>
      </c>
      <c r="I18" s="679"/>
      <c r="J18" s="679">
        <f t="shared" si="0"/>
        <v>0</v>
      </c>
      <c r="K18" s="681"/>
      <c r="L18" s="631"/>
      <c r="M18" s="682" t="s">
        <v>1043</v>
      </c>
      <c r="N18" s="683" t="s">
        <v>1129</v>
      </c>
      <c r="O18" s="684">
        <v>5.5E-2</v>
      </c>
      <c r="P18" s="684">
        <f t="shared" si="1"/>
        <v>11.66</v>
      </c>
      <c r="Q18" s="684">
        <v>0</v>
      </c>
      <c r="R18" s="684">
        <f t="shared" si="2"/>
        <v>0</v>
      </c>
      <c r="S18" s="684">
        <v>9.8000000000000004E-2</v>
      </c>
      <c r="T18" s="685">
        <f t="shared" si="3"/>
        <v>20.776</v>
      </c>
      <c r="U18" s="806"/>
      <c r="V18" s="806"/>
      <c r="W18" s="806"/>
      <c r="X18" s="806"/>
      <c r="Y18" s="806"/>
      <c r="Z18" s="806"/>
      <c r="AA18" s="806"/>
      <c r="AB18" s="806"/>
      <c r="AC18" s="806"/>
      <c r="AD18" s="806"/>
      <c r="AE18" s="806"/>
      <c r="AR18" s="686" t="s">
        <v>1065</v>
      </c>
      <c r="AT18" s="686" t="s">
        <v>29</v>
      </c>
      <c r="AU18" s="686" t="s">
        <v>795</v>
      </c>
      <c r="AY18" s="629" t="s">
        <v>1063</v>
      </c>
      <c r="BE18" s="687">
        <f t="shared" si="4"/>
        <v>0</v>
      </c>
      <c r="BF18" s="687">
        <f t="shared" si="5"/>
        <v>0</v>
      </c>
      <c r="BG18" s="687">
        <f t="shared" si="6"/>
        <v>0</v>
      </c>
      <c r="BH18" s="687">
        <f t="shared" si="7"/>
        <v>0</v>
      </c>
      <c r="BI18" s="687">
        <f t="shared" si="8"/>
        <v>0</v>
      </c>
      <c r="BJ18" s="629" t="s">
        <v>795</v>
      </c>
      <c r="BK18" s="812">
        <f t="shared" si="9"/>
        <v>0</v>
      </c>
      <c r="BL18" s="629" t="s">
        <v>1065</v>
      </c>
      <c r="BM18" s="686" t="s">
        <v>1715</v>
      </c>
    </row>
    <row r="19" spans="1:65" s="634" customFormat="1" ht="24.2" customHeight="1">
      <c r="A19" s="806"/>
      <c r="B19" s="674"/>
      <c r="C19" s="675" t="s">
        <v>987</v>
      </c>
      <c r="D19" s="675" t="s">
        <v>29</v>
      </c>
      <c r="E19" s="676" t="s">
        <v>1716</v>
      </c>
      <c r="F19" s="677" t="s">
        <v>1717</v>
      </c>
      <c r="G19" s="678" t="s">
        <v>13</v>
      </c>
      <c r="H19" s="679">
        <v>83.55</v>
      </c>
      <c r="I19" s="679"/>
      <c r="J19" s="679">
        <f t="shared" si="0"/>
        <v>0</v>
      </c>
      <c r="K19" s="681"/>
      <c r="L19" s="631"/>
      <c r="M19" s="682" t="s">
        <v>1043</v>
      </c>
      <c r="N19" s="683" t="s">
        <v>1129</v>
      </c>
      <c r="O19" s="684">
        <v>0.35499999999999998</v>
      </c>
      <c r="P19" s="684">
        <f t="shared" si="1"/>
        <v>29.660249999999998</v>
      </c>
      <c r="Q19" s="684">
        <v>0</v>
      </c>
      <c r="R19" s="684">
        <f t="shared" si="2"/>
        <v>0</v>
      </c>
      <c r="S19" s="684">
        <v>0.24</v>
      </c>
      <c r="T19" s="685">
        <f t="shared" si="3"/>
        <v>20.052</v>
      </c>
      <c r="U19" s="806"/>
      <c r="V19" s="806"/>
      <c r="W19" s="806"/>
      <c r="X19" s="806"/>
      <c r="Y19" s="806"/>
      <c r="Z19" s="806"/>
      <c r="AA19" s="806"/>
      <c r="AB19" s="806"/>
      <c r="AC19" s="806"/>
      <c r="AD19" s="806"/>
      <c r="AE19" s="806"/>
      <c r="AR19" s="686" t="s">
        <v>1065</v>
      </c>
      <c r="AT19" s="686" t="s">
        <v>29</v>
      </c>
      <c r="AU19" s="686" t="s">
        <v>795</v>
      </c>
      <c r="AY19" s="629" t="s">
        <v>1063</v>
      </c>
      <c r="BE19" s="687">
        <f t="shared" si="4"/>
        <v>0</v>
      </c>
      <c r="BF19" s="687">
        <f t="shared" si="5"/>
        <v>0</v>
      </c>
      <c r="BG19" s="687">
        <f t="shared" si="6"/>
        <v>0</v>
      </c>
      <c r="BH19" s="687">
        <f t="shared" si="7"/>
        <v>0</v>
      </c>
      <c r="BI19" s="687">
        <f t="shared" si="8"/>
        <v>0</v>
      </c>
      <c r="BJ19" s="629" t="s">
        <v>795</v>
      </c>
      <c r="BK19" s="812">
        <f t="shared" si="9"/>
        <v>0</v>
      </c>
      <c r="BL19" s="629" t="s">
        <v>1065</v>
      </c>
      <c r="BM19" s="686" t="s">
        <v>1718</v>
      </c>
    </row>
    <row r="20" spans="1:65" s="634" customFormat="1" ht="37.9" customHeight="1">
      <c r="A20" s="806"/>
      <c r="B20" s="674"/>
      <c r="C20" s="675" t="s">
        <v>1065</v>
      </c>
      <c r="D20" s="675" t="s">
        <v>29</v>
      </c>
      <c r="E20" s="676" t="s">
        <v>1719</v>
      </c>
      <c r="F20" s="677" t="s">
        <v>1720</v>
      </c>
      <c r="G20" s="678" t="s">
        <v>13</v>
      </c>
      <c r="H20" s="679">
        <v>212</v>
      </c>
      <c r="I20" s="679"/>
      <c r="J20" s="679">
        <f t="shared" si="0"/>
        <v>0</v>
      </c>
      <c r="K20" s="681"/>
      <c r="L20" s="631"/>
      <c r="M20" s="682" t="s">
        <v>1043</v>
      </c>
      <c r="N20" s="683" t="s">
        <v>1129</v>
      </c>
      <c r="O20" s="684">
        <v>4.5999999999999999E-2</v>
      </c>
      <c r="P20" s="684">
        <f t="shared" si="1"/>
        <v>9.7520000000000007</v>
      </c>
      <c r="Q20" s="684">
        <v>0</v>
      </c>
      <c r="R20" s="684">
        <f t="shared" si="2"/>
        <v>0</v>
      </c>
      <c r="S20" s="684">
        <v>0.24</v>
      </c>
      <c r="T20" s="685">
        <f t="shared" si="3"/>
        <v>50.879999999999995</v>
      </c>
      <c r="U20" s="806"/>
      <c r="V20" s="806"/>
      <c r="W20" s="806"/>
      <c r="X20" s="806"/>
      <c r="Y20" s="806"/>
      <c r="Z20" s="806"/>
      <c r="AA20" s="806"/>
      <c r="AB20" s="806"/>
      <c r="AC20" s="806"/>
      <c r="AD20" s="806"/>
      <c r="AE20" s="806"/>
      <c r="AR20" s="686" t="s">
        <v>1065</v>
      </c>
      <c r="AT20" s="686" t="s">
        <v>29</v>
      </c>
      <c r="AU20" s="686" t="s">
        <v>795</v>
      </c>
      <c r="AY20" s="629" t="s">
        <v>1063</v>
      </c>
      <c r="BE20" s="687">
        <f t="shared" si="4"/>
        <v>0</v>
      </c>
      <c r="BF20" s="687">
        <f t="shared" si="5"/>
        <v>0</v>
      </c>
      <c r="BG20" s="687">
        <f t="shared" si="6"/>
        <v>0</v>
      </c>
      <c r="BH20" s="687">
        <f t="shared" si="7"/>
        <v>0</v>
      </c>
      <c r="BI20" s="687">
        <f t="shared" si="8"/>
        <v>0</v>
      </c>
      <c r="BJ20" s="629" t="s">
        <v>795</v>
      </c>
      <c r="BK20" s="812">
        <f t="shared" si="9"/>
        <v>0</v>
      </c>
      <c r="BL20" s="629" t="s">
        <v>1065</v>
      </c>
      <c r="BM20" s="686" t="s">
        <v>1721</v>
      </c>
    </row>
    <row r="21" spans="1:65" s="634" customFormat="1" ht="24.2" customHeight="1">
      <c r="A21" s="806"/>
      <c r="B21" s="674"/>
      <c r="C21" s="675" t="s">
        <v>1074</v>
      </c>
      <c r="D21" s="675" t="s">
        <v>29</v>
      </c>
      <c r="E21" s="676" t="s">
        <v>1722</v>
      </c>
      <c r="F21" s="677" t="s">
        <v>1723</v>
      </c>
      <c r="G21" s="678" t="s">
        <v>13</v>
      </c>
      <c r="H21" s="679">
        <v>212</v>
      </c>
      <c r="I21" s="679"/>
      <c r="J21" s="679">
        <f t="shared" si="0"/>
        <v>0</v>
      </c>
      <c r="K21" s="681"/>
      <c r="L21" s="631"/>
      <c r="M21" s="682" t="s">
        <v>1043</v>
      </c>
      <c r="N21" s="683" t="s">
        <v>1129</v>
      </c>
      <c r="O21" s="684">
        <v>0.187</v>
      </c>
      <c r="P21" s="684">
        <f t="shared" si="1"/>
        <v>39.643999999999998</v>
      </c>
      <c r="Q21" s="684">
        <v>0</v>
      </c>
      <c r="R21" s="684">
        <f t="shared" si="2"/>
        <v>0</v>
      </c>
      <c r="S21" s="684">
        <v>0.22500000000000001</v>
      </c>
      <c r="T21" s="685">
        <f t="shared" si="3"/>
        <v>47.7</v>
      </c>
      <c r="U21" s="806"/>
      <c r="V21" s="806"/>
      <c r="W21" s="806"/>
      <c r="X21" s="806"/>
      <c r="Y21" s="806"/>
      <c r="Z21" s="806"/>
      <c r="AA21" s="806"/>
      <c r="AB21" s="806"/>
      <c r="AC21" s="806"/>
      <c r="AD21" s="806"/>
      <c r="AE21" s="806"/>
      <c r="AR21" s="686" t="s">
        <v>1065</v>
      </c>
      <c r="AT21" s="686" t="s">
        <v>29</v>
      </c>
      <c r="AU21" s="686" t="s">
        <v>795</v>
      </c>
      <c r="AY21" s="629" t="s">
        <v>1063</v>
      </c>
      <c r="BE21" s="687">
        <f t="shared" si="4"/>
        <v>0</v>
      </c>
      <c r="BF21" s="687">
        <f t="shared" si="5"/>
        <v>0</v>
      </c>
      <c r="BG21" s="687">
        <f t="shared" si="6"/>
        <v>0</v>
      </c>
      <c r="BH21" s="687">
        <f t="shared" si="7"/>
        <v>0</v>
      </c>
      <c r="BI21" s="687">
        <f t="shared" si="8"/>
        <v>0</v>
      </c>
      <c r="BJ21" s="629" t="s">
        <v>795</v>
      </c>
      <c r="BK21" s="812">
        <f t="shared" si="9"/>
        <v>0</v>
      </c>
      <c r="BL21" s="629" t="s">
        <v>1065</v>
      </c>
      <c r="BM21" s="686" t="s">
        <v>1724</v>
      </c>
    </row>
    <row r="22" spans="1:65" s="634" customFormat="1" ht="24.2" customHeight="1">
      <c r="A22" s="806"/>
      <c r="B22" s="674"/>
      <c r="C22" s="675" t="s">
        <v>1176</v>
      </c>
      <c r="D22" s="675" t="s">
        <v>29</v>
      </c>
      <c r="E22" s="676" t="s">
        <v>1725</v>
      </c>
      <c r="F22" s="677" t="s">
        <v>1726</v>
      </c>
      <c r="G22" s="678" t="s">
        <v>12</v>
      </c>
      <c r="H22" s="679">
        <v>442.66</v>
      </c>
      <c r="I22" s="679"/>
      <c r="J22" s="679">
        <f t="shared" si="0"/>
        <v>0</v>
      </c>
      <c r="K22" s="681"/>
      <c r="L22" s="631"/>
      <c r="M22" s="682" t="s">
        <v>1043</v>
      </c>
      <c r="N22" s="683" t="s">
        <v>1129</v>
      </c>
      <c r="O22" s="684">
        <v>0.24299999999999999</v>
      </c>
      <c r="P22" s="684">
        <f t="shared" si="1"/>
        <v>107.56638000000001</v>
      </c>
      <c r="Q22" s="684">
        <v>0</v>
      </c>
      <c r="R22" s="684">
        <f t="shared" si="2"/>
        <v>0</v>
      </c>
      <c r="S22" s="684">
        <v>0</v>
      </c>
      <c r="T22" s="685">
        <f t="shared" si="3"/>
        <v>0</v>
      </c>
      <c r="U22" s="806"/>
      <c r="V22" s="806"/>
      <c r="W22" s="806"/>
      <c r="X22" s="806"/>
      <c r="Y22" s="806"/>
      <c r="Z22" s="806"/>
      <c r="AA22" s="806"/>
      <c r="AB22" s="806"/>
      <c r="AC22" s="806"/>
      <c r="AD22" s="806"/>
      <c r="AE22" s="806"/>
      <c r="AR22" s="686" t="s">
        <v>1065</v>
      </c>
      <c r="AT22" s="686" t="s">
        <v>29</v>
      </c>
      <c r="AU22" s="686" t="s">
        <v>795</v>
      </c>
      <c r="AY22" s="629" t="s">
        <v>1063</v>
      </c>
      <c r="BE22" s="687">
        <f t="shared" si="4"/>
        <v>0</v>
      </c>
      <c r="BF22" s="687">
        <f t="shared" si="5"/>
        <v>0</v>
      </c>
      <c r="BG22" s="687">
        <f t="shared" si="6"/>
        <v>0</v>
      </c>
      <c r="BH22" s="687">
        <f t="shared" si="7"/>
        <v>0</v>
      </c>
      <c r="BI22" s="687">
        <f t="shared" si="8"/>
        <v>0</v>
      </c>
      <c r="BJ22" s="629" t="s">
        <v>795</v>
      </c>
      <c r="BK22" s="812">
        <f t="shared" si="9"/>
        <v>0</v>
      </c>
      <c r="BL22" s="629" t="s">
        <v>1065</v>
      </c>
      <c r="BM22" s="686" t="s">
        <v>1727</v>
      </c>
    </row>
    <row r="23" spans="1:65" s="634" customFormat="1" ht="37.9" customHeight="1">
      <c r="A23" s="806"/>
      <c r="B23" s="674"/>
      <c r="C23" s="675" t="s">
        <v>1182</v>
      </c>
      <c r="D23" s="675" t="s">
        <v>29</v>
      </c>
      <c r="E23" s="676" t="s">
        <v>1728</v>
      </c>
      <c r="F23" s="677" t="s">
        <v>144</v>
      </c>
      <c r="G23" s="678" t="s">
        <v>12</v>
      </c>
      <c r="H23" s="679">
        <v>442.66</v>
      </c>
      <c r="I23" s="679"/>
      <c r="J23" s="679">
        <f t="shared" si="0"/>
        <v>0</v>
      </c>
      <c r="K23" s="681"/>
      <c r="L23" s="631"/>
      <c r="M23" s="682" t="s">
        <v>1043</v>
      </c>
      <c r="N23" s="683" t="s">
        <v>1129</v>
      </c>
      <c r="O23" s="684">
        <v>5.4399999999999997E-2</v>
      </c>
      <c r="P23" s="684">
        <f t="shared" si="1"/>
        <v>24.080704000000001</v>
      </c>
      <c r="Q23" s="684">
        <v>0</v>
      </c>
      <c r="R23" s="684">
        <f t="shared" si="2"/>
        <v>0</v>
      </c>
      <c r="S23" s="684">
        <v>0</v>
      </c>
      <c r="T23" s="685">
        <f t="shared" si="3"/>
        <v>0</v>
      </c>
      <c r="U23" s="806"/>
      <c r="V23" s="806"/>
      <c r="W23" s="806"/>
      <c r="X23" s="806"/>
      <c r="Y23" s="806"/>
      <c r="Z23" s="806"/>
      <c r="AA23" s="806"/>
      <c r="AB23" s="806"/>
      <c r="AC23" s="806"/>
      <c r="AD23" s="806"/>
      <c r="AE23" s="806"/>
      <c r="AR23" s="686" t="s">
        <v>1065</v>
      </c>
      <c r="AT23" s="686" t="s">
        <v>29</v>
      </c>
      <c r="AU23" s="686" t="s">
        <v>795</v>
      </c>
      <c r="AY23" s="629" t="s">
        <v>1063</v>
      </c>
      <c r="BE23" s="687">
        <f t="shared" si="4"/>
        <v>0</v>
      </c>
      <c r="BF23" s="687">
        <f t="shared" si="5"/>
        <v>0</v>
      </c>
      <c r="BG23" s="687">
        <f t="shared" si="6"/>
        <v>0</v>
      </c>
      <c r="BH23" s="687">
        <f t="shared" si="7"/>
        <v>0</v>
      </c>
      <c r="BI23" s="687">
        <f t="shared" si="8"/>
        <v>0</v>
      </c>
      <c r="BJ23" s="629" t="s">
        <v>795</v>
      </c>
      <c r="BK23" s="812">
        <f t="shared" si="9"/>
        <v>0</v>
      </c>
      <c r="BL23" s="629" t="s">
        <v>1065</v>
      </c>
      <c r="BM23" s="686" t="s">
        <v>1729</v>
      </c>
    </row>
    <row r="24" spans="1:65" s="634" customFormat="1" ht="37.9" customHeight="1">
      <c r="A24" s="806"/>
      <c r="B24" s="674"/>
      <c r="C24" s="675" t="s">
        <v>1071</v>
      </c>
      <c r="D24" s="675" t="s">
        <v>29</v>
      </c>
      <c r="E24" s="676" t="s">
        <v>1730</v>
      </c>
      <c r="F24" s="677" t="s">
        <v>1731</v>
      </c>
      <c r="G24" s="678" t="s">
        <v>12</v>
      </c>
      <c r="H24" s="679">
        <v>3098.62</v>
      </c>
      <c r="I24" s="679"/>
      <c r="J24" s="679">
        <f t="shared" si="0"/>
        <v>0</v>
      </c>
      <c r="K24" s="681"/>
      <c r="L24" s="631"/>
      <c r="M24" s="682" t="s">
        <v>1043</v>
      </c>
      <c r="N24" s="683" t="s">
        <v>1129</v>
      </c>
      <c r="O24" s="684">
        <v>5.3899999999999998E-3</v>
      </c>
      <c r="P24" s="684">
        <f t="shared" si="1"/>
        <v>16.7015618</v>
      </c>
      <c r="Q24" s="684">
        <v>0</v>
      </c>
      <c r="R24" s="684">
        <f t="shared" si="2"/>
        <v>0</v>
      </c>
      <c r="S24" s="684">
        <v>0</v>
      </c>
      <c r="T24" s="685">
        <f t="shared" si="3"/>
        <v>0</v>
      </c>
      <c r="U24" s="806"/>
      <c r="V24" s="806"/>
      <c r="W24" s="806"/>
      <c r="X24" s="806"/>
      <c r="Y24" s="806"/>
      <c r="Z24" s="806"/>
      <c r="AA24" s="806"/>
      <c r="AB24" s="806"/>
      <c r="AC24" s="806"/>
      <c r="AD24" s="806"/>
      <c r="AE24" s="806"/>
      <c r="AR24" s="686" t="s">
        <v>1065</v>
      </c>
      <c r="AT24" s="686" t="s">
        <v>29</v>
      </c>
      <c r="AU24" s="686" t="s">
        <v>795</v>
      </c>
      <c r="AY24" s="629" t="s">
        <v>1063</v>
      </c>
      <c r="BE24" s="687">
        <f t="shared" si="4"/>
        <v>0</v>
      </c>
      <c r="BF24" s="687">
        <f t="shared" si="5"/>
        <v>0</v>
      </c>
      <c r="BG24" s="687">
        <f t="shared" si="6"/>
        <v>0</v>
      </c>
      <c r="BH24" s="687">
        <f t="shared" si="7"/>
        <v>0</v>
      </c>
      <c r="BI24" s="687">
        <f t="shared" si="8"/>
        <v>0</v>
      </c>
      <c r="BJ24" s="629" t="s">
        <v>795</v>
      </c>
      <c r="BK24" s="812">
        <f t="shared" si="9"/>
        <v>0</v>
      </c>
      <c r="BL24" s="629" t="s">
        <v>1065</v>
      </c>
      <c r="BM24" s="686" t="s">
        <v>1732</v>
      </c>
    </row>
    <row r="25" spans="1:65" s="634" customFormat="1" ht="14.45" customHeight="1">
      <c r="A25" s="806"/>
      <c r="B25" s="674"/>
      <c r="C25" s="675" t="s">
        <v>1193</v>
      </c>
      <c r="D25" s="675" t="s">
        <v>29</v>
      </c>
      <c r="E25" s="676" t="s">
        <v>1733</v>
      </c>
      <c r="F25" s="677" t="s">
        <v>1734</v>
      </c>
      <c r="G25" s="678" t="s">
        <v>15</v>
      </c>
      <c r="H25" s="679">
        <v>663.99</v>
      </c>
      <c r="I25" s="679"/>
      <c r="J25" s="679">
        <f t="shared" si="0"/>
        <v>0</v>
      </c>
      <c r="K25" s="681"/>
      <c r="L25" s="631"/>
      <c r="M25" s="682" t="s">
        <v>1043</v>
      </c>
      <c r="N25" s="683" t="s">
        <v>1129</v>
      </c>
      <c r="O25" s="684">
        <v>0</v>
      </c>
      <c r="P25" s="684">
        <f t="shared" si="1"/>
        <v>0</v>
      </c>
      <c r="Q25" s="684">
        <v>0</v>
      </c>
      <c r="R25" s="684">
        <f t="shared" si="2"/>
        <v>0</v>
      </c>
      <c r="S25" s="684">
        <v>0</v>
      </c>
      <c r="T25" s="685">
        <f t="shared" si="3"/>
        <v>0</v>
      </c>
      <c r="U25" s="806"/>
      <c r="V25" s="806"/>
      <c r="W25" s="806"/>
      <c r="X25" s="806"/>
      <c r="Y25" s="806"/>
      <c r="Z25" s="806"/>
      <c r="AA25" s="806"/>
      <c r="AB25" s="806"/>
      <c r="AC25" s="806"/>
      <c r="AD25" s="806"/>
      <c r="AE25" s="806"/>
      <c r="AR25" s="686" t="s">
        <v>1065</v>
      </c>
      <c r="AT25" s="686" t="s">
        <v>29</v>
      </c>
      <c r="AU25" s="686" t="s">
        <v>795</v>
      </c>
      <c r="AY25" s="629" t="s">
        <v>1063</v>
      </c>
      <c r="BE25" s="687">
        <f t="shared" si="4"/>
        <v>0</v>
      </c>
      <c r="BF25" s="687">
        <f t="shared" si="5"/>
        <v>0</v>
      </c>
      <c r="BG25" s="687">
        <f t="shared" si="6"/>
        <v>0</v>
      </c>
      <c r="BH25" s="687">
        <f t="shared" si="7"/>
        <v>0</v>
      </c>
      <c r="BI25" s="687">
        <f t="shared" si="8"/>
        <v>0</v>
      </c>
      <c r="BJ25" s="629" t="s">
        <v>795</v>
      </c>
      <c r="BK25" s="812">
        <f t="shared" si="9"/>
        <v>0</v>
      </c>
      <c r="BL25" s="629" t="s">
        <v>1065</v>
      </c>
      <c r="BM25" s="686" t="s">
        <v>1735</v>
      </c>
    </row>
    <row r="26" spans="1:65" s="661" customFormat="1" ht="22.9" customHeight="1">
      <c r="B26" s="662"/>
      <c r="D26" s="663" t="s">
        <v>491</v>
      </c>
      <c r="E26" s="672" t="s">
        <v>1074</v>
      </c>
      <c r="F26" s="672" t="s">
        <v>52</v>
      </c>
      <c r="J26" s="811">
        <f>BK26</f>
        <v>0</v>
      </c>
      <c r="L26" s="662"/>
      <c r="M26" s="666"/>
      <c r="N26" s="667"/>
      <c r="O26" s="667"/>
      <c r="P26" s="668">
        <f>SUM(P27:P34)</f>
        <v>623.17623200000003</v>
      </c>
      <c r="Q26" s="667"/>
      <c r="R26" s="668">
        <f>SUM(R27:R34)</f>
        <v>846.72191150000003</v>
      </c>
      <c r="S26" s="667"/>
      <c r="T26" s="669">
        <f>SUM(T27:T34)</f>
        <v>0</v>
      </c>
      <c r="AR26" s="663" t="s">
        <v>791</v>
      </c>
      <c r="AT26" s="670" t="s">
        <v>491</v>
      </c>
      <c r="AU26" s="670" t="s">
        <v>791</v>
      </c>
      <c r="AY26" s="663" t="s">
        <v>1063</v>
      </c>
      <c r="BK26" s="810">
        <f>SUM(BK27:BK34)</f>
        <v>0</v>
      </c>
    </row>
    <row r="27" spans="1:65" s="634" customFormat="1" ht="24.2" customHeight="1">
      <c r="A27" s="806"/>
      <c r="B27" s="674"/>
      <c r="C27" s="675" t="s">
        <v>1175</v>
      </c>
      <c r="D27" s="675" t="s">
        <v>29</v>
      </c>
      <c r="E27" s="676" t="s">
        <v>1736</v>
      </c>
      <c r="F27" s="677" t="s">
        <v>1737</v>
      </c>
      <c r="G27" s="678" t="s">
        <v>13</v>
      </c>
      <c r="H27" s="679">
        <v>513.65</v>
      </c>
      <c r="I27" s="679"/>
      <c r="J27" s="679">
        <f t="shared" ref="J27:J34" si="10">ROUND(I27*H27,3)</f>
        <v>0</v>
      </c>
      <c r="K27" s="681"/>
      <c r="L27" s="631"/>
      <c r="M27" s="682" t="s">
        <v>1043</v>
      </c>
      <c r="N27" s="683" t="s">
        <v>1129</v>
      </c>
      <c r="O27" s="684">
        <v>2.4119999999999999E-2</v>
      </c>
      <c r="P27" s="684">
        <f t="shared" ref="P27:P34" si="11">O27*H27</f>
        <v>12.389237999999999</v>
      </c>
      <c r="Q27" s="684">
        <v>0.27994000000000002</v>
      </c>
      <c r="R27" s="684">
        <f t="shared" ref="R27:R34" si="12">Q27*H27</f>
        <v>143.79118099999999</v>
      </c>
      <c r="S27" s="684">
        <v>0</v>
      </c>
      <c r="T27" s="685">
        <f t="shared" ref="T27:T34" si="13">S27*H27</f>
        <v>0</v>
      </c>
      <c r="U27" s="806"/>
      <c r="V27" s="806"/>
      <c r="W27" s="806"/>
      <c r="X27" s="806"/>
      <c r="Y27" s="806"/>
      <c r="Z27" s="806"/>
      <c r="AA27" s="806"/>
      <c r="AB27" s="806"/>
      <c r="AC27" s="806"/>
      <c r="AD27" s="806"/>
      <c r="AE27" s="806"/>
      <c r="AR27" s="686" t="s">
        <v>1065</v>
      </c>
      <c r="AT27" s="686" t="s">
        <v>29</v>
      </c>
      <c r="AU27" s="686" t="s">
        <v>795</v>
      </c>
      <c r="AY27" s="629" t="s">
        <v>1063</v>
      </c>
      <c r="BE27" s="687">
        <f t="shared" ref="BE27:BE34" si="14">IF(N27="základná",J27,0)</f>
        <v>0</v>
      </c>
      <c r="BF27" s="687">
        <f t="shared" ref="BF27:BF34" si="15">IF(N27="znížená",J27,0)</f>
        <v>0</v>
      </c>
      <c r="BG27" s="687">
        <f t="shared" ref="BG27:BG34" si="16">IF(N27="zákl. prenesená",J27,0)</f>
        <v>0</v>
      </c>
      <c r="BH27" s="687">
        <f t="shared" ref="BH27:BH34" si="17">IF(N27="zníž. prenesená",J27,0)</f>
        <v>0</v>
      </c>
      <c r="BI27" s="687">
        <f t="shared" ref="BI27:BI34" si="18">IF(N27="nulová",J27,0)</f>
        <v>0</v>
      </c>
      <c r="BJ27" s="629" t="s">
        <v>795</v>
      </c>
      <c r="BK27" s="812">
        <f t="shared" ref="BK27:BK34" si="19">ROUND(I27*H27,3)</f>
        <v>0</v>
      </c>
      <c r="BL27" s="629" t="s">
        <v>1065</v>
      </c>
      <c r="BM27" s="686" t="s">
        <v>1738</v>
      </c>
    </row>
    <row r="28" spans="1:65" s="634" customFormat="1" ht="24.2" customHeight="1">
      <c r="A28" s="806"/>
      <c r="B28" s="674"/>
      <c r="C28" s="675" t="s">
        <v>1200</v>
      </c>
      <c r="D28" s="675" t="s">
        <v>29</v>
      </c>
      <c r="E28" s="676" t="s">
        <v>1739</v>
      </c>
      <c r="F28" s="677" t="s">
        <v>1740</v>
      </c>
      <c r="G28" s="678" t="s">
        <v>13</v>
      </c>
      <c r="H28" s="679">
        <v>1016.2</v>
      </c>
      <c r="I28" s="679"/>
      <c r="J28" s="679">
        <f t="shared" si="10"/>
        <v>0</v>
      </c>
      <c r="K28" s="681"/>
      <c r="L28" s="631"/>
      <c r="M28" s="682" t="s">
        <v>1043</v>
      </c>
      <c r="N28" s="683" t="s">
        <v>1129</v>
      </c>
      <c r="O28" s="684">
        <v>2.4119999999999999E-2</v>
      </c>
      <c r="P28" s="684">
        <f t="shared" si="11"/>
        <v>24.510743999999999</v>
      </c>
      <c r="Q28" s="684">
        <v>0.33445999999999998</v>
      </c>
      <c r="R28" s="684">
        <f t="shared" si="12"/>
        <v>339.87825199999997</v>
      </c>
      <c r="S28" s="684">
        <v>0</v>
      </c>
      <c r="T28" s="685">
        <f t="shared" si="13"/>
        <v>0</v>
      </c>
      <c r="U28" s="806"/>
      <c r="V28" s="806"/>
      <c r="W28" s="806"/>
      <c r="X28" s="806"/>
      <c r="Y28" s="806"/>
      <c r="Z28" s="806"/>
      <c r="AA28" s="806"/>
      <c r="AB28" s="806"/>
      <c r="AC28" s="806"/>
      <c r="AD28" s="806"/>
      <c r="AE28" s="806"/>
      <c r="AR28" s="686" t="s">
        <v>1065</v>
      </c>
      <c r="AT28" s="686" t="s">
        <v>29</v>
      </c>
      <c r="AU28" s="686" t="s">
        <v>795</v>
      </c>
      <c r="AY28" s="629" t="s">
        <v>1063</v>
      </c>
      <c r="BE28" s="687">
        <f t="shared" si="14"/>
        <v>0</v>
      </c>
      <c r="BF28" s="687">
        <f t="shared" si="15"/>
        <v>0</v>
      </c>
      <c r="BG28" s="687">
        <f t="shared" si="16"/>
        <v>0</v>
      </c>
      <c r="BH28" s="687">
        <f t="shared" si="17"/>
        <v>0</v>
      </c>
      <c r="BI28" s="687">
        <f t="shared" si="18"/>
        <v>0</v>
      </c>
      <c r="BJ28" s="629" t="s">
        <v>795</v>
      </c>
      <c r="BK28" s="812">
        <f t="shared" si="19"/>
        <v>0</v>
      </c>
      <c r="BL28" s="629" t="s">
        <v>1065</v>
      </c>
      <c r="BM28" s="686" t="s">
        <v>1741</v>
      </c>
    </row>
    <row r="29" spans="1:65" s="634" customFormat="1" ht="14.45" customHeight="1">
      <c r="A29" s="806"/>
      <c r="B29" s="674"/>
      <c r="C29" s="675" t="s">
        <v>1205</v>
      </c>
      <c r="D29" s="675" t="s">
        <v>29</v>
      </c>
      <c r="E29" s="676" t="s">
        <v>1742</v>
      </c>
      <c r="F29" s="677" t="s">
        <v>1743</v>
      </c>
      <c r="G29" s="678" t="s">
        <v>13</v>
      </c>
      <c r="H29" s="679">
        <v>472.65</v>
      </c>
      <c r="I29" s="679"/>
      <c r="J29" s="679">
        <f t="shared" si="10"/>
        <v>0</v>
      </c>
      <c r="K29" s="681"/>
      <c r="L29" s="631"/>
      <c r="M29" s="682" t="s">
        <v>1043</v>
      </c>
      <c r="N29" s="683" t="s">
        <v>1129</v>
      </c>
      <c r="O29" s="684">
        <v>0.151</v>
      </c>
      <c r="P29" s="684">
        <f t="shared" si="11"/>
        <v>71.370149999999995</v>
      </c>
      <c r="Q29" s="684">
        <v>0.18235999999999999</v>
      </c>
      <c r="R29" s="684">
        <f t="shared" si="12"/>
        <v>86.192453999999998</v>
      </c>
      <c r="S29" s="684">
        <v>0</v>
      </c>
      <c r="T29" s="685">
        <f t="shared" si="13"/>
        <v>0</v>
      </c>
      <c r="U29" s="806"/>
      <c r="V29" s="806"/>
      <c r="W29" s="806"/>
      <c r="X29" s="806"/>
      <c r="Y29" s="806"/>
      <c r="Z29" s="806"/>
      <c r="AA29" s="806"/>
      <c r="AB29" s="806"/>
      <c r="AC29" s="806"/>
      <c r="AD29" s="806"/>
      <c r="AE29" s="806"/>
      <c r="AR29" s="686" t="s">
        <v>1065</v>
      </c>
      <c r="AT29" s="686" t="s">
        <v>29</v>
      </c>
      <c r="AU29" s="686" t="s">
        <v>795</v>
      </c>
      <c r="AY29" s="629" t="s">
        <v>1063</v>
      </c>
      <c r="BE29" s="687">
        <f t="shared" si="14"/>
        <v>0</v>
      </c>
      <c r="BF29" s="687">
        <f t="shared" si="15"/>
        <v>0</v>
      </c>
      <c r="BG29" s="687">
        <f t="shared" si="16"/>
        <v>0</v>
      </c>
      <c r="BH29" s="687">
        <f t="shared" si="17"/>
        <v>0</v>
      </c>
      <c r="BI29" s="687">
        <f t="shared" si="18"/>
        <v>0</v>
      </c>
      <c r="BJ29" s="629" t="s">
        <v>795</v>
      </c>
      <c r="BK29" s="812">
        <f t="shared" si="19"/>
        <v>0</v>
      </c>
      <c r="BL29" s="629" t="s">
        <v>1065</v>
      </c>
      <c r="BM29" s="686" t="s">
        <v>1744</v>
      </c>
    </row>
    <row r="30" spans="1:65" s="634" customFormat="1" ht="24.2" customHeight="1">
      <c r="A30" s="806"/>
      <c r="B30" s="674"/>
      <c r="C30" s="675" t="s">
        <v>1211</v>
      </c>
      <c r="D30" s="675" t="s">
        <v>29</v>
      </c>
      <c r="E30" s="676" t="s">
        <v>1745</v>
      </c>
      <c r="F30" s="677" t="s">
        <v>1746</v>
      </c>
      <c r="G30" s="678" t="s">
        <v>13</v>
      </c>
      <c r="H30" s="679">
        <v>412.5</v>
      </c>
      <c r="I30" s="679"/>
      <c r="J30" s="679">
        <f t="shared" si="10"/>
        <v>0</v>
      </c>
      <c r="K30" s="681"/>
      <c r="L30" s="631"/>
      <c r="M30" s="682" t="s">
        <v>1043</v>
      </c>
      <c r="N30" s="683" t="s">
        <v>1129</v>
      </c>
      <c r="O30" s="684">
        <v>6.6000000000000003E-2</v>
      </c>
      <c r="P30" s="684">
        <f t="shared" si="11"/>
        <v>27.225000000000001</v>
      </c>
      <c r="Q30" s="684">
        <v>0.10373</v>
      </c>
      <c r="R30" s="684">
        <f t="shared" si="12"/>
        <v>42.788625000000003</v>
      </c>
      <c r="S30" s="684">
        <v>0</v>
      </c>
      <c r="T30" s="685">
        <f t="shared" si="13"/>
        <v>0</v>
      </c>
      <c r="U30" s="806"/>
      <c r="V30" s="806"/>
      <c r="W30" s="806"/>
      <c r="X30" s="806"/>
      <c r="Y30" s="806"/>
      <c r="Z30" s="806"/>
      <c r="AA30" s="806"/>
      <c r="AB30" s="806"/>
      <c r="AC30" s="806"/>
      <c r="AD30" s="806"/>
      <c r="AE30" s="806"/>
      <c r="AR30" s="686" t="s">
        <v>1065</v>
      </c>
      <c r="AT30" s="686" t="s">
        <v>29</v>
      </c>
      <c r="AU30" s="686" t="s">
        <v>795</v>
      </c>
      <c r="AY30" s="629" t="s">
        <v>1063</v>
      </c>
      <c r="BE30" s="687">
        <f t="shared" si="14"/>
        <v>0</v>
      </c>
      <c r="BF30" s="687">
        <f t="shared" si="15"/>
        <v>0</v>
      </c>
      <c r="BG30" s="687">
        <f t="shared" si="16"/>
        <v>0</v>
      </c>
      <c r="BH30" s="687">
        <f t="shared" si="17"/>
        <v>0</v>
      </c>
      <c r="BI30" s="687">
        <f t="shared" si="18"/>
        <v>0</v>
      </c>
      <c r="BJ30" s="629" t="s">
        <v>795</v>
      </c>
      <c r="BK30" s="812">
        <f t="shared" si="19"/>
        <v>0</v>
      </c>
      <c r="BL30" s="629" t="s">
        <v>1065</v>
      </c>
      <c r="BM30" s="686" t="s">
        <v>1747</v>
      </c>
    </row>
    <row r="31" spans="1:65" s="634" customFormat="1" ht="37.9" customHeight="1">
      <c r="A31" s="806"/>
      <c r="B31" s="674"/>
      <c r="C31" s="675" t="s">
        <v>1217</v>
      </c>
      <c r="D31" s="675" t="s">
        <v>29</v>
      </c>
      <c r="E31" s="676" t="s">
        <v>1748</v>
      </c>
      <c r="F31" s="677" t="s">
        <v>1749</v>
      </c>
      <c r="G31" s="678" t="s">
        <v>13</v>
      </c>
      <c r="H31" s="679">
        <v>60.15</v>
      </c>
      <c r="I31" s="679"/>
      <c r="J31" s="679">
        <f t="shared" si="10"/>
        <v>0</v>
      </c>
      <c r="K31" s="681"/>
      <c r="L31" s="631"/>
      <c r="M31" s="682" t="s">
        <v>1043</v>
      </c>
      <c r="N31" s="683" t="s">
        <v>1129</v>
      </c>
      <c r="O31" s="684">
        <v>6.6000000000000003E-2</v>
      </c>
      <c r="P31" s="684">
        <f t="shared" si="11"/>
        <v>3.9699</v>
      </c>
      <c r="Q31" s="684">
        <v>0.10373</v>
      </c>
      <c r="R31" s="684">
        <f t="shared" si="12"/>
        <v>6.2393594999999999</v>
      </c>
      <c r="S31" s="684">
        <v>0</v>
      </c>
      <c r="T31" s="685">
        <f t="shared" si="13"/>
        <v>0</v>
      </c>
      <c r="U31" s="806"/>
      <c r="V31" s="806"/>
      <c r="W31" s="806"/>
      <c r="X31" s="806"/>
      <c r="Y31" s="806"/>
      <c r="Z31" s="806"/>
      <c r="AA31" s="806"/>
      <c r="AB31" s="806"/>
      <c r="AC31" s="806"/>
      <c r="AD31" s="806"/>
      <c r="AE31" s="806"/>
      <c r="AR31" s="686" t="s">
        <v>1065</v>
      </c>
      <c r="AT31" s="686" t="s">
        <v>29</v>
      </c>
      <c r="AU31" s="686" t="s">
        <v>795</v>
      </c>
      <c r="AY31" s="629" t="s">
        <v>1063</v>
      </c>
      <c r="BE31" s="687">
        <f t="shared" si="14"/>
        <v>0</v>
      </c>
      <c r="BF31" s="687">
        <f t="shared" si="15"/>
        <v>0</v>
      </c>
      <c r="BG31" s="687">
        <f t="shared" si="16"/>
        <v>0</v>
      </c>
      <c r="BH31" s="687">
        <f t="shared" si="17"/>
        <v>0</v>
      </c>
      <c r="BI31" s="687">
        <f t="shared" si="18"/>
        <v>0</v>
      </c>
      <c r="BJ31" s="629" t="s">
        <v>795</v>
      </c>
      <c r="BK31" s="812">
        <f t="shared" si="19"/>
        <v>0</v>
      </c>
      <c r="BL31" s="629" t="s">
        <v>1065</v>
      </c>
      <c r="BM31" s="686" t="s">
        <v>1750</v>
      </c>
    </row>
    <row r="32" spans="1:65" s="634" customFormat="1" ht="37.9" customHeight="1">
      <c r="A32" s="806"/>
      <c r="B32" s="674"/>
      <c r="C32" s="675" t="s">
        <v>1224</v>
      </c>
      <c r="D32" s="675" t="s">
        <v>29</v>
      </c>
      <c r="E32" s="676" t="s">
        <v>1751</v>
      </c>
      <c r="F32" s="677" t="s">
        <v>1752</v>
      </c>
      <c r="G32" s="678" t="s">
        <v>13</v>
      </c>
      <c r="H32" s="679">
        <v>1016.2</v>
      </c>
      <c r="I32" s="679"/>
      <c r="J32" s="679">
        <f t="shared" si="10"/>
        <v>0</v>
      </c>
      <c r="K32" s="681"/>
      <c r="L32" s="631"/>
      <c r="M32" s="682" t="s">
        <v>1043</v>
      </c>
      <c r="N32" s="683" t="s">
        <v>1129</v>
      </c>
      <c r="O32" s="684">
        <v>0.47599999999999998</v>
      </c>
      <c r="P32" s="684">
        <f t="shared" si="11"/>
        <v>483.71120000000002</v>
      </c>
      <c r="Q32" s="684">
        <v>0.112</v>
      </c>
      <c r="R32" s="684">
        <f t="shared" si="12"/>
        <v>113.81440000000001</v>
      </c>
      <c r="S32" s="684">
        <v>0</v>
      </c>
      <c r="T32" s="685">
        <f t="shared" si="13"/>
        <v>0</v>
      </c>
      <c r="U32" s="806"/>
      <c r="V32" s="806"/>
      <c r="W32" s="806"/>
      <c r="X32" s="806"/>
      <c r="Y32" s="806"/>
      <c r="Z32" s="806"/>
      <c r="AA32" s="806"/>
      <c r="AB32" s="806"/>
      <c r="AC32" s="806"/>
      <c r="AD32" s="806"/>
      <c r="AE32" s="806"/>
      <c r="AR32" s="686" t="s">
        <v>1065</v>
      </c>
      <c r="AT32" s="686" t="s">
        <v>29</v>
      </c>
      <c r="AU32" s="686" t="s">
        <v>795</v>
      </c>
      <c r="AY32" s="629" t="s">
        <v>1063</v>
      </c>
      <c r="BE32" s="687">
        <f t="shared" si="14"/>
        <v>0</v>
      </c>
      <c r="BF32" s="687">
        <f t="shared" si="15"/>
        <v>0</v>
      </c>
      <c r="BG32" s="687">
        <f t="shared" si="16"/>
        <v>0</v>
      </c>
      <c r="BH32" s="687">
        <f t="shared" si="17"/>
        <v>0</v>
      </c>
      <c r="BI32" s="687">
        <f t="shared" si="18"/>
        <v>0</v>
      </c>
      <c r="BJ32" s="629" t="s">
        <v>795</v>
      </c>
      <c r="BK32" s="812">
        <f t="shared" si="19"/>
        <v>0</v>
      </c>
      <c r="BL32" s="629" t="s">
        <v>1065</v>
      </c>
      <c r="BM32" s="686" t="s">
        <v>1753</v>
      </c>
    </row>
    <row r="33" spans="1:65" s="634" customFormat="1" ht="24.2" customHeight="1">
      <c r="A33" s="806"/>
      <c r="B33" s="674"/>
      <c r="C33" s="694" t="s">
        <v>1185</v>
      </c>
      <c r="D33" s="694" t="s">
        <v>83</v>
      </c>
      <c r="E33" s="695" t="s">
        <v>1754</v>
      </c>
      <c r="F33" s="696" t="s">
        <v>1755</v>
      </c>
      <c r="G33" s="697" t="s">
        <v>13</v>
      </c>
      <c r="H33" s="698">
        <v>252.858</v>
      </c>
      <c r="I33" s="698"/>
      <c r="J33" s="698">
        <f t="shared" si="10"/>
        <v>0</v>
      </c>
      <c r="K33" s="700"/>
      <c r="L33" s="701"/>
      <c r="M33" s="702" t="s">
        <v>1043</v>
      </c>
      <c r="N33" s="703" t="s">
        <v>1129</v>
      </c>
      <c r="O33" s="684">
        <v>0</v>
      </c>
      <c r="P33" s="684">
        <f t="shared" si="11"/>
        <v>0</v>
      </c>
      <c r="Q33" s="684">
        <v>0.11</v>
      </c>
      <c r="R33" s="684">
        <f t="shared" si="12"/>
        <v>27.81438</v>
      </c>
      <c r="S33" s="684">
        <v>0</v>
      </c>
      <c r="T33" s="685">
        <f t="shared" si="13"/>
        <v>0</v>
      </c>
      <c r="U33" s="806"/>
      <c r="V33" s="806"/>
      <c r="W33" s="806"/>
      <c r="X33" s="806"/>
      <c r="Y33" s="806"/>
      <c r="Z33" s="806"/>
      <c r="AA33" s="806"/>
      <c r="AB33" s="806"/>
      <c r="AC33" s="806"/>
      <c r="AD33" s="806"/>
      <c r="AE33" s="806"/>
      <c r="AR33" s="686" t="s">
        <v>1071</v>
      </c>
      <c r="AT33" s="686" t="s">
        <v>83</v>
      </c>
      <c r="AU33" s="686" t="s">
        <v>795</v>
      </c>
      <c r="AY33" s="629" t="s">
        <v>1063</v>
      </c>
      <c r="BE33" s="687">
        <f t="shared" si="14"/>
        <v>0</v>
      </c>
      <c r="BF33" s="687">
        <f t="shared" si="15"/>
        <v>0</v>
      </c>
      <c r="BG33" s="687">
        <f t="shared" si="16"/>
        <v>0</v>
      </c>
      <c r="BH33" s="687">
        <f t="shared" si="17"/>
        <v>0</v>
      </c>
      <c r="BI33" s="687">
        <f t="shared" si="18"/>
        <v>0</v>
      </c>
      <c r="BJ33" s="629" t="s">
        <v>795</v>
      </c>
      <c r="BK33" s="812">
        <f t="shared" si="19"/>
        <v>0</v>
      </c>
      <c r="BL33" s="629" t="s">
        <v>1065</v>
      </c>
      <c r="BM33" s="686" t="s">
        <v>1756</v>
      </c>
    </row>
    <row r="34" spans="1:65" s="634" customFormat="1" ht="24.2" customHeight="1">
      <c r="A34" s="806"/>
      <c r="B34" s="674"/>
      <c r="C34" s="694" t="s">
        <v>1234</v>
      </c>
      <c r="D34" s="694" t="s">
        <v>83</v>
      </c>
      <c r="E34" s="695" t="s">
        <v>1757</v>
      </c>
      <c r="F34" s="696" t="s">
        <v>1758</v>
      </c>
      <c r="G34" s="697" t="s">
        <v>13</v>
      </c>
      <c r="H34" s="698">
        <v>783.66600000000005</v>
      </c>
      <c r="I34" s="698"/>
      <c r="J34" s="698">
        <f t="shared" si="10"/>
        <v>0</v>
      </c>
      <c r="K34" s="700"/>
      <c r="L34" s="701"/>
      <c r="M34" s="702" t="s">
        <v>1043</v>
      </c>
      <c r="N34" s="703" t="s">
        <v>1129</v>
      </c>
      <c r="O34" s="684">
        <v>0</v>
      </c>
      <c r="P34" s="684">
        <f t="shared" si="11"/>
        <v>0</v>
      </c>
      <c r="Q34" s="684">
        <v>0.11</v>
      </c>
      <c r="R34" s="684">
        <f t="shared" si="12"/>
        <v>86.20326</v>
      </c>
      <c r="S34" s="684">
        <v>0</v>
      </c>
      <c r="T34" s="685">
        <f t="shared" si="13"/>
        <v>0</v>
      </c>
      <c r="U34" s="806"/>
      <c r="V34" s="806"/>
      <c r="W34" s="806"/>
      <c r="X34" s="806"/>
      <c r="Y34" s="806"/>
      <c r="Z34" s="806"/>
      <c r="AA34" s="806"/>
      <c r="AB34" s="806"/>
      <c r="AC34" s="806"/>
      <c r="AD34" s="806"/>
      <c r="AE34" s="806"/>
      <c r="AR34" s="686" t="s">
        <v>1071</v>
      </c>
      <c r="AT34" s="686" t="s">
        <v>83</v>
      </c>
      <c r="AU34" s="686" t="s">
        <v>795</v>
      </c>
      <c r="AY34" s="629" t="s">
        <v>1063</v>
      </c>
      <c r="BE34" s="687">
        <f t="shared" si="14"/>
        <v>0</v>
      </c>
      <c r="BF34" s="687">
        <f t="shared" si="15"/>
        <v>0</v>
      </c>
      <c r="BG34" s="687">
        <f t="shared" si="16"/>
        <v>0</v>
      </c>
      <c r="BH34" s="687">
        <f t="shared" si="17"/>
        <v>0</v>
      </c>
      <c r="BI34" s="687">
        <f t="shared" si="18"/>
        <v>0</v>
      </c>
      <c r="BJ34" s="629" t="s">
        <v>795</v>
      </c>
      <c r="BK34" s="812">
        <f t="shared" si="19"/>
        <v>0</v>
      </c>
      <c r="BL34" s="629" t="s">
        <v>1065</v>
      </c>
      <c r="BM34" s="686" t="s">
        <v>1759</v>
      </c>
    </row>
    <row r="35" spans="1:65" s="661" customFormat="1" ht="22.9" customHeight="1">
      <c r="B35" s="662"/>
      <c r="D35" s="663" t="s">
        <v>491</v>
      </c>
      <c r="E35" s="672" t="s">
        <v>1176</v>
      </c>
      <c r="F35" s="672" t="s">
        <v>1760</v>
      </c>
      <c r="J35" s="811">
        <f>BK35</f>
        <v>0</v>
      </c>
      <c r="L35" s="662"/>
      <c r="M35" s="666"/>
      <c r="N35" s="667"/>
      <c r="O35" s="667"/>
      <c r="P35" s="668">
        <f>P36</f>
        <v>12.300553500000001</v>
      </c>
      <c r="Q35" s="667"/>
      <c r="R35" s="668">
        <f>R36</f>
        <v>11.297550000000001</v>
      </c>
      <c r="S35" s="667"/>
      <c r="T35" s="669">
        <f>T36</f>
        <v>0</v>
      </c>
      <c r="AR35" s="663" t="s">
        <v>791</v>
      </c>
      <c r="AT35" s="670" t="s">
        <v>491</v>
      </c>
      <c r="AU35" s="670" t="s">
        <v>791</v>
      </c>
      <c r="AY35" s="663" t="s">
        <v>1063</v>
      </c>
      <c r="BK35" s="810">
        <f>BK36</f>
        <v>0</v>
      </c>
    </row>
    <row r="36" spans="1:65" s="634" customFormat="1" ht="14.45" customHeight="1">
      <c r="A36" s="806"/>
      <c r="B36" s="674"/>
      <c r="C36" s="675" t="s">
        <v>1240</v>
      </c>
      <c r="D36" s="675" t="s">
        <v>29</v>
      </c>
      <c r="E36" s="676" t="s">
        <v>1761</v>
      </c>
      <c r="F36" s="677" t="s">
        <v>1762</v>
      </c>
      <c r="G36" s="678" t="s">
        <v>12</v>
      </c>
      <c r="H36" s="679">
        <v>6.15</v>
      </c>
      <c r="I36" s="679"/>
      <c r="J36" s="679">
        <f>ROUND(I36*H36,3)</f>
        <v>0</v>
      </c>
      <c r="K36" s="681"/>
      <c r="L36" s="631"/>
      <c r="M36" s="682" t="s">
        <v>1043</v>
      </c>
      <c r="N36" s="683" t="s">
        <v>1129</v>
      </c>
      <c r="O36" s="684">
        <v>2.0000900000000001</v>
      </c>
      <c r="P36" s="684">
        <f>O36*H36</f>
        <v>12.300553500000001</v>
      </c>
      <c r="Q36" s="684">
        <v>1.837</v>
      </c>
      <c r="R36" s="684">
        <f>Q36*H36</f>
        <v>11.297550000000001</v>
      </c>
      <c r="S36" s="684">
        <v>0</v>
      </c>
      <c r="T36" s="685">
        <f>S36*H36</f>
        <v>0</v>
      </c>
      <c r="U36" s="806"/>
      <c r="V36" s="806"/>
      <c r="W36" s="806"/>
      <c r="X36" s="806"/>
      <c r="Y36" s="806"/>
      <c r="Z36" s="806"/>
      <c r="AA36" s="806"/>
      <c r="AB36" s="806"/>
      <c r="AC36" s="806"/>
      <c r="AD36" s="806"/>
      <c r="AE36" s="806"/>
      <c r="AR36" s="686" t="s">
        <v>1065</v>
      </c>
      <c r="AT36" s="686" t="s">
        <v>29</v>
      </c>
      <c r="AU36" s="686" t="s">
        <v>795</v>
      </c>
      <c r="AY36" s="629" t="s">
        <v>1063</v>
      </c>
      <c r="BE36" s="687">
        <f>IF(N36="základná",J36,0)</f>
        <v>0</v>
      </c>
      <c r="BF36" s="687">
        <f>IF(N36="znížená",J36,0)</f>
        <v>0</v>
      </c>
      <c r="BG36" s="687">
        <f>IF(N36="zákl. prenesená",J36,0)</f>
        <v>0</v>
      </c>
      <c r="BH36" s="687">
        <f>IF(N36="zníž. prenesená",J36,0)</f>
        <v>0</v>
      </c>
      <c r="BI36" s="687">
        <f>IF(N36="nulová",J36,0)</f>
        <v>0</v>
      </c>
      <c r="BJ36" s="629" t="s">
        <v>795</v>
      </c>
      <c r="BK36" s="812">
        <f>ROUND(I36*H36,3)</f>
        <v>0</v>
      </c>
      <c r="BL36" s="629" t="s">
        <v>1065</v>
      </c>
      <c r="BM36" s="686" t="s">
        <v>1763</v>
      </c>
    </row>
    <row r="37" spans="1:65" s="661" customFormat="1" ht="22.9" customHeight="1">
      <c r="B37" s="662"/>
      <c r="D37" s="663" t="s">
        <v>491</v>
      </c>
      <c r="E37" s="672" t="s">
        <v>1193</v>
      </c>
      <c r="F37" s="672" t="s">
        <v>1764</v>
      </c>
      <c r="J37" s="811">
        <f>BK37</f>
        <v>0</v>
      </c>
      <c r="L37" s="662"/>
      <c r="M37" s="666"/>
      <c r="N37" s="667"/>
      <c r="O37" s="667"/>
      <c r="P37" s="668">
        <f>SUM(P38:P48)</f>
        <v>149.89408800000001</v>
      </c>
      <c r="Q37" s="667"/>
      <c r="R37" s="668">
        <f>SUM(R38:R48)</f>
        <v>41.662094400000001</v>
      </c>
      <c r="S37" s="667"/>
      <c r="T37" s="669">
        <f>SUM(T38:T48)</f>
        <v>0</v>
      </c>
      <c r="AR37" s="663" t="s">
        <v>791</v>
      </c>
      <c r="AT37" s="670" t="s">
        <v>491</v>
      </c>
      <c r="AU37" s="670" t="s">
        <v>791</v>
      </c>
      <c r="AY37" s="663" t="s">
        <v>1063</v>
      </c>
      <c r="BK37" s="810">
        <f>SUM(BK38:BK48)</f>
        <v>0</v>
      </c>
    </row>
    <row r="38" spans="1:65" s="634" customFormat="1" ht="37.9" customHeight="1">
      <c r="A38" s="806"/>
      <c r="B38" s="674"/>
      <c r="C38" s="675" t="s">
        <v>1244</v>
      </c>
      <c r="D38" s="675" t="s">
        <v>29</v>
      </c>
      <c r="E38" s="676" t="s">
        <v>1765</v>
      </c>
      <c r="F38" s="677" t="s">
        <v>1766</v>
      </c>
      <c r="G38" s="678" t="s">
        <v>14</v>
      </c>
      <c r="H38" s="679">
        <v>339</v>
      </c>
      <c r="I38" s="679"/>
      <c r="J38" s="679">
        <f t="shared" ref="J38:J48" si="20">ROUND(I38*H38,3)</f>
        <v>0</v>
      </c>
      <c r="K38" s="681"/>
      <c r="L38" s="631"/>
      <c r="M38" s="682" t="s">
        <v>1043</v>
      </c>
      <c r="N38" s="683" t="s">
        <v>1129</v>
      </c>
      <c r="O38" s="684">
        <v>0.13200000000000001</v>
      </c>
      <c r="P38" s="684">
        <f t="shared" ref="P38:P48" si="21">O38*H38</f>
        <v>44.748000000000005</v>
      </c>
      <c r="Q38" s="684">
        <v>9.7930000000000003E-2</v>
      </c>
      <c r="R38" s="684">
        <f t="shared" ref="R38:R48" si="22">Q38*H38</f>
        <v>33.198270000000001</v>
      </c>
      <c r="S38" s="684">
        <v>0</v>
      </c>
      <c r="T38" s="685">
        <f t="shared" ref="T38:T48" si="23">S38*H38</f>
        <v>0</v>
      </c>
      <c r="U38" s="806"/>
      <c r="V38" s="806"/>
      <c r="W38" s="806"/>
      <c r="X38" s="806"/>
      <c r="Y38" s="806"/>
      <c r="Z38" s="806"/>
      <c r="AA38" s="806"/>
      <c r="AB38" s="806"/>
      <c r="AC38" s="806"/>
      <c r="AD38" s="806"/>
      <c r="AE38" s="806"/>
      <c r="AR38" s="686" t="s">
        <v>1065</v>
      </c>
      <c r="AT38" s="686" t="s">
        <v>29</v>
      </c>
      <c r="AU38" s="686" t="s">
        <v>795</v>
      </c>
      <c r="AY38" s="629" t="s">
        <v>1063</v>
      </c>
      <c r="BE38" s="687">
        <f t="shared" ref="BE38:BE48" si="24">IF(N38="základná",J38,0)</f>
        <v>0</v>
      </c>
      <c r="BF38" s="687">
        <f t="shared" ref="BF38:BF48" si="25">IF(N38="znížená",J38,0)</f>
        <v>0</v>
      </c>
      <c r="BG38" s="687">
        <f t="shared" ref="BG38:BG48" si="26">IF(N38="zákl. prenesená",J38,0)</f>
        <v>0</v>
      </c>
      <c r="BH38" s="687">
        <f t="shared" ref="BH38:BH48" si="27">IF(N38="zníž. prenesená",J38,0)</f>
        <v>0</v>
      </c>
      <c r="BI38" s="687">
        <f t="shared" ref="BI38:BI48" si="28">IF(N38="nulová",J38,0)</f>
        <v>0</v>
      </c>
      <c r="BJ38" s="629" t="s">
        <v>795</v>
      </c>
      <c r="BK38" s="812">
        <f t="shared" ref="BK38:BK48" si="29">ROUND(I38*H38,3)</f>
        <v>0</v>
      </c>
      <c r="BL38" s="629" t="s">
        <v>1065</v>
      </c>
      <c r="BM38" s="686" t="s">
        <v>1767</v>
      </c>
    </row>
    <row r="39" spans="1:65" s="634" customFormat="1" ht="24">
      <c r="A39" s="806"/>
      <c r="B39" s="674"/>
      <c r="C39" s="694" t="s">
        <v>1251</v>
      </c>
      <c r="D39" s="694" t="s">
        <v>83</v>
      </c>
      <c r="E39" s="695" t="s">
        <v>1768</v>
      </c>
      <c r="F39" s="696" t="s">
        <v>1769</v>
      </c>
      <c r="G39" s="697" t="s">
        <v>19</v>
      </c>
      <c r="H39" s="698">
        <v>342.39</v>
      </c>
      <c r="I39" s="698"/>
      <c r="J39" s="698">
        <f t="shared" si="20"/>
        <v>0</v>
      </c>
      <c r="K39" s="700"/>
      <c r="L39" s="701"/>
      <c r="M39" s="702" t="s">
        <v>1043</v>
      </c>
      <c r="N39" s="703" t="s">
        <v>1129</v>
      </c>
      <c r="O39" s="684">
        <v>0</v>
      </c>
      <c r="P39" s="684">
        <f t="shared" si="21"/>
        <v>0</v>
      </c>
      <c r="Q39" s="684">
        <v>2.3E-2</v>
      </c>
      <c r="R39" s="684">
        <f t="shared" si="22"/>
        <v>7.8749699999999994</v>
      </c>
      <c r="S39" s="684">
        <v>0</v>
      </c>
      <c r="T39" s="685">
        <f t="shared" si="23"/>
        <v>0</v>
      </c>
      <c r="U39" s="806"/>
      <c r="V39" s="806"/>
      <c r="W39" s="806"/>
      <c r="X39" s="806"/>
      <c r="Y39" s="806"/>
      <c r="Z39" s="806"/>
      <c r="AA39" s="806"/>
      <c r="AB39" s="806"/>
      <c r="AC39" s="806"/>
      <c r="AD39" s="806"/>
      <c r="AE39" s="806"/>
      <c r="AR39" s="686" t="s">
        <v>1071</v>
      </c>
      <c r="AT39" s="686" t="s">
        <v>83</v>
      </c>
      <c r="AU39" s="686" t="s">
        <v>795</v>
      </c>
      <c r="AY39" s="629" t="s">
        <v>1063</v>
      </c>
      <c r="BE39" s="687">
        <f t="shared" si="24"/>
        <v>0</v>
      </c>
      <c r="BF39" s="687">
        <f t="shared" si="25"/>
        <v>0</v>
      </c>
      <c r="BG39" s="687">
        <f t="shared" si="26"/>
        <v>0</v>
      </c>
      <c r="BH39" s="687">
        <f t="shared" si="27"/>
        <v>0</v>
      </c>
      <c r="BI39" s="687">
        <f t="shared" si="28"/>
        <v>0</v>
      </c>
      <c r="BJ39" s="629" t="s">
        <v>795</v>
      </c>
      <c r="BK39" s="812">
        <f t="shared" si="29"/>
        <v>0</v>
      </c>
      <c r="BL39" s="629" t="s">
        <v>1065</v>
      </c>
      <c r="BM39" s="686" t="s">
        <v>1770</v>
      </c>
    </row>
    <row r="40" spans="1:65" s="634" customFormat="1" ht="14.45" customHeight="1">
      <c r="A40" s="806"/>
      <c r="B40" s="674"/>
      <c r="C40" s="675" t="s">
        <v>1256</v>
      </c>
      <c r="D40" s="675" t="s">
        <v>29</v>
      </c>
      <c r="E40" s="676" t="s">
        <v>1771</v>
      </c>
      <c r="F40" s="677" t="s">
        <v>1772</v>
      </c>
      <c r="G40" s="678" t="s">
        <v>14</v>
      </c>
      <c r="H40" s="679">
        <v>490.35</v>
      </c>
      <c r="I40" s="679"/>
      <c r="J40" s="679">
        <f t="shared" si="20"/>
        <v>0</v>
      </c>
      <c r="K40" s="681"/>
      <c r="L40" s="631"/>
      <c r="M40" s="682" t="s">
        <v>1043</v>
      </c>
      <c r="N40" s="683" t="s">
        <v>1129</v>
      </c>
      <c r="O40" s="684">
        <v>0.09</v>
      </c>
      <c r="P40" s="684">
        <f t="shared" si="21"/>
        <v>44.131500000000003</v>
      </c>
      <c r="Q40" s="684">
        <v>0</v>
      </c>
      <c r="R40" s="684">
        <f t="shared" si="22"/>
        <v>0</v>
      </c>
      <c r="S40" s="684">
        <v>0</v>
      </c>
      <c r="T40" s="685">
        <f t="shared" si="23"/>
        <v>0</v>
      </c>
      <c r="U40" s="806"/>
      <c r="V40" s="806"/>
      <c r="W40" s="806"/>
      <c r="X40" s="806"/>
      <c r="Y40" s="806"/>
      <c r="Z40" s="806"/>
      <c r="AA40" s="806"/>
      <c r="AB40" s="806"/>
      <c r="AC40" s="806"/>
      <c r="AD40" s="806"/>
      <c r="AE40" s="806"/>
      <c r="AR40" s="686" t="s">
        <v>1065</v>
      </c>
      <c r="AT40" s="686" t="s">
        <v>29</v>
      </c>
      <c r="AU40" s="686" t="s">
        <v>795</v>
      </c>
      <c r="AY40" s="629" t="s">
        <v>1063</v>
      </c>
      <c r="BE40" s="687">
        <f t="shared" si="24"/>
        <v>0</v>
      </c>
      <c r="BF40" s="687">
        <f t="shared" si="25"/>
        <v>0</v>
      </c>
      <c r="BG40" s="687">
        <f t="shared" si="26"/>
        <v>0</v>
      </c>
      <c r="BH40" s="687">
        <f t="shared" si="27"/>
        <v>0</v>
      </c>
      <c r="BI40" s="687">
        <f t="shared" si="28"/>
        <v>0</v>
      </c>
      <c r="BJ40" s="629" t="s">
        <v>795</v>
      </c>
      <c r="BK40" s="812">
        <f t="shared" si="29"/>
        <v>0</v>
      </c>
      <c r="BL40" s="629" t="s">
        <v>1065</v>
      </c>
      <c r="BM40" s="686" t="s">
        <v>1773</v>
      </c>
    </row>
    <row r="41" spans="1:65" s="634" customFormat="1" ht="24">
      <c r="A41" s="806"/>
      <c r="B41" s="674"/>
      <c r="C41" s="694" t="s">
        <v>1260</v>
      </c>
      <c r="D41" s="694" t="s">
        <v>83</v>
      </c>
      <c r="E41" s="695" t="s">
        <v>1774</v>
      </c>
      <c r="F41" s="696" t="s">
        <v>1775</v>
      </c>
      <c r="G41" s="697" t="s">
        <v>14</v>
      </c>
      <c r="H41" s="698">
        <v>514.86800000000005</v>
      </c>
      <c r="I41" s="698"/>
      <c r="J41" s="698">
        <f t="shared" si="20"/>
        <v>0</v>
      </c>
      <c r="K41" s="700"/>
      <c r="L41" s="701"/>
      <c r="M41" s="702" t="s">
        <v>1043</v>
      </c>
      <c r="N41" s="703" t="s">
        <v>1129</v>
      </c>
      <c r="O41" s="684">
        <v>0</v>
      </c>
      <c r="P41" s="684">
        <f t="shared" si="21"/>
        <v>0</v>
      </c>
      <c r="Q41" s="684">
        <v>2.9999999999999997E-4</v>
      </c>
      <c r="R41" s="684">
        <f t="shared" si="22"/>
        <v>0.1544604</v>
      </c>
      <c r="S41" s="684">
        <v>0</v>
      </c>
      <c r="T41" s="685">
        <f t="shared" si="23"/>
        <v>0</v>
      </c>
      <c r="U41" s="806"/>
      <c r="V41" s="806"/>
      <c r="W41" s="806"/>
      <c r="X41" s="806"/>
      <c r="Y41" s="806"/>
      <c r="Z41" s="806"/>
      <c r="AA41" s="806"/>
      <c r="AB41" s="806"/>
      <c r="AC41" s="806"/>
      <c r="AD41" s="806"/>
      <c r="AE41" s="806"/>
      <c r="AR41" s="686" t="s">
        <v>1071</v>
      </c>
      <c r="AT41" s="686" t="s">
        <v>83</v>
      </c>
      <c r="AU41" s="686" t="s">
        <v>795</v>
      </c>
      <c r="AY41" s="629" t="s">
        <v>1063</v>
      </c>
      <c r="BE41" s="687">
        <f t="shared" si="24"/>
        <v>0</v>
      </c>
      <c r="BF41" s="687">
        <f t="shared" si="25"/>
        <v>0</v>
      </c>
      <c r="BG41" s="687">
        <f t="shared" si="26"/>
        <v>0</v>
      </c>
      <c r="BH41" s="687">
        <f t="shared" si="27"/>
        <v>0</v>
      </c>
      <c r="BI41" s="687">
        <f t="shared" si="28"/>
        <v>0</v>
      </c>
      <c r="BJ41" s="629" t="s">
        <v>795</v>
      </c>
      <c r="BK41" s="812">
        <f t="shared" si="29"/>
        <v>0</v>
      </c>
      <c r="BL41" s="629" t="s">
        <v>1065</v>
      </c>
      <c r="BM41" s="686" t="s">
        <v>1776</v>
      </c>
    </row>
    <row r="42" spans="1:65" s="634" customFormat="1" ht="14.45" customHeight="1">
      <c r="A42" s="806"/>
      <c r="B42" s="674"/>
      <c r="C42" s="675" t="s">
        <v>1192</v>
      </c>
      <c r="D42" s="675" t="s">
        <v>29</v>
      </c>
      <c r="E42" s="676" t="s">
        <v>1777</v>
      </c>
      <c r="F42" s="677" t="s">
        <v>1778</v>
      </c>
      <c r="G42" s="678" t="s">
        <v>14</v>
      </c>
      <c r="H42" s="679">
        <v>179</v>
      </c>
      <c r="I42" s="679"/>
      <c r="J42" s="679">
        <f t="shared" si="20"/>
        <v>0</v>
      </c>
      <c r="K42" s="681"/>
      <c r="L42" s="631"/>
      <c r="M42" s="682" t="s">
        <v>1043</v>
      </c>
      <c r="N42" s="683" t="s">
        <v>1129</v>
      </c>
      <c r="O42" s="684">
        <v>0.105</v>
      </c>
      <c r="P42" s="684">
        <f t="shared" si="21"/>
        <v>18.794999999999998</v>
      </c>
      <c r="Q42" s="684">
        <v>0</v>
      </c>
      <c r="R42" s="684">
        <f t="shared" si="22"/>
        <v>0</v>
      </c>
      <c r="S42" s="684">
        <v>0</v>
      </c>
      <c r="T42" s="685">
        <f t="shared" si="23"/>
        <v>0</v>
      </c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R42" s="686" t="s">
        <v>1065</v>
      </c>
      <c r="AT42" s="686" t="s">
        <v>29</v>
      </c>
      <c r="AU42" s="686" t="s">
        <v>795</v>
      </c>
      <c r="AY42" s="629" t="s">
        <v>1063</v>
      </c>
      <c r="BE42" s="687">
        <f t="shared" si="24"/>
        <v>0</v>
      </c>
      <c r="BF42" s="687">
        <f t="shared" si="25"/>
        <v>0</v>
      </c>
      <c r="BG42" s="687">
        <f t="shared" si="26"/>
        <v>0</v>
      </c>
      <c r="BH42" s="687">
        <f t="shared" si="27"/>
        <v>0</v>
      </c>
      <c r="BI42" s="687">
        <f t="shared" si="28"/>
        <v>0</v>
      </c>
      <c r="BJ42" s="629" t="s">
        <v>795</v>
      </c>
      <c r="BK42" s="812">
        <f t="shared" si="29"/>
        <v>0</v>
      </c>
      <c r="BL42" s="629" t="s">
        <v>1065</v>
      </c>
      <c r="BM42" s="686" t="s">
        <v>1779</v>
      </c>
    </row>
    <row r="43" spans="1:65" s="634" customFormat="1" ht="24">
      <c r="A43" s="806"/>
      <c r="B43" s="674"/>
      <c r="C43" s="694" t="s">
        <v>1267</v>
      </c>
      <c r="D43" s="694" t="s">
        <v>83</v>
      </c>
      <c r="E43" s="695" t="s">
        <v>1780</v>
      </c>
      <c r="F43" s="696" t="s">
        <v>1781</v>
      </c>
      <c r="G43" s="697" t="s">
        <v>14</v>
      </c>
      <c r="H43" s="698">
        <v>187.95</v>
      </c>
      <c r="I43" s="698"/>
      <c r="J43" s="698">
        <f t="shared" si="20"/>
        <v>0</v>
      </c>
      <c r="K43" s="700"/>
      <c r="L43" s="701"/>
      <c r="M43" s="702" t="s">
        <v>1043</v>
      </c>
      <c r="N43" s="703" t="s">
        <v>1129</v>
      </c>
      <c r="O43" s="684">
        <v>0</v>
      </c>
      <c r="P43" s="684">
        <f t="shared" si="21"/>
        <v>0</v>
      </c>
      <c r="Q43" s="684">
        <v>4.0000000000000002E-4</v>
      </c>
      <c r="R43" s="684">
        <f t="shared" si="22"/>
        <v>7.5179999999999997E-2</v>
      </c>
      <c r="S43" s="684">
        <v>0</v>
      </c>
      <c r="T43" s="685">
        <f t="shared" si="23"/>
        <v>0</v>
      </c>
      <c r="U43" s="806"/>
      <c r="V43" s="806"/>
      <c r="W43" s="806"/>
      <c r="X43" s="806"/>
      <c r="Y43" s="806"/>
      <c r="Z43" s="806"/>
      <c r="AA43" s="806"/>
      <c r="AB43" s="806"/>
      <c r="AC43" s="806"/>
      <c r="AD43" s="806"/>
      <c r="AE43" s="806"/>
      <c r="AR43" s="686" t="s">
        <v>1071</v>
      </c>
      <c r="AT43" s="686" t="s">
        <v>83</v>
      </c>
      <c r="AU43" s="686" t="s">
        <v>795</v>
      </c>
      <c r="AY43" s="629" t="s">
        <v>1063</v>
      </c>
      <c r="BE43" s="687">
        <f t="shared" si="24"/>
        <v>0</v>
      </c>
      <c r="BF43" s="687">
        <f t="shared" si="25"/>
        <v>0</v>
      </c>
      <c r="BG43" s="687">
        <f t="shared" si="26"/>
        <v>0</v>
      </c>
      <c r="BH43" s="687">
        <f t="shared" si="27"/>
        <v>0</v>
      </c>
      <c r="BI43" s="687">
        <f t="shared" si="28"/>
        <v>0</v>
      </c>
      <c r="BJ43" s="629" t="s">
        <v>795</v>
      </c>
      <c r="BK43" s="812">
        <f t="shared" si="29"/>
        <v>0</v>
      </c>
      <c r="BL43" s="629" t="s">
        <v>1065</v>
      </c>
      <c r="BM43" s="686" t="s">
        <v>1782</v>
      </c>
    </row>
    <row r="44" spans="1:65" s="634" customFormat="1" ht="24.2" customHeight="1">
      <c r="A44" s="806"/>
      <c r="B44" s="674"/>
      <c r="C44" s="675" t="s">
        <v>1272</v>
      </c>
      <c r="D44" s="675" t="s">
        <v>29</v>
      </c>
      <c r="E44" s="676" t="s">
        <v>1783</v>
      </c>
      <c r="F44" s="677" t="s">
        <v>1784</v>
      </c>
      <c r="G44" s="678" t="s">
        <v>13</v>
      </c>
      <c r="H44" s="679">
        <v>472.65</v>
      </c>
      <c r="I44" s="679"/>
      <c r="J44" s="679">
        <f t="shared" si="20"/>
        <v>0</v>
      </c>
      <c r="K44" s="681"/>
      <c r="L44" s="631"/>
      <c r="M44" s="682" t="s">
        <v>1043</v>
      </c>
      <c r="N44" s="683" t="s">
        <v>1129</v>
      </c>
      <c r="O44" s="684">
        <v>1.0999999999999999E-2</v>
      </c>
      <c r="P44" s="684">
        <f t="shared" si="21"/>
        <v>5.1991499999999995</v>
      </c>
      <c r="Q44" s="684">
        <v>7.6000000000000004E-4</v>
      </c>
      <c r="R44" s="684">
        <f t="shared" si="22"/>
        <v>0.35921399999999998</v>
      </c>
      <c r="S44" s="684">
        <v>0</v>
      </c>
      <c r="T44" s="685">
        <f t="shared" si="23"/>
        <v>0</v>
      </c>
      <c r="U44" s="806"/>
      <c r="V44" s="806"/>
      <c r="W44" s="806"/>
      <c r="X44" s="806"/>
      <c r="Y44" s="806"/>
      <c r="Z44" s="806"/>
      <c r="AA44" s="806"/>
      <c r="AB44" s="806"/>
      <c r="AC44" s="806"/>
      <c r="AD44" s="806"/>
      <c r="AE44" s="806"/>
      <c r="AR44" s="686" t="s">
        <v>1065</v>
      </c>
      <c r="AT44" s="686" t="s">
        <v>29</v>
      </c>
      <c r="AU44" s="686" t="s">
        <v>795</v>
      </c>
      <c r="AY44" s="629" t="s">
        <v>1063</v>
      </c>
      <c r="BE44" s="687">
        <f t="shared" si="24"/>
        <v>0</v>
      </c>
      <c r="BF44" s="687">
        <f t="shared" si="25"/>
        <v>0</v>
      </c>
      <c r="BG44" s="687">
        <f t="shared" si="26"/>
        <v>0</v>
      </c>
      <c r="BH44" s="687">
        <f t="shared" si="27"/>
        <v>0</v>
      </c>
      <c r="BI44" s="687">
        <f t="shared" si="28"/>
        <v>0</v>
      </c>
      <c r="BJ44" s="629" t="s">
        <v>795</v>
      </c>
      <c r="BK44" s="812">
        <f t="shared" si="29"/>
        <v>0</v>
      </c>
      <c r="BL44" s="629" t="s">
        <v>1065</v>
      </c>
      <c r="BM44" s="686" t="s">
        <v>1785</v>
      </c>
    </row>
    <row r="45" spans="1:65" s="634" customFormat="1" ht="24.2" customHeight="1">
      <c r="A45" s="806"/>
      <c r="B45" s="674"/>
      <c r="C45" s="675" t="s">
        <v>1276</v>
      </c>
      <c r="D45" s="675" t="s">
        <v>29</v>
      </c>
      <c r="E45" s="676" t="s">
        <v>1786</v>
      </c>
      <c r="F45" s="677" t="s">
        <v>1787</v>
      </c>
      <c r="G45" s="678" t="s">
        <v>15</v>
      </c>
      <c r="H45" s="679">
        <v>158.20699999999999</v>
      </c>
      <c r="I45" s="679"/>
      <c r="J45" s="679">
        <f t="shared" si="20"/>
        <v>0</v>
      </c>
      <c r="K45" s="681"/>
      <c r="L45" s="631"/>
      <c r="M45" s="682" t="s">
        <v>1043</v>
      </c>
      <c r="N45" s="683" t="s">
        <v>1129</v>
      </c>
      <c r="O45" s="684">
        <v>3.1E-2</v>
      </c>
      <c r="P45" s="684">
        <f t="shared" si="21"/>
        <v>4.9044169999999996</v>
      </c>
      <c r="Q45" s="684">
        <v>0</v>
      </c>
      <c r="R45" s="684">
        <f t="shared" si="22"/>
        <v>0</v>
      </c>
      <c r="S45" s="684">
        <v>0</v>
      </c>
      <c r="T45" s="685">
        <f t="shared" si="23"/>
        <v>0</v>
      </c>
      <c r="U45" s="806"/>
      <c r="V45" s="806"/>
      <c r="W45" s="806"/>
      <c r="X45" s="806"/>
      <c r="Y45" s="806"/>
      <c r="Z45" s="806"/>
      <c r="AA45" s="806"/>
      <c r="AB45" s="806"/>
      <c r="AC45" s="806"/>
      <c r="AD45" s="806"/>
      <c r="AE45" s="806"/>
      <c r="AR45" s="686" t="s">
        <v>1065</v>
      </c>
      <c r="AT45" s="686" t="s">
        <v>29</v>
      </c>
      <c r="AU45" s="686" t="s">
        <v>795</v>
      </c>
      <c r="AY45" s="629" t="s">
        <v>1063</v>
      </c>
      <c r="BE45" s="687">
        <f t="shared" si="24"/>
        <v>0</v>
      </c>
      <c r="BF45" s="687">
        <f t="shared" si="25"/>
        <v>0</v>
      </c>
      <c r="BG45" s="687">
        <f t="shared" si="26"/>
        <v>0</v>
      </c>
      <c r="BH45" s="687">
        <f t="shared" si="27"/>
        <v>0</v>
      </c>
      <c r="BI45" s="687">
        <f t="shared" si="28"/>
        <v>0</v>
      </c>
      <c r="BJ45" s="629" t="s">
        <v>795</v>
      </c>
      <c r="BK45" s="812">
        <f t="shared" si="29"/>
        <v>0</v>
      </c>
      <c r="BL45" s="629" t="s">
        <v>1065</v>
      </c>
      <c r="BM45" s="686" t="s">
        <v>1788</v>
      </c>
    </row>
    <row r="46" spans="1:65" s="634" customFormat="1" ht="24.2" customHeight="1">
      <c r="A46" s="806"/>
      <c r="B46" s="674"/>
      <c r="C46" s="675" t="s">
        <v>1281</v>
      </c>
      <c r="D46" s="675" t="s">
        <v>29</v>
      </c>
      <c r="E46" s="676" t="s">
        <v>1789</v>
      </c>
      <c r="F46" s="677" t="s">
        <v>1790</v>
      </c>
      <c r="G46" s="678" t="s">
        <v>15</v>
      </c>
      <c r="H46" s="679">
        <v>1423.8630000000001</v>
      </c>
      <c r="I46" s="679"/>
      <c r="J46" s="679">
        <f t="shared" si="20"/>
        <v>0</v>
      </c>
      <c r="K46" s="681"/>
      <c r="L46" s="631"/>
      <c r="M46" s="682" t="s">
        <v>1043</v>
      </c>
      <c r="N46" s="683" t="s">
        <v>1129</v>
      </c>
      <c r="O46" s="684">
        <v>6.0000000000000001E-3</v>
      </c>
      <c r="P46" s="684">
        <f t="shared" si="21"/>
        <v>8.543178000000001</v>
      </c>
      <c r="Q46" s="684">
        <v>0</v>
      </c>
      <c r="R46" s="684">
        <f t="shared" si="22"/>
        <v>0</v>
      </c>
      <c r="S46" s="684">
        <v>0</v>
      </c>
      <c r="T46" s="685">
        <f t="shared" si="23"/>
        <v>0</v>
      </c>
      <c r="U46" s="806"/>
      <c r="V46" s="806"/>
      <c r="W46" s="806"/>
      <c r="X46" s="806"/>
      <c r="Y46" s="806"/>
      <c r="Z46" s="806"/>
      <c r="AA46" s="806"/>
      <c r="AB46" s="806"/>
      <c r="AC46" s="806"/>
      <c r="AD46" s="806"/>
      <c r="AE46" s="806"/>
      <c r="AR46" s="686" t="s">
        <v>1065</v>
      </c>
      <c r="AT46" s="686" t="s">
        <v>29</v>
      </c>
      <c r="AU46" s="686" t="s">
        <v>795</v>
      </c>
      <c r="AY46" s="629" t="s">
        <v>1063</v>
      </c>
      <c r="BE46" s="687">
        <f t="shared" si="24"/>
        <v>0</v>
      </c>
      <c r="BF46" s="687">
        <f t="shared" si="25"/>
        <v>0</v>
      </c>
      <c r="BG46" s="687">
        <f t="shared" si="26"/>
        <v>0</v>
      </c>
      <c r="BH46" s="687">
        <f t="shared" si="27"/>
        <v>0</v>
      </c>
      <c r="BI46" s="687">
        <f t="shared" si="28"/>
        <v>0</v>
      </c>
      <c r="BJ46" s="629" t="s">
        <v>795</v>
      </c>
      <c r="BK46" s="812">
        <f t="shared" si="29"/>
        <v>0</v>
      </c>
      <c r="BL46" s="629" t="s">
        <v>1065</v>
      </c>
      <c r="BM46" s="686" t="s">
        <v>1791</v>
      </c>
    </row>
    <row r="47" spans="1:65" s="634" customFormat="1" ht="24.2" customHeight="1">
      <c r="A47" s="806"/>
      <c r="B47" s="674"/>
      <c r="C47" s="675" t="s">
        <v>1285</v>
      </c>
      <c r="D47" s="675" t="s">
        <v>29</v>
      </c>
      <c r="E47" s="676" t="s">
        <v>1792</v>
      </c>
      <c r="F47" s="677" t="s">
        <v>1793</v>
      </c>
      <c r="G47" s="678" t="s">
        <v>15</v>
      </c>
      <c r="H47" s="679">
        <v>158.20699999999999</v>
      </c>
      <c r="I47" s="679"/>
      <c r="J47" s="679">
        <f t="shared" si="20"/>
        <v>0</v>
      </c>
      <c r="K47" s="681"/>
      <c r="L47" s="631"/>
      <c r="M47" s="682" t="s">
        <v>1043</v>
      </c>
      <c r="N47" s="683" t="s">
        <v>1129</v>
      </c>
      <c r="O47" s="684">
        <v>0.14899999999999999</v>
      </c>
      <c r="P47" s="684">
        <f t="shared" si="21"/>
        <v>23.572842999999999</v>
      </c>
      <c r="Q47" s="684">
        <v>0</v>
      </c>
      <c r="R47" s="684">
        <f t="shared" si="22"/>
        <v>0</v>
      </c>
      <c r="S47" s="684">
        <v>0</v>
      </c>
      <c r="T47" s="685">
        <f t="shared" si="23"/>
        <v>0</v>
      </c>
      <c r="U47" s="806"/>
      <c r="V47" s="806"/>
      <c r="W47" s="806"/>
      <c r="X47" s="806"/>
      <c r="Y47" s="806"/>
      <c r="Z47" s="806"/>
      <c r="AA47" s="806"/>
      <c r="AB47" s="806"/>
      <c r="AC47" s="806"/>
      <c r="AD47" s="806"/>
      <c r="AE47" s="806"/>
      <c r="AR47" s="686" t="s">
        <v>1065</v>
      </c>
      <c r="AT47" s="686" t="s">
        <v>29</v>
      </c>
      <c r="AU47" s="686" t="s">
        <v>795</v>
      </c>
      <c r="AY47" s="629" t="s">
        <v>1063</v>
      </c>
      <c r="BE47" s="687">
        <f t="shared" si="24"/>
        <v>0</v>
      </c>
      <c r="BF47" s="687">
        <f t="shared" si="25"/>
        <v>0</v>
      </c>
      <c r="BG47" s="687">
        <f t="shared" si="26"/>
        <v>0</v>
      </c>
      <c r="BH47" s="687">
        <f t="shared" si="27"/>
        <v>0</v>
      </c>
      <c r="BI47" s="687">
        <f t="shared" si="28"/>
        <v>0</v>
      </c>
      <c r="BJ47" s="629" t="s">
        <v>795</v>
      </c>
      <c r="BK47" s="812">
        <f t="shared" si="29"/>
        <v>0</v>
      </c>
      <c r="BL47" s="629" t="s">
        <v>1065</v>
      </c>
      <c r="BM47" s="686" t="s">
        <v>1794</v>
      </c>
    </row>
    <row r="48" spans="1:65" s="634" customFormat="1" ht="14.45" customHeight="1">
      <c r="A48" s="806"/>
      <c r="B48" s="674"/>
      <c r="C48" s="675" t="s">
        <v>1289</v>
      </c>
      <c r="D48" s="675" t="s">
        <v>29</v>
      </c>
      <c r="E48" s="676" t="s">
        <v>1795</v>
      </c>
      <c r="F48" s="677" t="s">
        <v>1734</v>
      </c>
      <c r="G48" s="678" t="s">
        <v>15</v>
      </c>
      <c r="H48" s="679">
        <v>158.20699999999999</v>
      </c>
      <c r="I48" s="679"/>
      <c r="J48" s="679">
        <f t="shared" si="20"/>
        <v>0</v>
      </c>
      <c r="K48" s="681"/>
      <c r="L48" s="631"/>
      <c r="M48" s="682" t="s">
        <v>1043</v>
      </c>
      <c r="N48" s="683" t="s">
        <v>1129</v>
      </c>
      <c r="O48" s="684">
        <v>0</v>
      </c>
      <c r="P48" s="684">
        <f t="shared" si="21"/>
        <v>0</v>
      </c>
      <c r="Q48" s="684">
        <v>0</v>
      </c>
      <c r="R48" s="684">
        <f t="shared" si="22"/>
        <v>0</v>
      </c>
      <c r="S48" s="684">
        <v>0</v>
      </c>
      <c r="T48" s="685">
        <f t="shared" si="23"/>
        <v>0</v>
      </c>
      <c r="U48" s="806"/>
      <c r="V48" s="806"/>
      <c r="W48" s="806"/>
      <c r="X48" s="806"/>
      <c r="Y48" s="806"/>
      <c r="Z48" s="806"/>
      <c r="AA48" s="806"/>
      <c r="AB48" s="806"/>
      <c r="AC48" s="806"/>
      <c r="AD48" s="806"/>
      <c r="AE48" s="806"/>
      <c r="AR48" s="686" t="s">
        <v>1065</v>
      </c>
      <c r="AT48" s="686" t="s">
        <v>29</v>
      </c>
      <c r="AU48" s="686" t="s">
        <v>795</v>
      </c>
      <c r="AY48" s="629" t="s">
        <v>1063</v>
      </c>
      <c r="BE48" s="687">
        <f t="shared" si="24"/>
        <v>0</v>
      </c>
      <c r="BF48" s="687">
        <f t="shared" si="25"/>
        <v>0</v>
      </c>
      <c r="BG48" s="687">
        <f t="shared" si="26"/>
        <v>0</v>
      </c>
      <c r="BH48" s="687">
        <f t="shared" si="27"/>
        <v>0</v>
      </c>
      <c r="BI48" s="687">
        <f t="shared" si="28"/>
        <v>0</v>
      </c>
      <c r="BJ48" s="629" t="s">
        <v>795</v>
      </c>
      <c r="BK48" s="812">
        <f t="shared" si="29"/>
        <v>0</v>
      </c>
      <c r="BL48" s="629" t="s">
        <v>1065</v>
      </c>
      <c r="BM48" s="686" t="s">
        <v>1796</v>
      </c>
    </row>
    <row r="49" spans="1:65" s="661" customFormat="1" ht="22.9" customHeight="1">
      <c r="B49" s="662"/>
      <c r="D49" s="663" t="s">
        <v>491</v>
      </c>
      <c r="E49" s="672" t="s">
        <v>1606</v>
      </c>
      <c r="F49" s="672" t="s">
        <v>1797</v>
      </c>
      <c r="J49" s="811">
        <f>BK49</f>
        <v>0</v>
      </c>
      <c r="L49" s="662"/>
      <c r="M49" s="666"/>
      <c r="N49" s="667"/>
      <c r="O49" s="667"/>
      <c r="P49" s="668">
        <f>P50</f>
        <v>353.57502600000004</v>
      </c>
      <c r="Q49" s="667"/>
      <c r="R49" s="668">
        <f>R50</f>
        <v>0</v>
      </c>
      <c r="S49" s="667"/>
      <c r="T49" s="669">
        <f>T50</f>
        <v>0</v>
      </c>
      <c r="AR49" s="663" t="s">
        <v>791</v>
      </c>
      <c r="AT49" s="670" t="s">
        <v>491</v>
      </c>
      <c r="AU49" s="670" t="s">
        <v>791</v>
      </c>
      <c r="AY49" s="663" t="s">
        <v>1063</v>
      </c>
      <c r="BK49" s="810">
        <f>BK50</f>
        <v>0</v>
      </c>
    </row>
    <row r="50" spans="1:65" s="634" customFormat="1" ht="24.2" customHeight="1">
      <c r="A50" s="806"/>
      <c r="B50" s="674"/>
      <c r="C50" s="675" t="s">
        <v>1293</v>
      </c>
      <c r="D50" s="675" t="s">
        <v>29</v>
      </c>
      <c r="E50" s="676" t="s">
        <v>1798</v>
      </c>
      <c r="F50" s="677" t="s">
        <v>1799</v>
      </c>
      <c r="G50" s="678" t="s">
        <v>15</v>
      </c>
      <c r="H50" s="679">
        <v>899.68200000000002</v>
      </c>
      <c r="I50" s="679"/>
      <c r="J50" s="679">
        <f>ROUND(I50*H50,3)</f>
        <v>0</v>
      </c>
      <c r="K50" s="681"/>
      <c r="L50" s="631"/>
      <c r="M50" s="682" t="s">
        <v>1043</v>
      </c>
      <c r="N50" s="683" t="s">
        <v>1129</v>
      </c>
      <c r="O50" s="684">
        <v>0.39300000000000002</v>
      </c>
      <c r="P50" s="684">
        <f>O50*H50</f>
        <v>353.57502600000004</v>
      </c>
      <c r="Q50" s="684">
        <v>0</v>
      </c>
      <c r="R50" s="684">
        <f>Q50*H50</f>
        <v>0</v>
      </c>
      <c r="S50" s="684">
        <v>0</v>
      </c>
      <c r="T50" s="685">
        <f>S50*H50</f>
        <v>0</v>
      </c>
      <c r="U50" s="806"/>
      <c r="V50" s="806"/>
      <c r="W50" s="806"/>
      <c r="X50" s="806"/>
      <c r="Y50" s="806"/>
      <c r="Z50" s="806"/>
      <c r="AA50" s="806"/>
      <c r="AB50" s="806"/>
      <c r="AC50" s="806"/>
      <c r="AD50" s="806"/>
      <c r="AE50" s="806"/>
      <c r="AR50" s="686" t="s">
        <v>1065</v>
      </c>
      <c r="AT50" s="686" t="s">
        <v>29</v>
      </c>
      <c r="AU50" s="686" t="s">
        <v>795</v>
      </c>
      <c r="AY50" s="629" t="s">
        <v>1063</v>
      </c>
      <c r="BE50" s="687">
        <f>IF(N50="základná",J50,0)</f>
        <v>0</v>
      </c>
      <c r="BF50" s="687">
        <f>IF(N50="znížená",J50,0)</f>
        <v>0</v>
      </c>
      <c r="BG50" s="687">
        <f>IF(N50="zákl. prenesená",J50,0)</f>
        <v>0</v>
      </c>
      <c r="BH50" s="687">
        <f>IF(N50="zníž. prenesená",J50,0)</f>
        <v>0</v>
      </c>
      <c r="BI50" s="687">
        <f>IF(N50="nulová",J50,0)</f>
        <v>0</v>
      </c>
      <c r="BJ50" s="629" t="s">
        <v>795</v>
      </c>
      <c r="BK50" s="812">
        <f>ROUND(I50*H50,3)</f>
        <v>0</v>
      </c>
      <c r="BL50" s="629" t="s">
        <v>1065</v>
      </c>
      <c r="BM50" s="686" t="s">
        <v>1800</v>
      </c>
    </row>
    <row r="51" spans="1:65" s="661" customFormat="1" ht="25.9" customHeight="1">
      <c r="B51" s="662"/>
      <c r="D51" s="663" t="s">
        <v>491</v>
      </c>
      <c r="E51" s="664" t="s">
        <v>24</v>
      </c>
      <c r="F51" s="664" t="s">
        <v>25</v>
      </c>
      <c r="J51" s="809">
        <f>BK51</f>
        <v>0</v>
      </c>
      <c r="L51" s="662"/>
      <c r="M51" s="666"/>
      <c r="N51" s="667"/>
      <c r="O51" s="667"/>
      <c r="P51" s="668">
        <f>P52</f>
        <v>1.10782</v>
      </c>
      <c r="Q51" s="667"/>
      <c r="R51" s="668">
        <f>R52</f>
        <v>1.4144999999999998E-2</v>
      </c>
      <c r="S51" s="667"/>
      <c r="T51" s="669">
        <f>T52</f>
        <v>0</v>
      </c>
      <c r="AR51" s="663" t="s">
        <v>795</v>
      </c>
      <c r="AT51" s="670" t="s">
        <v>491</v>
      </c>
      <c r="AU51" s="670" t="s">
        <v>788</v>
      </c>
      <c r="AY51" s="663" t="s">
        <v>1063</v>
      </c>
      <c r="BK51" s="810">
        <f>BK52</f>
        <v>0</v>
      </c>
    </row>
    <row r="52" spans="1:65" s="661" customFormat="1" ht="22.9" customHeight="1">
      <c r="B52" s="662"/>
      <c r="D52" s="663" t="s">
        <v>491</v>
      </c>
      <c r="E52" s="672" t="s">
        <v>1801</v>
      </c>
      <c r="F52" s="672" t="s">
        <v>1802</v>
      </c>
      <c r="J52" s="811">
        <f>BK52</f>
        <v>0</v>
      </c>
      <c r="L52" s="662"/>
      <c r="M52" s="666"/>
      <c r="N52" s="667"/>
      <c r="O52" s="667"/>
      <c r="P52" s="668">
        <f>SUM(P53:P55)</f>
        <v>1.10782</v>
      </c>
      <c r="Q52" s="667"/>
      <c r="R52" s="668">
        <f>SUM(R53:R55)</f>
        <v>1.4144999999999998E-2</v>
      </c>
      <c r="S52" s="667"/>
      <c r="T52" s="669">
        <f>SUM(T53:T55)</f>
        <v>0</v>
      </c>
      <c r="AR52" s="663" t="s">
        <v>795</v>
      </c>
      <c r="AT52" s="670" t="s">
        <v>491</v>
      </c>
      <c r="AU52" s="670" t="s">
        <v>791</v>
      </c>
      <c r="AY52" s="663" t="s">
        <v>1063</v>
      </c>
      <c r="BK52" s="810">
        <f>SUM(BK53:BK55)</f>
        <v>0</v>
      </c>
    </row>
    <row r="53" spans="1:65" s="634" customFormat="1" ht="24.2" customHeight="1">
      <c r="A53" s="806"/>
      <c r="B53" s="674"/>
      <c r="C53" s="675" t="s">
        <v>1297</v>
      </c>
      <c r="D53" s="675" t="s">
        <v>29</v>
      </c>
      <c r="E53" s="676" t="s">
        <v>1803</v>
      </c>
      <c r="F53" s="677" t="s">
        <v>1804</v>
      </c>
      <c r="G53" s="678" t="s">
        <v>13</v>
      </c>
      <c r="H53" s="679">
        <v>41</v>
      </c>
      <c r="I53" s="679"/>
      <c r="J53" s="679">
        <f>ROUND(I53*H53,3)</f>
        <v>0</v>
      </c>
      <c r="K53" s="681"/>
      <c r="L53" s="631"/>
      <c r="M53" s="682" t="s">
        <v>1043</v>
      </c>
      <c r="N53" s="683" t="s">
        <v>1129</v>
      </c>
      <c r="O53" s="684">
        <v>2.7019999999999999E-2</v>
      </c>
      <c r="P53" s="684">
        <f>O53*H53</f>
        <v>1.10782</v>
      </c>
      <c r="Q53" s="684">
        <v>0</v>
      </c>
      <c r="R53" s="684">
        <f>Q53*H53</f>
        <v>0</v>
      </c>
      <c r="S53" s="684">
        <v>0</v>
      </c>
      <c r="T53" s="685">
        <f>S53*H53</f>
        <v>0</v>
      </c>
      <c r="U53" s="806"/>
      <c r="V53" s="806"/>
      <c r="W53" s="806"/>
      <c r="X53" s="806"/>
      <c r="Y53" s="806"/>
      <c r="Z53" s="806"/>
      <c r="AA53" s="806"/>
      <c r="AB53" s="806"/>
      <c r="AC53" s="806"/>
      <c r="AD53" s="806"/>
      <c r="AE53" s="806"/>
      <c r="AR53" s="686" t="s">
        <v>1185</v>
      </c>
      <c r="AT53" s="686" t="s">
        <v>29</v>
      </c>
      <c r="AU53" s="686" t="s">
        <v>795</v>
      </c>
      <c r="AY53" s="629" t="s">
        <v>1063</v>
      </c>
      <c r="BE53" s="687">
        <f>IF(N53="základná",J53,0)</f>
        <v>0</v>
      </c>
      <c r="BF53" s="687">
        <f>IF(N53="znížená",J53,0)</f>
        <v>0</v>
      </c>
      <c r="BG53" s="687">
        <f>IF(N53="zákl. prenesená",J53,0)</f>
        <v>0</v>
      </c>
      <c r="BH53" s="687">
        <f>IF(N53="zníž. prenesená",J53,0)</f>
        <v>0</v>
      </c>
      <c r="BI53" s="687">
        <f>IF(N53="nulová",J53,0)</f>
        <v>0</v>
      </c>
      <c r="BJ53" s="629" t="s">
        <v>795</v>
      </c>
      <c r="BK53" s="812">
        <f>ROUND(I53*H53,3)</f>
        <v>0</v>
      </c>
      <c r="BL53" s="629" t="s">
        <v>1185</v>
      </c>
      <c r="BM53" s="686" t="s">
        <v>1805</v>
      </c>
    </row>
    <row r="54" spans="1:65" s="634" customFormat="1" ht="24">
      <c r="A54" s="806"/>
      <c r="B54" s="674"/>
      <c r="C54" s="694" t="s">
        <v>1190</v>
      </c>
      <c r="D54" s="694" t="s">
        <v>83</v>
      </c>
      <c r="E54" s="695" t="s">
        <v>1806</v>
      </c>
      <c r="F54" s="696" t="s">
        <v>1807</v>
      </c>
      <c r="G54" s="697" t="s">
        <v>13</v>
      </c>
      <c r="H54" s="698">
        <v>47.15</v>
      </c>
      <c r="I54" s="698"/>
      <c r="J54" s="698">
        <f>ROUND(I54*H54,3)</f>
        <v>0</v>
      </c>
      <c r="K54" s="700"/>
      <c r="L54" s="701"/>
      <c r="M54" s="702" t="s">
        <v>1043</v>
      </c>
      <c r="N54" s="703" t="s">
        <v>1129</v>
      </c>
      <c r="O54" s="684">
        <v>0</v>
      </c>
      <c r="P54" s="684">
        <f>O54*H54</f>
        <v>0</v>
      </c>
      <c r="Q54" s="684">
        <v>2.9999999999999997E-4</v>
      </c>
      <c r="R54" s="684">
        <f>Q54*H54</f>
        <v>1.4144999999999998E-2</v>
      </c>
      <c r="S54" s="684">
        <v>0</v>
      </c>
      <c r="T54" s="685">
        <f>S54*H54</f>
        <v>0</v>
      </c>
      <c r="U54" s="806"/>
      <c r="V54" s="806"/>
      <c r="W54" s="806"/>
      <c r="X54" s="806"/>
      <c r="Y54" s="806"/>
      <c r="Z54" s="806"/>
      <c r="AA54" s="806"/>
      <c r="AB54" s="806"/>
      <c r="AC54" s="806"/>
      <c r="AD54" s="806"/>
      <c r="AE54" s="806"/>
      <c r="AR54" s="686" t="s">
        <v>1190</v>
      </c>
      <c r="AT54" s="686" t="s">
        <v>83</v>
      </c>
      <c r="AU54" s="686" t="s">
        <v>795</v>
      </c>
      <c r="AY54" s="629" t="s">
        <v>1063</v>
      </c>
      <c r="BE54" s="687">
        <f>IF(N54="základná",J54,0)</f>
        <v>0</v>
      </c>
      <c r="BF54" s="687">
        <f>IF(N54="znížená",J54,0)</f>
        <v>0</v>
      </c>
      <c r="BG54" s="687">
        <f>IF(N54="zákl. prenesená",J54,0)</f>
        <v>0</v>
      </c>
      <c r="BH54" s="687">
        <f>IF(N54="zníž. prenesená",J54,0)</f>
        <v>0</v>
      </c>
      <c r="BI54" s="687">
        <f>IF(N54="nulová",J54,0)</f>
        <v>0</v>
      </c>
      <c r="BJ54" s="629" t="s">
        <v>795</v>
      </c>
      <c r="BK54" s="812">
        <f>ROUND(I54*H54,3)</f>
        <v>0</v>
      </c>
      <c r="BL54" s="629" t="s">
        <v>1185</v>
      </c>
      <c r="BM54" s="686" t="s">
        <v>1808</v>
      </c>
    </row>
    <row r="55" spans="1:65" s="634" customFormat="1" ht="24.2" customHeight="1">
      <c r="A55" s="806"/>
      <c r="B55" s="674"/>
      <c r="C55" s="675" t="s">
        <v>1305</v>
      </c>
      <c r="D55" s="675" t="s">
        <v>29</v>
      </c>
      <c r="E55" s="676" t="s">
        <v>1809</v>
      </c>
      <c r="F55" s="677" t="s">
        <v>1810</v>
      </c>
      <c r="G55" s="678" t="s">
        <v>475</v>
      </c>
      <c r="H55" s="679">
        <v>0.71799999999999997</v>
      </c>
      <c r="I55" s="679"/>
      <c r="J55" s="679">
        <f>ROUND(I55*H55,3)</f>
        <v>0</v>
      </c>
      <c r="K55" s="681"/>
      <c r="L55" s="631"/>
      <c r="M55" s="813" t="s">
        <v>1043</v>
      </c>
      <c r="N55" s="814" t="s">
        <v>1129</v>
      </c>
      <c r="O55" s="815">
        <v>0</v>
      </c>
      <c r="P55" s="815">
        <f>O55*H55</f>
        <v>0</v>
      </c>
      <c r="Q55" s="815">
        <v>0</v>
      </c>
      <c r="R55" s="815">
        <f>Q55*H55</f>
        <v>0</v>
      </c>
      <c r="S55" s="815">
        <v>0</v>
      </c>
      <c r="T55" s="816">
        <f>S55*H55</f>
        <v>0</v>
      </c>
      <c r="U55" s="806"/>
      <c r="V55" s="806"/>
      <c r="W55" s="806"/>
      <c r="X55" s="806"/>
      <c r="Y55" s="806"/>
      <c r="Z55" s="806"/>
      <c r="AA55" s="806"/>
      <c r="AB55" s="806"/>
      <c r="AC55" s="806"/>
      <c r="AD55" s="806"/>
      <c r="AE55" s="806"/>
      <c r="AR55" s="686" t="s">
        <v>1185</v>
      </c>
      <c r="AT55" s="686" t="s">
        <v>29</v>
      </c>
      <c r="AU55" s="686" t="s">
        <v>795</v>
      </c>
      <c r="AY55" s="629" t="s">
        <v>1063</v>
      </c>
      <c r="BE55" s="687">
        <f>IF(N55="základná",J55,0)</f>
        <v>0</v>
      </c>
      <c r="BF55" s="687">
        <f>IF(N55="znížená",J55,0)</f>
        <v>0</v>
      </c>
      <c r="BG55" s="687">
        <f>IF(N55="zákl. prenesená",J55,0)</f>
        <v>0</v>
      </c>
      <c r="BH55" s="687">
        <f>IF(N55="zníž. prenesená",J55,0)</f>
        <v>0</v>
      </c>
      <c r="BI55" s="687">
        <f>IF(N55="nulová",J55,0)</f>
        <v>0</v>
      </c>
      <c r="BJ55" s="629" t="s">
        <v>795</v>
      </c>
      <c r="BK55" s="812">
        <f>ROUND(I55*H55,3)</f>
        <v>0</v>
      </c>
      <c r="BL55" s="629" t="s">
        <v>1185</v>
      </c>
      <c r="BM55" s="686" t="s">
        <v>1811</v>
      </c>
    </row>
    <row r="56" spans="1:65" s="634" customFormat="1" ht="6.95" customHeight="1">
      <c r="A56" s="806"/>
      <c r="B56" s="638"/>
      <c r="C56" s="639"/>
      <c r="D56" s="639"/>
      <c r="E56" s="639"/>
      <c r="F56" s="639"/>
      <c r="G56" s="639"/>
      <c r="H56" s="639"/>
      <c r="I56" s="639"/>
      <c r="J56" s="639"/>
      <c r="K56" s="639"/>
      <c r="L56" s="631"/>
      <c r="M56" s="806"/>
      <c r="O56" s="806"/>
      <c r="P56" s="806"/>
      <c r="Q56" s="806"/>
      <c r="R56" s="806"/>
      <c r="S56" s="806"/>
      <c r="T56" s="806"/>
      <c r="U56" s="806"/>
      <c r="V56" s="806"/>
      <c r="W56" s="806"/>
      <c r="X56" s="806"/>
      <c r="Y56" s="806"/>
      <c r="Z56" s="806"/>
      <c r="AA56" s="806"/>
      <c r="AB56" s="806"/>
      <c r="AC56" s="806"/>
      <c r="AD56" s="806"/>
      <c r="AE56" s="806"/>
    </row>
  </sheetData>
  <mergeCells count="3">
    <mergeCell ref="E5:H5"/>
    <mergeCell ref="E6:H6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82" fitToHeight="0" orientation="portrait" horizontalDpi="4294967295" verticalDpi="4294967295" r:id="rId1"/>
  <headerFooter>
    <oddFooter>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58"/>
  <sheetViews>
    <sheetView topLeftCell="A41" workbookViewId="0">
      <selection activeCell="D62" sqref="D62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2.140625" style="859" customWidth="1"/>
    <col min="9" max="9" width="11.7109375" style="859" customWidth="1"/>
    <col min="10" max="10" width="13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122" t="s">
        <v>1814</v>
      </c>
      <c r="B1" s="1122"/>
      <c r="C1" s="1122"/>
      <c r="D1" s="1122"/>
      <c r="E1" s="1122"/>
      <c r="F1" s="1122"/>
      <c r="G1" s="1122"/>
      <c r="H1" s="1122"/>
      <c r="I1" s="1122"/>
      <c r="J1" s="1122"/>
      <c r="K1" s="1122"/>
    </row>
    <row r="2" spans="1:11" s="374" customFormat="1" ht="19.5" customHeight="1">
      <c r="A2" s="819" t="s">
        <v>1815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4.25" customHeight="1">
      <c r="A3" s="819" t="s">
        <v>1816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1" t="s">
        <v>1817</v>
      </c>
      <c r="B5" s="822"/>
      <c r="C5" s="823"/>
      <c r="D5" s="823"/>
      <c r="E5" s="823"/>
      <c r="F5" s="824"/>
      <c r="G5" s="825"/>
      <c r="H5" s="825"/>
      <c r="I5" s="1123"/>
      <c r="J5" s="1124"/>
      <c r="K5" s="1125"/>
    </row>
    <row r="6" spans="1:11" s="374" customFormat="1" ht="12.75" customHeight="1">
      <c r="A6" s="1126" t="s">
        <v>1818</v>
      </c>
      <c r="B6" s="1127"/>
      <c r="C6" s="1127"/>
      <c r="D6" s="1127"/>
      <c r="E6" s="823"/>
      <c r="F6" s="824"/>
      <c r="G6" s="825"/>
      <c r="H6" s="825"/>
      <c r="I6" s="1128" t="s">
        <v>1819</v>
      </c>
      <c r="J6" s="1129"/>
      <c r="K6" s="824"/>
    </row>
    <row r="7" spans="1:11" s="374" customFormat="1" ht="12.75" customHeight="1">
      <c r="A7" s="1126" t="s">
        <v>1820</v>
      </c>
      <c r="B7" s="1127"/>
      <c r="C7" s="1127"/>
      <c r="D7" s="823"/>
      <c r="E7" s="823"/>
      <c r="F7" s="824"/>
      <c r="G7" s="825"/>
      <c r="H7" s="825"/>
      <c r="I7" s="821" t="s">
        <v>2638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1821</v>
      </c>
      <c r="B9" s="828" t="s">
        <v>4</v>
      </c>
      <c r="C9" s="828" t="s">
        <v>5</v>
      </c>
      <c r="D9" s="828" t="s">
        <v>777</v>
      </c>
      <c r="E9" s="828" t="s">
        <v>7</v>
      </c>
      <c r="F9" s="828" t="s">
        <v>778</v>
      </c>
      <c r="G9" s="828" t="s">
        <v>9</v>
      </c>
      <c r="H9" s="828" t="s">
        <v>1822</v>
      </c>
      <c r="I9" s="828" t="s">
        <v>476</v>
      </c>
      <c r="J9" s="828" t="s">
        <v>10</v>
      </c>
      <c r="K9" s="828" t="s">
        <v>780</v>
      </c>
    </row>
    <row r="10" spans="1:11" s="374" customFormat="1" ht="12.75" hidden="1" customHeight="1">
      <c r="A10" s="828" t="s">
        <v>791</v>
      </c>
      <c r="B10" s="828" t="s">
        <v>795</v>
      </c>
      <c r="C10" s="828" t="s">
        <v>987</v>
      </c>
      <c r="D10" s="828" t="s">
        <v>1065</v>
      </c>
      <c r="E10" s="828" t="s">
        <v>1074</v>
      </c>
      <c r="F10" s="828" t="s">
        <v>1176</v>
      </c>
      <c r="G10" s="828" t="s">
        <v>1182</v>
      </c>
      <c r="H10" s="828" t="s">
        <v>1071</v>
      </c>
      <c r="I10" s="828" t="s">
        <v>1193</v>
      </c>
      <c r="J10" s="828" t="s">
        <v>1175</v>
      </c>
      <c r="K10" s="828" t="s">
        <v>1200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1823</v>
      </c>
      <c r="E12" s="832"/>
      <c r="F12" s="833"/>
      <c r="G12" s="834"/>
      <c r="H12" s="834">
        <f>SUM(H13,H26,H31,H55)</f>
        <v>0</v>
      </c>
      <c r="I12" s="834">
        <f t="shared" ref="I12:J12" si="0">SUM(I13,I26,I31,I55)</f>
        <v>0</v>
      </c>
      <c r="J12" s="834">
        <f t="shared" si="0"/>
        <v>0</v>
      </c>
      <c r="K12" s="833">
        <v>148.44971795999999</v>
      </c>
    </row>
    <row r="13" spans="1:11" s="374" customFormat="1" ht="28.5" customHeight="1">
      <c r="A13" s="835"/>
      <c r="B13" s="836"/>
      <c r="C13" s="837" t="s">
        <v>791</v>
      </c>
      <c r="D13" s="837" t="s">
        <v>1824</v>
      </c>
      <c r="E13" s="837"/>
      <c r="F13" s="838"/>
      <c r="G13" s="839"/>
      <c r="H13" s="839">
        <f>SUM(H14:H25)</f>
        <v>0</v>
      </c>
      <c r="I13" s="839">
        <f t="shared" ref="I13:J13" si="1">SUM(I14:I25)</f>
        <v>0</v>
      </c>
      <c r="J13" s="839">
        <f t="shared" si="1"/>
        <v>0</v>
      </c>
      <c r="K13" s="838">
        <v>76.337999999999994</v>
      </c>
    </row>
    <row r="14" spans="1:11" s="374" customFormat="1" ht="24" customHeight="1">
      <c r="A14" s="840">
        <v>1</v>
      </c>
      <c r="B14" s="841" t="s">
        <v>1825</v>
      </c>
      <c r="C14" s="842" t="s">
        <v>1826</v>
      </c>
      <c r="D14" s="842" t="s">
        <v>1827</v>
      </c>
      <c r="E14" s="842" t="s">
        <v>12</v>
      </c>
      <c r="F14" s="843">
        <v>3.8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1825</v>
      </c>
      <c r="C15" s="842" t="s">
        <v>1828</v>
      </c>
      <c r="D15" s="842" t="s">
        <v>1829</v>
      </c>
      <c r="E15" s="842" t="s">
        <v>12</v>
      </c>
      <c r="F15" s="843">
        <v>45.412999999999997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1825</v>
      </c>
      <c r="C16" s="842" t="s">
        <v>1830</v>
      </c>
      <c r="D16" s="842" t="s">
        <v>1831</v>
      </c>
      <c r="E16" s="842" t="s">
        <v>12</v>
      </c>
      <c r="F16" s="843">
        <v>257.33800000000002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1825</v>
      </c>
      <c r="C17" s="842" t="s">
        <v>1832</v>
      </c>
      <c r="D17" s="842" t="s">
        <v>1833</v>
      </c>
      <c r="E17" s="842" t="s">
        <v>12</v>
      </c>
      <c r="F17" s="843">
        <v>77.200999999999993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1825</v>
      </c>
      <c r="C18" s="842" t="s">
        <v>1834</v>
      </c>
      <c r="D18" s="842" t="s">
        <v>1835</v>
      </c>
      <c r="E18" s="842" t="s">
        <v>14</v>
      </c>
      <c r="F18" s="843">
        <v>12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1825</v>
      </c>
      <c r="C19" s="842" t="s">
        <v>2629</v>
      </c>
      <c r="D19" s="842" t="s">
        <v>2630</v>
      </c>
      <c r="E19" s="842" t="s">
        <v>12</v>
      </c>
      <c r="F19" s="843">
        <v>165.04</v>
      </c>
      <c r="G19" s="844"/>
      <c r="H19" s="844"/>
      <c r="I19" s="844"/>
      <c r="J19" s="844"/>
      <c r="K19" s="843">
        <v>0</v>
      </c>
    </row>
    <row r="20" spans="1:11" s="374" customFormat="1" ht="34.5" customHeight="1">
      <c r="A20" s="840">
        <v>7</v>
      </c>
      <c r="B20" s="841" t="s">
        <v>1825</v>
      </c>
      <c r="C20" s="842" t="s">
        <v>1730</v>
      </c>
      <c r="D20" s="842" t="s">
        <v>2631</v>
      </c>
      <c r="E20" s="842" t="s">
        <v>12</v>
      </c>
      <c r="F20" s="843">
        <v>1980.48</v>
      </c>
      <c r="G20" s="844"/>
      <c r="H20" s="844"/>
      <c r="I20" s="844"/>
      <c r="J20" s="844"/>
      <c r="K20" s="843">
        <v>0</v>
      </c>
    </row>
    <row r="21" spans="1:11" s="374" customFormat="1" ht="13.5" customHeight="1">
      <c r="A21" s="840">
        <v>8</v>
      </c>
      <c r="B21" s="841" t="s">
        <v>1825</v>
      </c>
      <c r="C21" s="842" t="s">
        <v>1836</v>
      </c>
      <c r="D21" s="842" t="s">
        <v>1837</v>
      </c>
      <c r="E21" s="842" t="s">
        <v>12</v>
      </c>
      <c r="F21" s="843">
        <v>165.04</v>
      </c>
      <c r="G21" s="844"/>
      <c r="H21" s="844"/>
      <c r="I21" s="844"/>
      <c r="J21" s="844"/>
      <c r="K21" s="843">
        <v>0</v>
      </c>
    </row>
    <row r="22" spans="1:11" s="374" customFormat="1" ht="13.5" customHeight="1">
      <c r="A22" s="840">
        <v>9</v>
      </c>
      <c r="B22" s="841" t="s">
        <v>1825</v>
      </c>
      <c r="C22" s="842" t="s">
        <v>1733</v>
      </c>
      <c r="D22" s="842" t="s">
        <v>2632</v>
      </c>
      <c r="E22" s="842" t="s">
        <v>15</v>
      </c>
      <c r="F22" s="843">
        <v>297.072</v>
      </c>
      <c r="G22" s="844"/>
      <c r="H22" s="844"/>
      <c r="I22" s="844"/>
      <c r="J22" s="844"/>
      <c r="K22" s="843">
        <v>0</v>
      </c>
    </row>
    <row r="23" spans="1:11" s="374" customFormat="1" ht="24" customHeight="1">
      <c r="A23" s="840">
        <v>10</v>
      </c>
      <c r="B23" s="841" t="s">
        <v>1825</v>
      </c>
      <c r="C23" s="842" t="s">
        <v>1838</v>
      </c>
      <c r="D23" s="842" t="s">
        <v>1839</v>
      </c>
      <c r="E23" s="842" t="s">
        <v>12</v>
      </c>
      <c r="F23" s="843">
        <v>137.71</v>
      </c>
      <c r="G23" s="844"/>
      <c r="H23" s="844"/>
      <c r="I23" s="844"/>
      <c r="J23" s="844"/>
      <c r="K23" s="843">
        <v>0</v>
      </c>
    </row>
    <row r="24" spans="1:11" s="374" customFormat="1" ht="24" customHeight="1">
      <c r="A24" s="840">
        <v>11</v>
      </c>
      <c r="B24" s="841" t="s">
        <v>1825</v>
      </c>
      <c r="C24" s="842" t="s">
        <v>1140</v>
      </c>
      <c r="D24" s="842" t="s">
        <v>1840</v>
      </c>
      <c r="E24" s="842" t="s">
        <v>12</v>
      </c>
      <c r="F24" s="843">
        <v>42.41</v>
      </c>
      <c r="G24" s="844"/>
      <c r="H24" s="844"/>
      <c r="I24" s="844"/>
      <c r="J24" s="844"/>
      <c r="K24" s="843">
        <v>0</v>
      </c>
    </row>
    <row r="25" spans="1:11" s="374" customFormat="1" ht="13.5" customHeight="1">
      <c r="A25" s="845">
        <v>12</v>
      </c>
      <c r="B25" s="846" t="s">
        <v>1841</v>
      </c>
      <c r="C25" s="847" t="s">
        <v>1842</v>
      </c>
      <c r="D25" s="847" t="s">
        <v>1843</v>
      </c>
      <c r="E25" s="847" t="s">
        <v>15</v>
      </c>
      <c r="F25" s="848">
        <v>76.337999999999994</v>
      </c>
      <c r="G25" s="849"/>
      <c r="H25" s="849"/>
      <c r="I25" s="849"/>
      <c r="J25" s="849"/>
      <c r="K25" s="848">
        <v>76.337999999999994</v>
      </c>
    </row>
    <row r="26" spans="1:11" s="374" customFormat="1" ht="28.5" customHeight="1">
      <c r="A26" s="835"/>
      <c r="B26" s="836"/>
      <c r="C26" s="837" t="s">
        <v>1065</v>
      </c>
      <c r="D26" s="837" t="s">
        <v>1844</v>
      </c>
      <c r="E26" s="837"/>
      <c r="F26" s="838"/>
      <c r="G26" s="839"/>
      <c r="H26" s="839">
        <f>SUM(H27:H30)</f>
        <v>0</v>
      </c>
      <c r="I26" s="839">
        <f t="shared" ref="I26:J26" si="2">SUM(I27:I30)</f>
        <v>0</v>
      </c>
      <c r="J26" s="839">
        <f t="shared" si="2"/>
        <v>0</v>
      </c>
      <c r="K26" s="838">
        <v>52.992617959999997</v>
      </c>
    </row>
    <row r="27" spans="1:11" s="374" customFormat="1" ht="24" customHeight="1">
      <c r="A27" s="840">
        <v>13</v>
      </c>
      <c r="B27" s="841" t="s">
        <v>1845</v>
      </c>
      <c r="C27" s="842" t="s">
        <v>1846</v>
      </c>
      <c r="D27" s="842" t="s">
        <v>1847</v>
      </c>
      <c r="E27" s="842" t="s">
        <v>12</v>
      </c>
      <c r="F27" s="843">
        <v>21.745999999999999</v>
      </c>
      <c r="G27" s="844"/>
      <c r="H27" s="844"/>
      <c r="I27" s="844"/>
      <c r="J27" s="844"/>
      <c r="K27" s="843">
        <v>41.11690188</v>
      </c>
    </row>
    <row r="28" spans="1:11" s="374" customFormat="1" ht="24" customHeight="1">
      <c r="A28" s="840">
        <v>14</v>
      </c>
      <c r="B28" s="841" t="s">
        <v>1845</v>
      </c>
      <c r="C28" s="842" t="s">
        <v>1848</v>
      </c>
      <c r="D28" s="842" t="s">
        <v>1849</v>
      </c>
      <c r="E28" s="842" t="s">
        <v>12</v>
      </c>
      <c r="F28" s="843">
        <v>4.8049999999999997</v>
      </c>
      <c r="G28" s="844"/>
      <c r="H28" s="844"/>
      <c r="I28" s="844"/>
      <c r="J28" s="844"/>
      <c r="K28" s="843">
        <v>11.562992250000001</v>
      </c>
    </row>
    <row r="29" spans="1:11" s="374" customFormat="1" ht="24" customHeight="1">
      <c r="A29" s="840">
        <v>15</v>
      </c>
      <c r="B29" s="841" t="s">
        <v>1845</v>
      </c>
      <c r="C29" s="842" t="s">
        <v>1850</v>
      </c>
      <c r="D29" s="842" t="s">
        <v>1851</v>
      </c>
      <c r="E29" s="842" t="s">
        <v>13</v>
      </c>
      <c r="F29" s="843">
        <v>5.19</v>
      </c>
      <c r="G29" s="844"/>
      <c r="H29" s="844"/>
      <c r="I29" s="844"/>
      <c r="J29" s="844"/>
      <c r="K29" s="843">
        <v>2.2576499999999999E-2</v>
      </c>
    </row>
    <row r="30" spans="1:11" s="374" customFormat="1" ht="24" customHeight="1">
      <c r="A30" s="840">
        <v>16</v>
      </c>
      <c r="B30" s="841" t="s">
        <v>1845</v>
      </c>
      <c r="C30" s="842" t="s">
        <v>1852</v>
      </c>
      <c r="D30" s="842" t="s">
        <v>1853</v>
      </c>
      <c r="E30" s="842" t="s">
        <v>15</v>
      </c>
      <c r="F30" s="843">
        <v>0.28899999999999998</v>
      </c>
      <c r="G30" s="844"/>
      <c r="H30" s="844"/>
      <c r="I30" s="844"/>
      <c r="J30" s="844"/>
      <c r="K30" s="843">
        <v>0.29014732999999998</v>
      </c>
    </row>
    <row r="31" spans="1:11" s="374" customFormat="1" ht="28.5" customHeight="1">
      <c r="A31" s="835"/>
      <c r="B31" s="836"/>
      <c r="C31" s="837" t="s">
        <v>1071</v>
      </c>
      <c r="D31" s="837" t="s">
        <v>1854</v>
      </c>
      <c r="E31" s="837"/>
      <c r="F31" s="838"/>
      <c r="G31" s="839"/>
      <c r="H31" s="839">
        <f>SUM(H32:H54)</f>
        <v>0</v>
      </c>
      <c r="I31" s="839">
        <f t="shared" ref="I31:J31" si="3">SUM(I32:I54)</f>
        <v>0</v>
      </c>
      <c r="J31" s="839">
        <f t="shared" si="3"/>
        <v>0</v>
      </c>
      <c r="K31" s="838">
        <v>19.1191</v>
      </c>
    </row>
    <row r="32" spans="1:11" s="374" customFormat="1" ht="24" customHeight="1">
      <c r="A32" s="840">
        <v>17</v>
      </c>
      <c r="B32" s="841" t="s">
        <v>1845</v>
      </c>
      <c r="C32" s="842" t="s">
        <v>1855</v>
      </c>
      <c r="D32" s="842" t="s">
        <v>1856</v>
      </c>
      <c r="E32" s="842" t="s">
        <v>19</v>
      </c>
      <c r="F32" s="843">
        <v>1</v>
      </c>
      <c r="G32" s="844"/>
      <c r="H32" s="844"/>
      <c r="I32" s="844"/>
      <c r="J32" s="844"/>
      <c r="K32" s="843">
        <v>0.21890000000000001</v>
      </c>
    </row>
    <row r="33" spans="1:11" s="374" customFormat="1" ht="24" customHeight="1">
      <c r="A33" s="840">
        <v>18</v>
      </c>
      <c r="B33" s="841" t="s">
        <v>1845</v>
      </c>
      <c r="C33" s="842" t="s">
        <v>1857</v>
      </c>
      <c r="D33" s="842" t="s">
        <v>1858</v>
      </c>
      <c r="E33" s="842" t="s">
        <v>14</v>
      </c>
      <c r="F33" s="843">
        <v>261</v>
      </c>
      <c r="G33" s="844"/>
      <c r="H33" s="844"/>
      <c r="I33" s="844"/>
      <c r="J33" s="844"/>
      <c r="K33" s="843">
        <v>0</v>
      </c>
    </row>
    <row r="34" spans="1:11" s="374" customFormat="1" ht="13.5" customHeight="1">
      <c r="A34" s="845">
        <v>19</v>
      </c>
      <c r="B34" s="846" t="s">
        <v>1859</v>
      </c>
      <c r="C34" s="847" t="s">
        <v>1860</v>
      </c>
      <c r="D34" s="847" t="s">
        <v>1861</v>
      </c>
      <c r="E34" s="847" t="s">
        <v>14</v>
      </c>
      <c r="F34" s="848">
        <v>253</v>
      </c>
      <c r="G34" s="849"/>
      <c r="H34" s="849"/>
      <c r="I34" s="849"/>
      <c r="J34" s="849"/>
      <c r="K34" s="848">
        <v>4.8070000000000002E-2</v>
      </c>
    </row>
    <row r="35" spans="1:11" s="374" customFormat="1" ht="13.5" customHeight="1">
      <c r="A35" s="845">
        <v>20</v>
      </c>
      <c r="B35" s="846" t="s">
        <v>1859</v>
      </c>
      <c r="C35" s="847" t="s">
        <v>1862</v>
      </c>
      <c r="D35" s="847" t="s">
        <v>1863</v>
      </c>
      <c r="E35" s="847" t="s">
        <v>14</v>
      </c>
      <c r="F35" s="848">
        <v>8</v>
      </c>
      <c r="G35" s="849"/>
      <c r="H35" s="849"/>
      <c r="I35" s="849"/>
      <c r="J35" s="849"/>
      <c r="K35" s="848">
        <v>1.5200000000000001E-3</v>
      </c>
    </row>
    <row r="36" spans="1:11" s="374" customFormat="1" ht="24" customHeight="1">
      <c r="A36" s="840">
        <v>21</v>
      </c>
      <c r="B36" s="841" t="s">
        <v>1845</v>
      </c>
      <c r="C36" s="842" t="s">
        <v>1864</v>
      </c>
      <c r="D36" s="842" t="s">
        <v>1865</v>
      </c>
      <c r="E36" s="842" t="s">
        <v>19</v>
      </c>
      <c r="F36" s="843">
        <v>3</v>
      </c>
      <c r="G36" s="844"/>
      <c r="H36" s="844"/>
      <c r="I36" s="844"/>
      <c r="J36" s="844"/>
      <c r="K36" s="843">
        <v>2.0400000000000001E-3</v>
      </c>
    </row>
    <row r="37" spans="1:11" s="374" customFormat="1" ht="13.5" customHeight="1">
      <c r="A37" s="845">
        <v>22</v>
      </c>
      <c r="B37" s="846"/>
      <c r="C37" s="847" t="s">
        <v>1866</v>
      </c>
      <c r="D37" s="847" t="s">
        <v>1867</v>
      </c>
      <c r="E37" s="847"/>
      <c r="F37" s="848">
        <v>2</v>
      </c>
      <c r="G37" s="849"/>
      <c r="H37" s="849"/>
      <c r="I37" s="849"/>
      <c r="J37" s="849"/>
      <c r="K37" s="848">
        <v>0</v>
      </c>
    </row>
    <row r="38" spans="1:11" s="374" customFormat="1" ht="13.5" customHeight="1">
      <c r="A38" s="845">
        <v>23</v>
      </c>
      <c r="B38" s="846"/>
      <c r="C38" s="847" t="s">
        <v>1866</v>
      </c>
      <c r="D38" s="847" t="s">
        <v>1868</v>
      </c>
      <c r="E38" s="847"/>
      <c r="F38" s="848">
        <v>1</v>
      </c>
      <c r="G38" s="849"/>
      <c r="H38" s="849"/>
      <c r="I38" s="849"/>
      <c r="J38" s="849"/>
      <c r="K38" s="848">
        <v>0</v>
      </c>
    </row>
    <row r="39" spans="1:11" s="374" customFormat="1" ht="24" customHeight="1">
      <c r="A39" s="840">
        <v>24</v>
      </c>
      <c r="B39" s="841" t="s">
        <v>1845</v>
      </c>
      <c r="C39" s="842" t="s">
        <v>1869</v>
      </c>
      <c r="D39" s="842" t="s">
        <v>1870</v>
      </c>
      <c r="E39" s="842" t="s">
        <v>1871</v>
      </c>
      <c r="F39" s="843">
        <v>1</v>
      </c>
      <c r="G39" s="844"/>
      <c r="H39" s="844"/>
      <c r="I39" s="844"/>
      <c r="J39" s="844"/>
      <c r="K39" s="843">
        <v>6.8000000000000005E-4</v>
      </c>
    </row>
    <row r="40" spans="1:11" s="374" customFormat="1" ht="24" customHeight="1">
      <c r="A40" s="845">
        <v>25</v>
      </c>
      <c r="B40" s="846"/>
      <c r="C40" s="847" t="s">
        <v>1872</v>
      </c>
      <c r="D40" s="847" t="s">
        <v>1873</v>
      </c>
      <c r="E40" s="847" t="s">
        <v>19</v>
      </c>
      <c r="F40" s="848">
        <v>1</v>
      </c>
      <c r="G40" s="849"/>
      <c r="H40" s="849"/>
      <c r="I40" s="849"/>
      <c r="J40" s="849"/>
      <c r="K40" s="848">
        <v>0</v>
      </c>
    </row>
    <row r="41" spans="1:11" s="374" customFormat="1" ht="13.5" customHeight="1">
      <c r="A41" s="840">
        <v>26</v>
      </c>
      <c r="B41" s="841" t="s">
        <v>1845</v>
      </c>
      <c r="C41" s="842" t="s">
        <v>1874</v>
      </c>
      <c r="D41" s="842" t="s">
        <v>1875</v>
      </c>
      <c r="E41" s="842" t="s">
        <v>14</v>
      </c>
      <c r="F41" s="843">
        <v>261</v>
      </c>
      <c r="G41" s="844"/>
      <c r="H41" s="844"/>
      <c r="I41" s="844"/>
      <c r="J41" s="844"/>
      <c r="K41" s="843">
        <v>0</v>
      </c>
    </row>
    <row r="42" spans="1:11" s="374" customFormat="1" ht="24" customHeight="1">
      <c r="A42" s="840">
        <v>27</v>
      </c>
      <c r="B42" s="841" t="s">
        <v>1845</v>
      </c>
      <c r="C42" s="842" t="s">
        <v>1876</v>
      </c>
      <c r="D42" s="842" t="s">
        <v>1877</v>
      </c>
      <c r="E42" s="842" t="s">
        <v>14</v>
      </c>
      <c r="F42" s="843">
        <v>261</v>
      </c>
      <c r="G42" s="844"/>
      <c r="H42" s="844"/>
      <c r="I42" s="844"/>
      <c r="J42" s="844"/>
      <c r="K42" s="843">
        <v>0</v>
      </c>
    </row>
    <row r="43" spans="1:11" s="374" customFormat="1" ht="24" customHeight="1">
      <c r="A43" s="840">
        <v>28</v>
      </c>
      <c r="B43" s="841" t="s">
        <v>1845</v>
      </c>
      <c r="C43" s="842" t="s">
        <v>1878</v>
      </c>
      <c r="D43" s="842" t="s">
        <v>1879</v>
      </c>
      <c r="E43" s="842" t="s">
        <v>19</v>
      </c>
      <c r="F43" s="843">
        <v>3</v>
      </c>
      <c r="G43" s="844"/>
      <c r="H43" s="844"/>
      <c r="I43" s="844"/>
      <c r="J43" s="844"/>
      <c r="K43" s="843">
        <v>0</v>
      </c>
    </row>
    <row r="44" spans="1:11" s="374" customFormat="1" ht="24" customHeight="1">
      <c r="A44" s="845">
        <v>29</v>
      </c>
      <c r="B44" s="846" t="s">
        <v>1880</v>
      </c>
      <c r="C44" s="847" t="s">
        <v>1881</v>
      </c>
      <c r="D44" s="847" t="s">
        <v>1882</v>
      </c>
      <c r="E44" s="847" t="s">
        <v>19</v>
      </c>
      <c r="F44" s="848">
        <v>1</v>
      </c>
      <c r="G44" s="849"/>
      <c r="H44" s="849"/>
      <c r="I44" s="849"/>
      <c r="J44" s="849"/>
      <c r="K44" s="848">
        <v>2.8</v>
      </c>
    </row>
    <row r="45" spans="1:11" s="374" customFormat="1" ht="13.5" customHeight="1">
      <c r="A45" s="840">
        <v>30</v>
      </c>
      <c r="B45" s="841" t="s">
        <v>1845</v>
      </c>
      <c r="C45" s="842" t="s">
        <v>1883</v>
      </c>
      <c r="D45" s="842" t="s">
        <v>1884</v>
      </c>
      <c r="E45" s="842" t="s">
        <v>19</v>
      </c>
      <c r="F45" s="843">
        <v>1</v>
      </c>
      <c r="G45" s="844"/>
      <c r="H45" s="844"/>
      <c r="I45" s="844"/>
      <c r="J45" s="844"/>
      <c r="K45" s="843">
        <v>0</v>
      </c>
    </row>
    <row r="46" spans="1:11" s="374" customFormat="1" ht="24" customHeight="1">
      <c r="A46" s="845">
        <v>31</v>
      </c>
      <c r="B46" s="846" t="s">
        <v>1880</v>
      </c>
      <c r="C46" s="847" t="s">
        <v>1885</v>
      </c>
      <c r="D46" s="847" t="s">
        <v>1886</v>
      </c>
      <c r="E46" s="847" t="s">
        <v>19</v>
      </c>
      <c r="F46" s="848">
        <v>1</v>
      </c>
      <c r="G46" s="849"/>
      <c r="H46" s="849"/>
      <c r="I46" s="849"/>
      <c r="J46" s="849"/>
      <c r="K46" s="848">
        <v>14.5</v>
      </c>
    </row>
    <row r="47" spans="1:11" s="374" customFormat="1" ht="24" customHeight="1">
      <c r="A47" s="840">
        <v>32</v>
      </c>
      <c r="B47" s="841" t="s">
        <v>1845</v>
      </c>
      <c r="C47" s="842" t="s">
        <v>1887</v>
      </c>
      <c r="D47" s="842" t="s">
        <v>1888</v>
      </c>
      <c r="E47" s="842" t="s">
        <v>19</v>
      </c>
      <c r="F47" s="843">
        <v>2</v>
      </c>
      <c r="G47" s="844"/>
      <c r="H47" s="844"/>
      <c r="I47" s="844"/>
      <c r="J47" s="844"/>
      <c r="K47" s="843">
        <v>3.3119999999999997E-2</v>
      </c>
    </row>
    <row r="48" spans="1:11" s="374" customFormat="1" ht="24" customHeight="1">
      <c r="A48" s="845">
        <v>33</v>
      </c>
      <c r="B48" s="846" t="s">
        <v>1889</v>
      </c>
      <c r="C48" s="847" t="s">
        <v>1890</v>
      </c>
      <c r="D48" s="847" t="s">
        <v>1891</v>
      </c>
      <c r="E48" s="847" t="s">
        <v>19</v>
      </c>
      <c r="F48" s="848">
        <v>2</v>
      </c>
      <c r="G48" s="849"/>
      <c r="H48" s="849"/>
      <c r="I48" s="849"/>
      <c r="J48" s="849"/>
      <c r="K48" s="848">
        <v>4.0000000000000001E-3</v>
      </c>
    </row>
    <row r="49" spans="1:11" s="374" customFormat="1" ht="24" customHeight="1">
      <c r="A49" s="845">
        <v>34</v>
      </c>
      <c r="B49" s="846" t="s">
        <v>1889</v>
      </c>
      <c r="C49" s="847" t="s">
        <v>1892</v>
      </c>
      <c r="D49" s="847" t="s">
        <v>1893</v>
      </c>
      <c r="E49" s="847" t="s">
        <v>19</v>
      </c>
      <c r="F49" s="848">
        <v>2</v>
      </c>
      <c r="G49" s="849"/>
      <c r="H49" s="849"/>
      <c r="I49" s="849"/>
      <c r="J49" s="849"/>
      <c r="K49" s="848">
        <v>1.17</v>
      </c>
    </row>
    <row r="50" spans="1:11" s="374" customFormat="1" ht="24" customHeight="1">
      <c r="A50" s="840">
        <v>35</v>
      </c>
      <c r="B50" s="841" t="s">
        <v>1845</v>
      </c>
      <c r="C50" s="842" t="s">
        <v>1894</v>
      </c>
      <c r="D50" s="842" t="s">
        <v>1895</v>
      </c>
      <c r="E50" s="842" t="s">
        <v>19</v>
      </c>
      <c r="F50" s="843">
        <v>1</v>
      </c>
      <c r="G50" s="844"/>
      <c r="H50" s="844"/>
      <c r="I50" s="844"/>
      <c r="J50" s="844"/>
      <c r="K50" s="843">
        <v>4.1999999999999997E-3</v>
      </c>
    </row>
    <row r="51" spans="1:11" s="374" customFormat="1" ht="13.5" customHeight="1">
      <c r="A51" s="845">
        <v>36</v>
      </c>
      <c r="B51" s="846"/>
      <c r="C51" s="847" t="s">
        <v>1896</v>
      </c>
      <c r="D51" s="847" t="s">
        <v>1897</v>
      </c>
      <c r="E51" s="847" t="s">
        <v>19</v>
      </c>
      <c r="F51" s="848">
        <v>1</v>
      </c>
      <c r="G51" s="849"/>
      <c r="H51" s="849"/>
      <c r="I51" s="849"/>
      <c r="J51" s="849"/>
      <c r="K51" s="848">
        <v>0</v>
      </c>
    </row>
    <row r="52" spans="1:11" s="374" customFormat="1" ht="24" customHeight="1">
      <c r="A52" s="840">
        <v>37</v>
      </c>
      <c r="B52" s="841" t="s">
        <v>1845</v>
      </c>
      <c r="C52" s="842" t="s">
        <v>1898</v>
      </c>
      <c r="D52" s="842" t="s">
        <v>1899</v>
      </c>
      <c r="E52" s="842" t="s">
        <v>19</v>
      </c>
      <c r="F52" s="843">
        <v>2</v>
      </c>
      <c r="G52" s="844"/>
      <c r="H52" s="844"/>
      <c r="I52" s="844"/>
      <c r="J52" s="844"/>
      <c r="K52" s="843">
        <v>1.26E-2</v>
      </c>
    </row>
    <row r="53" spans="1:11" s="374" customFormat="1" ht="24" customHeight="1">
      <c r="A53" s="845">
        <v>38</v>
      </c>
      <c r="B53" s="846" t="s">
        <v>1889</v>
      </c>
      <c r="C53" s="847" t="s">
        <v>1900</v>
      </c>
      <c r="D53" s="847" t="s">
        <v>1901</v>
      </c>
      <c r="E53" s="847" t="s">
        <v>19</v>
      </c>
      <c r="F53" s="848">
        <v>2</v>
      </c>
      <c r="G53" s="849"/>
      <c r="H53" s="849"/>
      <c r="I53" s="849"/>
      <c r="J53" s="849"/>
      <c r="K53" s="848">
        <v>0.27</v>
      </c>
    </row>
    <row r="54" spans="1:11" s="374" customFormat="1" ht="13.5" customHeight="1">
      <c r="A54" s="840">
        <v>39</v>
      </c>
      <c r="B54" s="841" t="s">
        <v>1845</v>
      </c>
      <c r="C54" s="842" t="s">
        <v>1902</v>
      </c>
      <c r="D54" s="842" t="s">
        <v>1903</v>
      </c>
      <c r="E54" s="842" t="s">
        <v>14</v>
      </c>
      <c r="F54" s="843">
        <v>269.85000000000002</v>
      </c>
      <c r="G54" s="844"/>
      <c r="H54" s="844"/>
      <c r="I54" s="844"/>
      <c r="J54" s="844"/>
      <c r="K54" s="843">
        <v>5.3969999999999997E-2</v>
      </c>
    </row>
    <row r="55" spans="1:11" s="374" customFormat="1" ht="28.5" customHeight="1">
      <c r="A55" s="835"/>
      <c r="B55" s="836"/>
      <c r="C55" s="837" t="s">
        <v>1606</v>
      </c>
      <c r="D55" s="837" t="s">
        <v>1904</v>
      </c>
      <c r="E55" s="837"/>
      <c r="F55" s="838"/>
      <c r="G55" s="839"/>
      <c r="H55" s="839">
        <f>SUM(H56:H57)</f>
        <v>0</v>
      </c>
      <c r="I55" s="839">
        <f t="shared" ref="I55:J55" si="4">SUM(I56:I57)</f>
        <v>0</v>
      </c>
      <c r="J55" s="839">
        <f t="shared" si="4"/>
        <v>0</v>
      </c>
      <c r="K55" s="838">
        <v>0</v>
      </c>
    </row>
    <row r="56" spans="1:11" s="374" customFormat="1" ht="24" customHeight="1">
      <c r="A56" s="840">
        <v>40</v>
      </c>
      <c r="B56" s="841" t="s">
        <v>1905</v>
      </c>
      <c r="C56" s="842" t="s">
        <v>1906</v>
      </c>
      <c r="D56" s="842" t="s">
        <v>1907</v>
      </c>
      <c r="E56" s="842" t="s">
        <v>15</v>
      </c>
      <c r="F56" s="843">
        <v>126.18300000000001</v>
      </c>
      <c r="G56" s="844"/>
      <c r="H56" s="844"/>
      <c r="I56" s="844"/>
      <c r="J56" s="844"/>
      <c r="K56" s="843">
        <v>0</v>
      </c>
    </row>
    <row r="57" spans="1:11" s="374" customFormat="1" ht="24" customHeight="1">
      <c r="A57" s="840">
        <v>41</v>
      </c>
      <c r="B57" s="841" t="s">
        <v>1845</v>
      </c>
      <c r="C57" s="842" t="s">
        <v>1908</v>
      </c>
      <c r="D57" s="842" t="s">
        <v>1909</v>
      </c>
      <c r="E57" s="842" t="s">
        <v>15</v>
      </c>
      <c r="F57" s="843">
        <v>22.268000000000001</v>
      </c>
      <c r="G57" s="844"/>
      <c r="H57" s="844"/>
      <c r="I57" s="844"/>
      <c r="J57" s="844"/>
      <c r="K57" s="843">
        <v>0</v>
      </c>
    </row>
    <row r="58" spans="1:11" s="374" customFormat="1" ht="30.75" customHeight="1">
      <c r="A58" s="850"/>
      <c r="B58" s="851"/>
      <c r="C58" s="852"/>
      <c r="D58" s="852" t="s">
        <v>1910</v>
      </c>
      <c r="E58" s="852"/>
      <c r="F58" s="853"/>
      <c r="G58" s="854"/>
      <c r="H58" s="854">
        <f>H12</f>
        <v>0</v>
      </c>
      <c r="I58" s="854">
        <f t="shared" ref="I58:J58" si="5">I12</f>
        <v>0</v>
      </c>
      <c r="J58" s="854">
        <f t="shared" si="5"/>
        <v>0</v>
      </c>
      <c r="K58" s="853">
        <v>148.44971795999999</v>
      </c>
    </row>
  </sheetData>
  <mergeCells count="5">
    <mergeCell ref="A1:K1"/>
    <mergeCell ref="I5:K5"/>
    <mergeCell ref="A6:D6"/>
    <mergeCell ref="I6:J6"/>
    <mergeCell ref="A7:C7"/>
  </mergeCells>
  <pageMargins left="0.39370078740157483" right="0.39370078740157483" top="0.59055118110236227" bottom="0.39370078740157483" header="0.31496062992125984" footer="0.31496062992125984"/>
  <pageSetup paperSize="9" scale="99" fitToHeight="0" orientation="landscape" horizontalDpi="4294967295" verticalDpi="4294967295" r:id="rId1"/>
  <headerFooter>
    <oddFooter>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0"/>
  <sheetViews>
    <sheetView topLeftCell="A30" zoomScale="120" zoomScaleNormal="120" workbookViewId="0">
      <selection activeCell="L39" sqref="L39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3.5703125" style="859" customWidth="1"/>
    <col min="9" max="9" width="13.28515625" style="859" customWidth="1"/>
    <col min="10" max="10" width="16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18">
      <c r="A1" s="1122" t="s">
        <v>1814</v>
      </c>
      <c r="B1" s="1122"/>
      <c r="C1" s="1122"/>
      <c r="D1" s="1122"/>
      <c r="E1" s="1122"/>
      <c r="F1" s="1122"/>
      <c r="G1" s="1122"/>
      <c r="H1" s="1122"/>
      <c r="I1" s="1122"/>
      <c r="J1" s="1122"/>
      <c r="K1" s="1122"/>
    </row>
    <row r="2" spans="1:11" s="374" customFormat="1" ht="20.25" customHeight="1">
      <c r="A2" s="819" t="s">
        <v>1815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>
      <c r="A3" s="819" t="s">
        <v>1911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11.2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>
      <c r="A5" s="827" t="s">
        <v>1817</v>
      </c>
      <c r="B5" s="822"/>
      <c r="C5" s="823"/>
      <c r="D5" s="823"/>
      <c r="E5" s="823"/>
      <c r="F5" s="824"/>
      <c r="G5" s="825"/>
      <c r="H5" s="825"/>
      <c r="I5" s="1123"/>
      <c r="J5" s="1124"/>
      <c r="K5" s="1125"/>
    </row>
    <row r="6" spans="1:11" s="374" customFormat="1">
      <c r="A6" s="1126" t="s">
        <v>1818</v>
      </c>
      <c r="B6" s="1127"/>
      <c r="C6" s="1127"/>
      <c r="D6" s="1127"/>
      <c r="E6" s="823"/>
      <c r="F6" s="824"/>
      <c r="G6" s="825"/>
      <c r="H6" s="825"/>
      <c r="I6" s="1128" t="s">
        <v>1819</v>
      </c>
      <c r="J6" s="1129"/>
      <c r="K6" s="824"/>
    </row>
    <row r="7" spans="1:11" s="374" customFormat="1">
      <c r="A7" s="1126" t="s">
        <v>1820</v>
      </c>
      <c r="B7" s="1127"/>
      <c r="C7" s="1127"/>
      <c r="D7" s="823"/>
      <c r="E7" s="823"/>
      <c r="F7" s="824"/>
      <c r="G7" s="825"/>
      <c r="H7" s="825"/>
      <c r="I7" s="827" t="s">
        <v>2637</v>
      </c>
      <c r="J7" s="825"/>
      <c r="K7" s="824"/>
    </row>
    <row r="8" spans="1:11" s="374" customFormat="1" ht="7.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2.5">
      <c r="A9" s="828" t="s">
        <v>1821</v>
      </c>
      <c r="B9" s="828" t="s">
        <v>4</v>
      </c>
      <c r="C9" s="828" t="s">
        <v>5</v>
      </c>
      <c r="D9" s="828" t="s">
        <v>777</v>
      </c>
      <c r="E9" s="828" t="s">
        <v>7</v>
      </c>
      <c r="F9" s="828" t="s">
        <v>778</v>
      </c>
      <c r="G9" s="828" t="s">
        <v>9</v>
      </c>
      <c r="H9" s="828" t="s">
        <v>1822</v>
      </c>
      <c r="I9" s="828" t="s">
        <v>476</v>
      </c>
      <c r="J9" s="828" t="s">
        <v>10</v>
      </c>
      <c r="K9" s="828" t="s">
        <v>780</v>
      </c>
    </row>
    <row r="10" spans="1:11" s="374" customFormat="1" hidden="1">
      <c r="A10" s="828" t="s">
        <v>791</v>
      </c>
      <c r="B10" s="828" t="s">
        <v>795</v>
      </c>
      <c r="C10" s="828" t="s">
        <v>987</v>
      </c>
      <c r="D10" s="828" t="s">
        <v>1065</v>
      </c>
      <c r="E10" s="828" t="s">
        <v>1074</v>
      </c>
      <c r="F10" s="828" t="s">
        <v>1176</v>
      </c>
      <c r="G10" s="828" t="s">
        <v>1182</v>
      </c>
      <c r="H10" s="828" t="s">
        <v>1071</v>
      </c>
      <c r="I10" s="828" t="s">
        <v>1193</v>
      </c>
      <c r="J10" s="828" t="s">
        <v>1175</v>
      </c>
      <c r="K10" s="828" t="s">
        <v>1200</v>
      </c>
    </row>
    <row r="11" spans="1:11" s="374" customForma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1823</v>
      </c>
      <c r="E12" s="832"/>
      <c r="F12" s="833"/>
      <c r="G12" s="834"/>
      <c r="H12" s="834">
        <f>SUM(H13,H24,H26,H30)</f>
        <v>0</v>
      </c>
      <c r="I12" s="834">
        <f t="shared" ref="I12:J12" si="0">SUM(I13,I24,I26,I30)</f>
        <v>0</v>
      </c>
      <c r="J12" s="834">
        <f t="shared" si="0"/>
        <v>0</v>
      </c>
      <c r="K12" s="833">
        <v>37.221380600000003</v>
      </c>
    </row>
    <row r="13" spans="1:11" s="374" customFormat="1" ht="28.5" customHeight="1">
      <c r="A13" s="835"/>
      <c r="B13" s="836"/>
      <c r="C13" s="837" t="s">
        <v>791</v>
      </c>
      <c r="D13" s="837" t="s">
        <v>1824</v>
      </c>
      <c r="E13" s="837"/>
      <c r="F13" s="838"/>
      <c r="G13" s="839"/>
      <c r="H13" s="839">
        <f>SUM(H14:H23)</f>
        <v>0</v>
      </c>
      <c r="I13" s="839">
        <f t="shared" ref="I13:J13" si="1">SUM(I14:I23)</f>
        <v>0</v>
      </c>
      <c r="J13" s="839">
        <f t="shared" si="1"/>
        <v>0</v>
      </c>
      <c r="K13" s="838">
        <v>24.39</v>
      </c>
    </row>
    <row r="14" spans="1:11" s="374" customFormat="1" ht="13.5" customHeight="1">
      <c r="A14" s="840">
        <v>1</v>
      </c>
      <c r="B14" s="841" t="s">
        <v>1825</v>
      </c>
      <c r="C14" s="842" t="s">
        <v>1912</v>
      </c>
      <c r="D14" s="842" t="s">
        <v>1913</v>
      </c>
      <c r="E14" s="842" t="s">
        <v>12</v>
      </c>
      <c r="F14" s="843">
        <v>17.7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1825</v>
      </c>
      <c r="C15" s="842" t="s">
        <v>1914</v>
      </c>
      <c r="D15" s="842" t="s">
        <v>1915</v>
      </c>
      <c r="E15" s="842" t="s">
        <v>12</v>
      </c>
      <c r="F15" s="843">
        <v>26.55</v>
      </c>
      <c r="G15" s="844"/>
      <c r="H15" s="844"/>
      <c r="I15" s="844"/>
      <c r="J15" s="844"/>
      <c r="K15" s="843">
        <v>0</v>
      </c>
    </row>
    <row r="16" spans="1:11" s="374" customFormat="1" ht="24" customHeight="1">
      <c r="A16" s="840">
        <v>3</v>
      </c>
      <c r="B16" s="841" t="s">
        <v>1825</v>
      </c>
      <c r="C16" s="842" t="s">
        <v>1916</v>
      </c>
      <c r="D16" s="842" t="s">
        <v>1917</v>
      </c>
      <c r="E16" s="842" t="s">
        <v>12</v>
      </c>
      <c r="F16" s="843">
        <v>7.9649999999999999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1825</v>
      </c>
      <c r="C17" s="842" t="s">
        <v>2633</v>
      </c>
      <c r="D17" s="842" t="s">
        <v>2634</v>
      </c>
      <c r="E17" s="842" t="s">
        <v>12</v>
      </c>
      <c r="F17" s="843">
        <v>20.32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1825</v>
      </c>
      <c r="C18" s="842" t="s">
        <v>2635</v>
      </c>
      <c r="D18" s="842" t="s">
        <v>2636</v>
      </c>
      <c r="E18" s="842" t="s">
        <v>12</v>
      </c>
      <c r="F18" s="843">
        <v>243.84</v>
      </c>
      <c r="G18" s="844"/>
      <c r="H18" s="844"/>
      <c r="I18" s="844"/>
      <c r="J18" s="844"/>
      <c r="K18" s="843">
        <v>0</v>
      </c>
    </row>
    <row r="19" spans="1:11" s="374" customFormat="1" ht="13.5" customHeight="1">
      <c r="A19" s="840">
        <v>6</v>
      </c>
      <c r="B19" s="841" t="s">
        <v>1825</v>
      </c>
      <c r="C19" s="842" t="s">
        <v>1918</v>
      </c>
      <c r="D19" s="842" t="s">
        <v>265</v>
      </c>
      <c r="E19" s="842" t="s">
        <v>12</v>
      </c>
      <c r="F19" s="843">
        <v>20.32</v>
      </c>
      <c r="G19" s="844"/>
      <c r="H19" s="844"/>
      <c r="I19" s="844"/>
      <c r="J19" s="844"/>
      <c r="K19" s="843">
        <v>0</v>
      </c>
    </row>
    <row r="20" spans="1:11" s="374" customFormat="1" ht="13.5" customHeight="1">
      <c r="A20" s="840">
        <v>7</v>
      </c>
      <c r="B20" s="841" t="s">
        <v>1825</v>
      </c>
      <c r="C20" s="842" t="s">
        <v>1733</v>
      </c>
      <c r="D20" s="842" t="s">
        <v>2632</v>
      </c>
      <c r="E20" s="842" t="s">
        <v>15</v>
      </c>
      <c r="F20" s="843">
        <v>36.576000000000001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1825</v>
      </c>
      <c r="C21" s="842" t="s">
        <v>1919</v>
      </c>
      <c r="D21" s="842" t="s">
        <v>1920</v>
      </c>
      <c r="E21" s="842" t="s">
        <v>12</v>
      </c>
      <c r="F21" s="843">
        <v>23.93</v>
      </c>
      <c r="G21" s="844"/>
      <c r="H21" s="844"/>
      <c r="I21" s="844"/>
      <c r="J21" s="844"/>
      <c r="K21" s="843">
        <v>0</v>
      </c>
    </row>
    <row r="22" spans="1:11" s="374" customFormat="1" ht="24" customHeight="1">
      <c r="A22" s="840">
        <v>9</v>
      </c>
      <c r="B22" s="841" t="s">
        <v>1825</v>
      </c>
      <c r="C22" s="842" t="s">
        <v>1140</v>
      </c>
      <c r="D22" s="842" t="s">
        <v>1840</v>
      </c>
      <c r="E22" s="842" t="s">
        <v>12</v>
      </c>
      <c r="F22" s="843">
        <v>13.55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5">
        <v>10</v>
      </c>
      <c r="B23" s="846" t="s">
        <v>1841</v>
      </c>
      <c r="C23" s="847" t="s">
        <v>1842</v>
      </c>
      <c r="D23" s="847" t="s">
        <v>1843</v>
      </c>
      <c r="E23" s="847" t="s">
        <v>15</v>
      </c>
      <c r="F23" s="848">
        <v>24.39</v>
      </c>
      <c r="G23" s="849"/>
      <c r="H23" s="849"/>
      <c r="I23" s="849"/>
      <c r="J23" s="849"/>
      <c r="K23" s="848">
        <v>24.39</v>
      </c>
    </row>
    <row r="24" spans="1:11" s="374" customFormat="1" ht="28.5" customHeight="1">
      <c r="A24" s="835"/>
      <c r="B24" s="836"/>
      <c r="C24" s="837" t="s">
        <v>1065</v>
      </c>
      <c r="D24" s="837" t="s">
        <v>1844</v>
      </c>
      <c r="E24" s="837"/>
      <c r="F24" s="838"/>
      <c r="G24" s="839"/>
      <c r="H24" s="839">
        <f>SUM(H25)</f>
        <v>0</v>
      </c>
      <c r="I24" s="839">
        <f t="shared" ref="I24:J24" si="2">SUM(I25)</f>
        <v>0</v>
      </c>
      <c r="J24" s="839">
        <f t="shared" si="2"/>
        <v>0</v>
      </c>
      <c r="K24" s="838">
        <v>12.8005806</v>
      </c>
    </row>
    <row r="25" spans="1:11" s="374" customFormat="1" ht="24" customHeight="1">
      <c r="A25" s="840">
        <v>11</v>
      </c>
      <c r="B25" s="841" t="s">
        <v>1845</v>
      </c>
      <c r="C25" s="842" t="s">
        <v>1846</v>
      </c>
      <c r="D25" s="842" t="s">
        <v>1847</v>
      </c>
      <c r="E25" s="842" t="s">
        <v>12</v>
      </c>
      <c r="F25" s="843">
        <v>6.77</v>
      </c>
      <c r="G25" s="844"/>
      <c r="H25" s="844"/>
      <c r="I25" s="844"/>
      <c r="J25" s="844"/>
      <c r="K25" s="843">
        <v>12.8005806</v>
      </c>
    </row>
    <row r="26" spans="1:11" s="374" customFormat="1" ht="28.5" customHeight="1">
      <c r="A26" s="835"/>
      <c r="B26" s="836"/>
      <c r="C26" s="837" t="s">
        <v>1071</v>
      </c>
      <c r="D26" s="837" t="s">
        <v>1854</v>
      </c>
      <c r="E26" s="837"/>
      <c r="F26" s="838"/>
      <c r="G26" s="839"/>
      <c r="H26" s="839">
        <f>SUM(H27:H29)</f>
        <v>0</v>
      </c>
      <c r="I26" s="839">
        <f t="shared" ref="I26:J26" si="3">SUM(I27:I29)</f>
        <v>0</v>
      </c>
      <c r="J26" s="839">
        <f t="shared" si="3"/>
        <v>0</v>
      </c>
      <c r="K26" s="838">
        <v>3.0800000000000001E-2</v>
      </c>
    </row>
    <row r="27" spans="1:11" s="374" customFormat="1" ht="24" customHeight="1">
      <c r="A27" s="840">
        <v>12</v>
      </c>
      <c r="B27" s="841" t="s">
        <v>1845</v>
      </c>
      <c r="C27" s="842" t="s">
        <v>1921</v>
      </c>
      <c r="D27" s="842" t="s">
        <v>1922</v>
      </c>
      <c r="E27" s="842" t="s">
        <v>14</v>
      </c>
      <c r="F27" s="843">
        <v>110</v>
      </c>
      <c r="G27" s="844"/>
      <c r="H27" s="844"/>
      <c r="I27" s="844"/>
      <c r="J27" s="844"/>
      <c r="K27" s="843">
        <v>0</v>
      </c>
    </row>
    <row r="28" spans="1:11" s="374" customFormat="1" ht="24" customHeight="1">
      <c r="A28" s="845">
        <v>13</v>
      </c>
      <c r="B28" s="846" t="s">
        <v>1859</v>
      </c>
      <c r="C28" s="847" t="s">
        <v>1923</v>
      </c>
      <c r="D28" s="847" t="s">
        <v>1924</v>
      </c>
      <c r="E28" s="847" t="s">
        <v>14</v>
      </c>
      <c r="F28" s="848">
        <v>110</v>
      </c>
      <c r="G28" s="849"/>
      <c r="H28" s="849"/>
      <c r="I28" s="849"/>
      <c r="J28" s="849"/>
      <c r="K28" s="848">
        <v>3.0800000000000001E-2</v>
      </c>
    </row>
    <row r="29" spans="1:11" s="374" customFormat="1" ht="24" customHeight="1">
      <c r="A29" s="840">
        <v>14</v>
      </c>
      <c r="B29" s="841" t="s">
        <v>1845</v>
      </c>
      <c r="C29" s="842" t="s">
        <v>1925</v>
      </c>
      <c r="D29" s="842" t="s">
        <v>1877</v>
      </c>
      <c r="E29" s="842" t="s">
        <v>14</v>
      </c>
      <c r="F29" s="843">
        <v>110</v>
      </c>
      <c r="G29" s="844"/>
      <c r="H29" s="844"/>
      <c r="I29" s="844"/>
      <c r="J29" s="844"/>
      <c r="K29" s="843">
        <v>0</v>
      </c>
    </row>
    <row r="30" spans="1:11" s="374" customFormat="1" ht="28.5" customHeight="1">
      <c r="A30" s="835"/>
      <c r="B30" s="836"/>
      <c r="C30" s="837" t="s">
        <v>1606</v>
      </c>
      <c r="D30" s="837" t="s">
        <v>1904</v>
      </c>
      <c r="E30" s="837"/>
      <c r="F30" s="838"/>
      <c r="G30" s="839"/>
      <c r="H30" s="839">
        <f>SUM(H31)</f>
        <v>0</v>
      </c>
      <c r="I30" s="839">
        <f t="shared" ref="I30" si="4">SUM(I31)</f>
        <v>0</v>
      </c>
      <c r="J30" s="839">
        <f t="shared" ref="J30" si="5">SUM(J31)</f>
        <v>0</v>
      </c>
      <c r="K30" s="838">
        <v>0</v>
      </c>
    </row>
    <row r="31" spans="1:11" s="374" customFormat="1" ht="24" customHeight="1">
      <c r="A31" s="840">
        <v>15</v>
      </c>
      <c r="B31" s="841" t="s">
        <v>1845</v>
      </c>
      <c r="C31" s="842" t="s">
        <v>1908</v>
      </c>
      <c r="D31" s="842" t="s">
        <v>1909</v>
      </c>
      <c r="E31" s="842" t="s">
        <v>15</v>
      </c>
      <c r="F31" s="843">
        <v>37.219000000000001</v>
      </c>
      <c r="G31" s="844"/>
      <c r="H31" s="844"/>
      <c r="I31" s="844"/>
      <c r="J31" s="844"/>
      <c r="K31" s="843">
        <v>0</v>
      </c>
    </row>
    <row r="32" spans="1:11" s="374" customFormat="1" ht="30.75" customHeight="1">
      <c r="A32" s="830"/>
      <c r="B32" s="831"/>
      <c r="C32" s="832" t="s">
        <v>24</v>
      </c>
      <c r="D32" s="832" t="s">
        <v>1926</v>
      </c>
      <c r="E32" s="832"/>
      <c r="F32" s="833"/>
      <c r="G32" s="834"/>
      <c r="H32" s="834">
        <f>SUM(H33,H36)</f>
        <v>0</v>
      </c>
      <c r="I32" s="834">
        <f t="shared" ref="I32:J32" si="6">SUM(I33,I36)</f>
        <v>0</v>
      </c>
      <c r="J32" s="834">
        <f t="shared" si="6"/>
        <v>0</v>
      </c>
      <c r="K32" s="833">
        <v>1.102E-2</v>
      </c>
    </row>
    <row r="33" spans="1:11" s="374" customFormat="1" ht="28.5" customHeight="1">
      <c r="A33" s="835"/>
      <c r="B33" s="836"/>
      <c r="C33" s="837" t="s">
        <v>1379</v>
      </c>
      <c r="D33" s="837" t="s">
        <v>1927</v>
      </c>
      <c r="E33" s="837"/>
      <c r="F33" s="838"/>
      <c r="G33" s="839"/>
      <c r="H33" s="839">
        <f>SUM(H34:H35)</f>
        <v>0</v>
      </c>
      <c r="I33" s="839">
        <f t="shared" ref="I33:J33" si="7">SUM(I34:I35)</f>
        <v>0</v>
      </c>
      <c r="J33" s="839">
        <f t="shared" si="7"/>
        <v>0</v>
      </c>
      <c r="K33" s="838">
        <v>6.9999999999999994E-5</v>
      </c>
    </row>
    <row r="34" spans="1:11" s="374" customFormat="1" ht="24" customHeight="1">
      <c r="A34" s="840">
        <v>16</v>
      </c>
      <c r="B34" s="841" t="s">
        <v>1209</v>
      </c>
      <c r="C34" s="842" t="s">
        <v>1928</v>
      </c>
      <c r="D34" s="842" t="s">
        <v>1929</v>
      </c>
      <c r="E34" s="842" t="s">
        <v>19</v>
      </c>
      <c r="F34" s="843">
        <v>1</v>
      </c>
      <c r="G34" s="844"/>
      <c r="H34" s="844"/>
      <c r="I34" s="844"/>
      <c r="J34" s="844"/>
      <c r="K34" s="843">
        <v>2.0000000000000002E-5</v>
      </c>
    </row>
    <row r="35" spans="1:11" s="374" customFormat="1" ht="24" customHeight="1">
      <c r="A35" s="845">
        <v>17</v>
      </c>
      <c r="B35" s="846" t="s">
        <v>1930</v>
      </c>
      <c r="C35" s="847" t="s">
        <v>1931</v>
      </c>
      <c r="D35" s="847" t="s">
        <v>1932</v>
      </c>
      <c r="E35" s="847" t="s">
        <v>1871</v>
      </c>
      <c r="F35" s="848">
        <v>1</v>
      </c>
      <c r="G35" s="849"/>
      <c r="H35" s="849"/>
      <c r="I35" s="849"/>
      <c r="J35" s="849"/>
      <c r="K35" s="848">
        <v>5.0000000000000002E-5</v>
      </c>
    </row>
    <row r="36" spans="1:11" s="374" customFormat="1" ht="28.5" customHeight="1">
      <c r="A36" s="835"/>
      <c r="B36" s="836"/>
      <c r="C36" s="837" t="s">
        <v>1933</v>
      </c>
      <c r="D36" s="837" t="s">
        <v>1934</v>
      </c>
      <c r="E36" s="837"/>
      <c r="F36" s="838"/>
      <c r="G36" s="839"/>
      <c r="H36" s="839">
        <f>SUM(H37:H38)</f>
        <v>0</v>
      </c>
      <c r="I36" s="839">
        <f t="shared" ref="I36" si="8">SUM(I37:I38)</f>
        <v>0</v>
      </c>
      <c r="J36" s="839">
        <f t="shared" ref="J36" si="9">SUM(J37:J38)</f>
        <v>0</v>
      </c>
      <c r="K36" s="838">
        <v>1.095E-2</v>
      </c>
    </row>
    <row r="37" spans="1:11" s="374" customFormat="1" ht="13.5" customHeight="1">
      <c r="A37" s="840">
        <v>18</v>
      </c>
      <c r="B37" s="841" t="s">
        <v>1209</v>
      </c>
      <c r="C37" s="842" t="s">
        <v>1935</v>
      </c>
      <c r="D37" s="842" t="s">
        <v>1936</v>
      </c>
      <c r="E37" s="842" t="s">
        <v>19</v>
      </c>
      <c r="F37" s="843">
        <v>1</v>
      </c>
      <c r="G37" s="844"/>
      <c r="H37" s="844"/>
      <c r="I37" s="844"/>
      <c r="J37" s="844"/>
      <c r="K37" s="843">
        <v>9.5E-4</v>
      </c>
    </row>
    <row r="38" spans="1:11" s="374" customFormat="1" ht="13.5" customHeight="1">
      <c r="A38" s="845">
        <v>19</v>
      </c>
      <c r="B38" s="846" t="s">
        <v>1937</v>
      </c>
      <c r="C38" s="847" t="s">
        <v>1938</v>
      </c>
      <c r="D38" s="847" t="s">
        <v>1939</v>
      </c>
      <c r="E38" s="847" t="s">
        <v>19</v>
      </c>
      <c r="F38" s="848">
        <v>1</v>
      </c>
      <c r="G38" s="849"/>
      <c r="H38" s="849"/>
      <c r="I38" s="849"/>
      <c r="J38" s="849"/>
      <c r="K38" s="848">
        <v>0.01</v>
      </c>
    </row>
    <row r="39" spans="1:11" s="374" customFormat="1" ht="66" customHeight="1">
      <c r="A39" s="861"/>
      <c r="B39" s="862"/>
      <c r="C39" s="863"/>
      <c r="D39" s="863" t="s">
        <v>1940</v>
      </c>
      <c r="E39" s="863"/>
      <c r="F39" s="864"/>
      <c r="G39" s="865"/>
      <c r="H39" s="865"/>
      <c r="I39" s="865"/>
      <c r="J39" s="865"/>
      <c r="K39" s="864"/>
    </row>
    <row r="40" spans="1:11" s="374" customFormat="1" ht="30.75" customHeight="1">
      <c r="A40" s="850"/>
      <c r="B40" s="851"/>
      <c r="C40" s="852"/>
      <c r="D40" s="852" t="s">
        <v>1910</v>
      </c>
      <c r="E40" s="852"/>
      <c r="F40" s="853"/>
      <c r="G40" s="854"/>
      <c r="H40" s="854">
        <f>SUM(H32,H12)</f>
        <v>0</v>
      </c>
      <c r="I40" s="854">
        <f t="shared" ref="I40:J40" si="10">SUM(I32,I12)</f>
        <v>0</v>
      </c>
      <c r="J40" s="854">
        <f t="shared" si="10"/>
        <v>0</v>
      </c>
      <c r="K40" s="853">
        <v>37.232400599999998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5" fitToHeight="0" orientation="landscape" horizontalDpi="4294967295" verticalDpi="4294967295" r:id="rId1"/>
  <headerFooter>
    <oddFooter>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50"/>
  <sheetViews>
    <sheetView topLeftCell="A41" workbookViewId="0">
      <selection activeCell="O36" sqref="O36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2.85546875" style="859" customWidth="1"/>
    <col min="9" max="9" width="12.42578125" style="859" customWidth="1"/>
    <col min="10" max="10" width="14.285156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18">
      <c r="A1" s="1130" t="s">
        <v>1814</v>
      </c>
      <c r="B1" s="1130"/>
      <c r="C1" s="1130"/>
      <c r="D1" s="1130"/>
      <c r="E1" s="1130"/>
      <c r="F1" s="1130"/>
      <c r="G1" s="1130"/>
      <c r="H1" s="1130"/>
      <c r="I1" s="1130"/>
      <c r="J1" s="1130"/>
      <c r="K1" s="1130"/>
    </row>
    <row r="2" spans="1:11" s="374" customFormat="1" ht="18" customHeight="1">
      <c r="A2" s="866" t="s">
        <v>1815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</row>
    <row r="3" spans="1:11" s="374" customFormat="1">
      <c r="A3" s="866" t="s">
        <v>1941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</row>
    <row r="4" spans="1:11" s="374" customFormat="1" ht="10.5" customHeight="1">
      <c r="A4" s="867"/>
      <c r="B4" s="867"/>
      <c r="C4" s="867"/>
      <c r="D4" s="867"/>
      <c r="E4" s="867"/>
      <c r="F4" s="867"/>
      <c r="G4" s="867"/>
      <c r="H4" s="867"/>
      <c r="I4" s="867"/>
      <c r="J4" s="867"/>
      <c r="K4" s="867"/>
    </row>
    <row r="5" spans="1:11" s="374" customFormat="1">
      <c r="A5" s="868" t="s">
        <v>1817</v>
      </c>
      <c r="B5" s="869"/>
      <c r="C5" s="870"/>
      <c r="D5" s="870"/>
      <c r="E5" s="870"/>
      <c r="F5" s="871"/>
      <c r="G5" s="872"/>
      <c r="H5" s="872"/>
      <c r="I5" s="1131"/>
      <c r="J5" s="1131"/>
      <c r="K5" s="1131"/>
    </row>
    <row r="6" spans="1:11" s="374" customFormat="1">
      <c r="A6" s="1132" t="s">
        <v>1818</v>
      </c>
      <c r="B6" s="1132"/>
      <c r="C6" s="1132"/>
      <c r="D6" s="1132"/>
      <c r="E6" s="870"/>
      <c r="F6" s="871"/>
      <c r="G6" s="872"/>
      <c r="H6" s="872"/>
      <c r="I6" s="1133" t="s">
        <v>1819</v>
      </c>
      <c r="J6" s="1133"/>
      <c r="K6" s="871"/>
    </row>
    <row r="7" spans="1:11" s="374" customFormat="1">
      <c r="A7" s="1132" t="s">
        <v>1820</v>
      </c>
      <c r="B7" s="1132"/>
      <c r="C7" s="1132"/>
      <c r="D7" s="870"/>
      <c r="E7" s="870"/>
      <c r="F7" s="871"/>
      <c r="G7" s="872"/>
      <c r="H7" s="872"/>
      <c r="I7" s="868" t="s">
        <v>1942</v>
      </c>
      <c r="J7" s="872"/>
      <c r="K7" s="871"/>
    </row>
    <row r="8" spans="1:11" s="374" customFormat="1" ht="9.75" customHeight="1">
      <c r="A8" s="867"/>
      <c r="B8" s="867"/>
      <c r="C8" s="867"/>
      <c r="D8" s="867"/>
      <c r="E8" s="867"/>
      <c r="F8" s="867"/>
      <c r="G8" s="867"/>
      <c r="H8" s="867"/>
      <c r="I8" s="867"/>
      <c r="J8" s="867"/>
      <c r="K8" s="867"/>
    </row>
    <row r="9" spans="1:11" s="374" customFormat="1" ht="22.5">
      <c r="A9" s="873" t="s">
        <v>1821</v>
      </c>
      <c r="B9" s="873" t="s">
        <v>4</v>
      </c>
      <c r="C9" s="873" t="s">
        <v>5</v>
      </c>
      <c r="D9" s="873" t="s">
        <v>777</v>
      </c>
      <c r="E9" s="873" t="s">
        <v>7</v>
      </c>
      <c r="F9" s="873" t="s">
        <v>778</v>
      </c>
      <c r="G9" s="873" t="s">
        <v>9</v>
      </c>
      <c r="H9" s="873" t="s">
        <v>1822</v>
      </c>
      <c r="I9" s="873" t="s">
        <v>476</v>
      </c>
      <c r="J9" s="873" t="s">
        <v>10</v>
      </c>
      <c r="K9" s="873" t="s">
        <v>780</v>
      </c>
    </row>
    <row r="10" spans="1:11" s="374" customFormat="1" hidden="1">
      <c r="A10" s="873" t="s">
        <v>791</v>
      </c>
      <c r="B10" s="873" t="s">
        <v>795</v>
      </c>
      <c r="C10" s="873" t="s">
        <v>987</v>
      </c>
      <c r="D10" s="873" t="s">
        <v>1065</v>
      </c>
      <c r="E10" s="873" t="s">
        <v>1074</v>
      </c>
      <c r="F10" s="873" t="s">
        <v>1176</v>
      </c>
      <c r="G10" s="873" t="s">
        <v>1182</v>
      </c>
      <c r="H10" s="873" t="s">
        <v>1071</v>
      </c>
      <c r="I10" s="873" t="s">
        <v>1193</v>
      </c>
      <c r="J10" s="873" t="s">
        <v>1175</v>
      </c>
      <c r="K10" s="873" t="s">
        <v>1200</v>
      </c>
    </row>
    <row r="11" spans="1:11" s="374" customFormat="1">
      <c r="A11" s="874"/>
      <c r="B11" s="874"/>
      <c r="C11" s="874"/>
      <c r="D11" s="874"/>
      <c r="E11" s="874"/>
      <c r="F11" s="874"/>
      <c r="G11" s="874"/>
      <c r="H11" s="874"/>
      <c r="I11" s="874"/>
      <c r="J11" s="874"/>
      <c r="K11" s="874"/>
    </row>
    <row r="12" spans="1:11" s="374" customFormat="1" ht="30.75" customHeight="1">
      <c r="A12" s="830"/>
      <c r="B12" s="831"/>
      <c r="C12" s="832" t="s">
        <v>22</v>
      </c>
      <c r="D12" s="832" t="s">
        <v>1823</v>
      </c>
      <c r="E12" s="832"/>
      <c r="F12" s="833"/>
      <c r="G12" s="834"/>
      <c r="H12" s="834">
        <f>SUM(H13,H26,H31,H42)</f>
        <v>0</v>
      </c>
      <c r="I12" s="834">
        <f t="shared" ref="I12:J12" si="0">SUM(I13,I26,I31,I42)</f>
        <v>0</v>
      </c>
      <c r="J12" s="834">
        <f t="shared" si="0"/>
        <v>0</v>
      </c>
      <c r="K12" s="833">
        <v>25.082196870000001</v>
      </c>
    </row>
    <row r="13" spans="1:11" s="374" customFormat="1" ht="28.5" customHeight="1">
      <c r="A13" s="835"/>
      <c r="B13" s="836"/>
      <c r="C13" s="837" t="s">
        <v>791</v>
      </c>
      <c r="D13" s="837" t="s">
        <v>1824</v>
      </c>
      <c r="E13" s="837"/>
      <c r="F13" s="838"/>
      <c r="G13" s="839"/>
      <c r="H13" s="839">
        <f>SUM(H14:H25)</f>
        <v>0</v>
      </c>
      <c r="I13" s="839">
        <f t="shared" ref="I13:J13" si="1">SUM(I14:I25)</f>
        <v>0</v>
      </c>
      <c r="J13" s="839">
        <f t="shared" si="1"/>
        <v>0</v>
      </c>
      <c r="K13" s="838">
        <v>0</v>
      </c>
    </row>
    <row r="14" spans="1:11" s="374" customFormat="1" ht="13.5" customHeight="1">
      <c r="A14" s="840">
        <v>1</v>
      </c>
      <c r="B14" s="841" t="s">
        <v>1825</v>
      </c>
      <c r="C14" s="842" t="s">
        <v>1943</v>
      </c>
      <c r="D14" s="842" t="s">
        <v>1944</v>
      </c>
      <c r="E14" s="842" t="s">
        <v>12</v>
      </c>
      <c r="F14" s="843">
        <v>7.7060000000000004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1825</v>
      </c>
      <c r="C15" s="842" t="s">
        <v>1945</v>
      </c>
      <c r="D15" s="842" t="s">
        <v>51</v>
      </c>
      <c r="E15" s="842" t="s">
        <v>12</v>
      </c>
      <c r="F15" s="843">
        <v>30.824000000000002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1825</v>
      </c>
      <c r="C16" s="842" t="s">
        <v>1946</v>
      </c>
      <c r="D16" s="842" t="s">
        <v>1947</v>
      </c>
      <c r="E16" s="842" t="s">
        <v>12</v>
      </c>
      <c r="F16" s="843">
        <v>9.2469999999999999</v>
      </c>
      <c r="G16" s="844"/>
      <c r="H16" s="844"/>
      <c r="I16" s="844"/>
      <c r="J16" s="844"/>
      <c r="K16" s="843">
        <v>0</v>
      </c>
    </row>
    <row r="17" spans="1:11" s="374" customFormat="1" ht="13.5" customHeight="1">
      <c r="A17" s="840">
        <v>4</v>
      </c>
      <c r="B17" s="841" t="s">
        <v>1825</v>
      </c>
      <c r="C17" s="842" t="s">
        <v>1912</v>
      </c>
      <c r="D17" s="842" t="s">
        <v>1913</v>
      </c>
      <c r="E17" s="842" t="s">
        <v>12</v>
      </c>
      <c r="F17" s="843">
        <v>25.271999999999998</v>
      </c>
      <c r="G17" s="844"/>
      <c r="H17" s="844"/>
      <c r="I17" s="844"/>
      <c r="J17" s="844"/>
      <c r="K17" s="843">
        <v>0</v>
      </c>
    </row>
    <row r="18" spans="1:11" s="374" customFormat="1" ht="13.5" customHeight="1">
      <c r="A18" s="840">
        <v>5</v>
      </c>
      <c r="B18" s="841" t="s">
        <v>1825</v>
      </c>
      <c r="C18" s="842" t="s">
        <v>1914</v>
      </c>
      <c r="D18" s="842" t="s">
        <v>1915</v>
      </c>
      <c r="E18" s="842" t="s">
        <v>12</v>
      </c>
      <c r="F18" s="843">
        <v>16.847999999999999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1825</v>
      </c>
      <c r="C19" s="842" t="s">
        <v>1916</v>
      </c>
      <c r="D19" s="842" t="s">
        <v>1917</v>
      </c>
      <c r="E19" s="842" t="s">
        <v>12</v>
      </c>
      <c r="F19" s="843">
        <v>5.0540000000000003</v>
      </c>
      <c r="G19" s="844"/>
      <c r="H19" s="844"/>
      <c r="I19" s="844"/>
      <c r="J19" s="844"/>
      <c r="K19" s="843">
        <v>0</v>
      </c>
    </row>
    <row r="20" spans="1:11" s="374" customFormat="1" ht="24" customHeight="1">
      <c r="A20" s="840">
        <v>7</v>
      </c>
      <c r="B20" s="841" t="s">
        <v>1825</v>
      </c>
      <c r="C20" s="842" t="s">
        <v>2633</v>
      </c>
      <c r="D20" s="842" t="s">
        <v>2634</v>
      </c>
      <c r="E20" s="842" t="s">
        <v>12</v>
      </c>
      <c r="F20" s="843">
        <v>9.7200000000000006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1825</v>
      </c>
      <c r="C21" s="842" t="s">
        <v>2635</v>
      </c>
      <c r="D21" s="842" t="s">
        <v>2636</v>
      </c>
      <c r="E21" s="842" t="s">
        <v>12</v>
      </c>
      <c r="F21" s="843">
        <v>116.64</v>
      </c>
      <c r="G21" s="844"/>
      <c r="H21" s="844"/>
      <c r="I21" s="844"/>
      <c r="J21" s="844"/>
      <c r="K21" s="843">
        <v>0</v>
      </c>
    </row>
    <row r="22" spans="1:11" s="374" customFormat="1" ht="13.5" customHeight="1">
      <c r="A22" s="840">
        <v>9</v>
      </c>
      <c r="B22" s="841" t="s">
        <v>1825</v>
      </c>
      <c r="C22" s="842" t="s">
        <v>1918</v>
      </c>
      <c r="D22" s="842" t="s">
        <v>265</v>
      </c>
      <c r="E22" s="842" t="s">
        <v>12</v>
      </c>
      <c r="F22" s="843">
        <v>9.7200000000000006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0">
        <v>10</v>
      </c>
      <c r="B23" s="841" t="s">
        <v>1825</v>
      </c>
      <c r="C23" s="842" t="s">
        <v>1733</v>
      </c>
      <c r="D23" s="842" t="s">
        <v>2632</v>
      </c>
      <c r="E23" s="842" t="s">
        <v>15</v>
      </c>
      <c r="F23" s="843">
        <v>17.495999999999999</v>
      </c>
      <c r="G23" s="844"/>
      <c r="H23" s="844"/>
      <c r="I23" s="844"/>
      <c r="J23" s="844"/>
      <c r="K23" s="843">
        <v>0</v>
      </c>
    </row>
    <row r="24" spans="1:11" s="374" customFormat="1" ht="24" customHeight="1">
      <c r="A24" s="840">
        <v>11</v>
      </c>
      <c r="B24" s="841" t="s">
        <v>1825</v>
      </c>
      <c r="C24" s="842" t="s">
        <v>1919</v>
      </c>
      <c r="D24" s="842" t="s">
        <v>1920</v>
      </c>
      <c r="E24" s="842" t="s">
        <v>12</v>
      </c>
      <c r="F24" s="843">
        <v>31.92</v>
      </c>
      <c r="G24" s="844"/>
      <c r="H24" s="844"/>
      <c r="I24" s="844"/>
      <c r="J24" s="844"/>
      <c r="K24" s="843">
        <v>0</v>
      </c>
    </row>
    <row r="25" spans="1:11" s="374" customFormat="1" ht="34.5" customHeight="1">
      <c r="A25" s="845">
        <v>12</v>
      </c>
      <c r="B25" s="846"/>
      <c r="C25" s="847" t="s">
        <v>1948</v>
      </c>
      <c r="D25" s="847" t="s">
        <v>1949</v>
      </c>
      <c r="E25" s="847" t="s">
        <v>850</v>
      </c>
      <c r="F25" s="848">
        <v>1</v>
      </c>
      <c r="G25" s="849"/>
      <c r="H25" s="849"/>
      <c r="I25" s="849"/>
      <c r="J25" s="849"/>
      <c r="K25" s="848">
        <v>0</v>
      </c>
    </row>
    <row r="26" spans="1:11" s="374" customFormat="1" ht="28.5" customHeight="1">
      <c r="A26" s="835"/>
      <c r="B26" s="836"/>
      <c r="C26" s="837" t="s">
        <v>1065</v>
      </c>
      <c r="D26" s="837" t="s">
        <v>1844</v>
      </c>
      <c r="E26" s="837"/>
      <c r="F26" s="838"/>
      <c r="G26" s="839"/>
      <c r="H26" s="839">
        <f>SUM(H27:H30)</f>
        <v>0</v>
      </c>
      <c r="I26" s="839">
        <f t="shared" ref="I26:J26" si="2">SUM(I27:I30)</f>
        <v>0</v>
      </c>
      <c r="J26" s="839">
        <f t="shared" si="2"/>
        <v>0</v>
      </c>
      <c r="K26" s="838">
        <v>22.25667851</v>
      </c>
    </row>
    <row r="27" spans="1:11" s="374" customFormat="1" ht="24" customHeight="1">
      <c r="A27" s="840">
        <v>13</v>
      </c>
      <c r="B27" s="841" t="s">
        <v>1845</v>
      </c>
      <c r="C27" s="842" t="s">
        <v>1846</v>
      </c>
      <c r="D27" s="842" t="s">
        <v>1847</v>
      </c>
      <c r="E27" s="842" t="s">
        <v>12</v>
      </c>
      <c r="F27" s="843">
        <v>10.561999999999999</v>
      </c>
      <c r="G27" s="844"/>
      <c r="H27" s="844"/>
      <c r="I27" s="844"/>
      <c r="J27" s="844"/>
      <c r="K27" s="843">
        <v>19.97041836</v>
      </c>
    </row>
    <row r="28" spans="1:11" s="374" customFormat="1" ht="13.5" customHeight="1">
      <c r="A28" s="840">
        <v>14</v>
      </c>
      <c r="B28" s="841" t="s">
        <v>1845</v>
      </c>
      <c r="C28" s="842" t="s">
        <v>1848</v>
      </c>
      <c r="D28" s="842" t="s">
        <v>2639</v>
      </c>
      <c r="E28" s="842" t="s">
        <v>12</v>
      </c>
      <c r="F28" s="843">
        <v>0.92400000000000004</v>
      </c>
      <c r="G28" s="844"/>
      <c r="H28" s="844"/>
      <c r="I28" s="844"/>
      <c r="J28" s="844"/>
      <c r="K28" s="843">
        <v>2.2235597999999999</v>
      </c>
    </row>
    <row r="29" spans="1:11" s="374" customFormat="1" ht="24" customHeight="1">
      <c r="A29" s="840">
        <v>15</v>
      </c>
      <c r="B29" s="841" t="s">
        <v>1845</v>
      </c>
      <c r="C29" s="842" t="s">
        <v>1850</v>
      </c>
      <c r="D29" s="842" t="s">
        <v>1851</v>
      </c>
      <c r="E29" s="842" t="s">
        <v>13</v>
      </c>
      <c r="F29" s="843">
        <v>1.72</v>
      </c>
      <c r="G29" s="844"/>
      <c r="H29" s="844"/>
      <c r="I29" s="844"/>
      <c r="J29" s="844"/>
      <c r="K29" s="843">
        <v>7.4819999999999999E-3</v>
      </c>
    </row>
    <row r="30" spans="1:11" s="374" customFormat="1" ht="24" customHeight="1">
      <c r="A30" s="840">
        <v>16</v>
      </c>
      <c r="B30" s="841" t="s">
        <v>1845</v>
      </c>
      <c r="C30" s="842" t="s">
        <v>1852</v>
      </c>
      <c r="D30" s="842" t="s">
        <v>1853</v>
      </c>
      <c r="E30" s="842" t="s">
        <v>15</v>
      </c>
      <c r="F30" s="843">
        <v>5.5E-2</v>
      </c>
      <c r="G30" s="844"/>
      <c r="H30" s="844"/>
      <c r="I30" s="844"/>
      <c r="J30" s="844"/>
      <c r="K30" s="843">
        <v>5.5218349999999999E-2</v>
      </c>
    </row>
    <row r="31" spans="1:11" s="374" customFormat="1" ht="28.5" customHeight="1">
      <c r="A31" s="835"/>
      <c r="B31" s="836"/>
      <c r="C31" s="837" t="s">
        <v>1071</v>
      </c>
      <c r="D31" s="837" t="s">
        <v>1854</v>
      </c>
      <c r="E31" s="837"/>
      <c r="F31" s="838"/>
      <c r="G31" s="839"/>
      <c r="H31" s="839">
        <f>SUM(H32:H41)</f>
        <v>0</v>
      </c>
      <c r="I31" s="839">
        <f t="shared" ref="I31:J31" si="3">SUM(I32:I41)</f>
        <v>0</v>
      </c>
      <c r="J31" s="839">
        <f t="shared" si="3"/>
        <v>0</v>
      </c>
      <c r="K31" s="838">
        <v>2.8255183599999998</v>
      </c>
    </row>
    <row r="32" spans="1:11" s="374" customFormat="1" ht="24" customHeight="1">
      <c r="A32" s="840">
        <v>17</v>
      </c>
      <c r="B32" s="841" t="s">
        <v>1845</v>
      </c>
      <c r="C32" s="842" t="s">
        <v>1857</v>
      </c>
      <c r="D32" s="842" t="s">
        <v>1858</v>
      </c>
      <c r="E32" s="842" t="s">
        <v>14</v>
      </c>
      <c r="F32" s="843">
        <v>108</v>
      </c>
      <c r="G32" s="844"/>
      <c r="H32" s="844"/>
      <c r="I32" s="844"/>
      <c r="J32" s="844"/>
      <c r="K32" s="843">
        <v>0</v>
      </c>
    </row>
    <row r="33" spans="1:11" s="374" customFormat="1" ht="13.5" customHeight="1">
      <c r="A33" s="845">
        <v>18</v>
      </c>
      <c r="B33" s="846" t="s">
        <v>1859</v>
      </c>
      <c r="C33" s="847" t="s">
        <v>1860</v>
      </c>
      <c r="D33" s="847" t="s">
        <v>1861</v>
      </c>
      <c r="E33" s="847" t="s">
        <v>14</v>
      </c>
      <c r="F33" s="848">
        <v>118.044</v>
      </c>
      <c r="G33" s="849"/>
      <c r="H33" s="849"/>
      <c r="I33" s="849"/>
      <c r="J33" s="849"/>
      <c r="K33" s="848">
        <v>2.2428360000000001E-2</v>
      </c>
    </row>
    <row r="34" spans="1:11" s="374" customFormat="1" ht="24" customHeight="1">
      <c r="A34" s="840">
        <v>19</v>
      </c>
      <c r="B34" s="841" t="s">
        <v>1845</v>
      </c>
      <c r="C34" s="842" t="s">
        <v>1876</v>
      </c>
      <c r="D34" s="842" t="s">
        <v>1877</v>
      </c>
      <c r="E34" s="842" t="s">
        <v>14</v>
      </c>
      <c r="F34" s="843">
        <v>108</v>
      </c>
      <c r="G34" s="844"/>
      <c r="H34" s="844"/>
      <c r="I34" s="844"/>
      <c r="J34" s="844"/>
      <c r="K34" s="843">
        <v>0</v>
      </c>
    </row>
    <row r="35" spans="1:11" s="374" customFormat="1" ht="24" customHeight="1">
      <c r="A35" s="845">
        <v>20</v>
      </c>
      <c r="B35" s="846" t="s">
        <v>1880</v>
      </c>
      <c r="C35" s="847" t="s">
        <v>1881</v>
      </c>
      <c r="D35" s="847" t="s">
        <v>1950</v>
      </c>
      <c r="E35" s="847" t="s">
        <v>19</v>
      </c>
      <c r="F35" s="848">
        <v>1</v>
      </c>
      <c r="G35" s="849"/>
      <c r="H35" s="849"/>
      <c r="I35" s="849"/>
      <c r="J35" s="849"/>
      <c r="K35" s="848">
        <v>2.8</v>
      </c>
    </row>
    <row r="36" spans="1:11" s="374" customFormat="1" ht="13.5" customHeight="1">
      <c r="A36" s="840">
        <v>21</v>
      </c>
      <c r="B36" s="841" t="s">
        <v>1845</v>
      </c>
      <c r="C36" s="842" t="s">
        <v>1951</v>
      </c>
      <c r="D36" s="842" t="s">
        <v>1952</v>
      </c>
      <c r="E36" s="842" t="s">
        <v>19</v>
      </c>
      <c r="F36" s="843">
        <v>2</v>
      </c>
      <c r="G36" s="844"/>
      <c r="H36" s="844"/>
      <c r="I36" s="844"/>
      <c r="J36" s="844"/>
      <c r="K36" s="843">
        <v>0</v>
      </c>
    </row>
    <row r="37" spans="1:11" s="374" customFormat="1" ht="13.5" customHeight="1">
      <c r="A37" s="840">
        <v>22</v>
      </c>
      <c r="B37" s="841" t="s">
        <v>2021</v>
      </c>
      <c r="C37" s="842" t="s">
        <v>2640</v>
      </c>
      <c r="D37" s="842" t="s">
        <v>2641</v>
      </c>
      <c r="E37" s="842" t="s">
        <v>19</v>
      </c>
      <c r="F37" s="843">
        <v>2</v>
      </c>
      <c r="G37" s="844"/>
      <c r="H37" s="844"/>
      <c r="I37" s="844"/>
      <c r="J37" s="844"/>
      <c r="K37" s="843">
        <v>0</v>
      </c>
    </row>
    <row r="38" spans="1:11" s="374" customFormat="1" ht="24" customHeight="1">
      <c r="A38" s="845">
        <v>23</v>
      </c>
      <c r="B38" s="846" t="s">
        <v>1937</v>
      </c>
      <c r="C38" s="847" t="s">
        <v>2642</v>
      </c>
      <c r="D38" s="847" t="s">
        <v>2643</v>
      </c>
      <c r="E38" s="847" t="s">
        <v>19</v>
      </c>
      <c r="F38" s="848">
        <v>2</v>
      </c>
      <c r="G38" s="849"/>
      <c r="H38" s="849"/>
      <c r="I38" s="849"/>
      <c r="J38" s="849"/>
      <c r="K38" s="848">
        <v>2E-3</v>
      </c>
    </row>
    <row r="39" spans="1:11" s="374" customFormat="1" ht="13.5" customHeight="1">
      <c r="A39" s="845">
        <v>24</v>
      </c>
      <c r="B39" s="846" t="s">
        <v>1937</v>
      </c>
      <c r="C39" s="847" t="s">
        <v>2644</v>
      </c>
      <c r="D39" s="847" t="s">
        <v>2645</v>
      </c>
      <c r="E39" s="847" t="s">
        <v>19</v>
      </c>
      <c r="F39" s="848">
        <v>1</v>
      </c>
      <c r="G39" s="849"/>
      <c r="H39" s="849"/>
      <c r="I39" s="849"/>
      <c r="J39" s="849"/>
      <c r="K39" s="848">
        <v>9.5E-4</v>
      </c>
    </row>
    <row r="40" spans="1:11" s="374" customFormat="1" ht="13.5" customHeight="1">
      <c r="A40" s="840">
        <v>25</v>
      </c>
      <c r="B40" s="841" t="s">
        <v>2021</v>
      </c>
      <c r="C40" s="842" t="s">
        <v>2646</v>
      </c>
      <c r="D40" s="842" t="s">
        <v>2647</v>
      </c>
      <c r="E40" s="842" t="s">
        <v>19</v>
      </c>
      <c r="F40" s="843">
        <v>1</v>
      </c>
      <c r="G40" s="844"/>
      <c r="H40" s="844"/>
      <c r="I40" s="844"/>
      <c r="J40" s="844"/>
      <c r="K40" s="843">
        <v>0</v>
      </c>
    </row>
    <row r="41" spans="1:11" s="374" customFormat="1" ht="13.5" customHeight="1">
      <c r="A41" s="845">
        <v>26</v>
      </c>
      <c r="B41" s="846" t="s">
        <v>1937</v>
      </c>
      <c r="C41" s="847" t="s">
        <v>2648</v>
      </c>
      <c r="D41" s="847" t="s">
        <v>2649</v>
      </c>
      <c r="E41" s="847" t="s">
        <v>19</v>
      </c>
      <c r="F41" s="848">
        <v>1</v>
      </c>
      <c r="G41" s="849"/>
      <c r="H41" s="849"/>
      <c r="I41" s="849"/>
      <c r="J41" s="849"/>
      <c r="K41" s="848">
        <v>1.3999999999999999E-4</v>
      </c>
    </row>
    <row r="42" spans="1:11" s="374" customFormat="1" ht="28.5" customHeight="1">
      <c r="A42" s="835"/>
      <c r="B42" s="836"/>
      <c r="C42" s="837" t="s">
        <v>1606</v>
      </c>
      <c r="D42" s="837" t="s">
        <v>1904</v>
      </c>
      <c r="E42" s="837"/>
      <c r="F42" s="838"/>
      <c r="G42" s="839"/>
      <c r="H42" s="839">
        <f>SUM(H43)</f>
        <v>0</v>
      </c>
      <c r="I42" s="839">
        <f t="shared" ref="I42:J42" si="4">SUM(I43)</f>
        <v>0</v>
      </c>
      <c r="J42" s="839">
        <f t="shared" si="4"/>
        <v>0</v>
      </c>
      <c r="K42" s="838">
        <v>0</v>
      </c>
    </row>
    <row r="43" spans="1:11" s="374" customFormat="1" ht="24" customHeight="1">
      <c r="A43" s="840">
        <v>27</v>
      </c>
      <c r="B43" s="841" t="s">
        <v>1845</v>
      </c>
      <c r="C43" s="842" t="s">
        <v>1953</v>
      </c>
      <c r="D43" s="842" t="s">
        <v>1954</v>
      </c>
      <c r="E43" s="842" t="s">
        <v>15</v>
      </c>
      <c r="F43" s="843">
        <v>25.082000000000001</v>
      </c>
      <c r="G43" s="844"/>
      <c r="H43" s="844"/>
      <c r="I43" s="844"/>
      <c r="J43" s="844"/>
      <c r="K43" s="843">
        <v>0</v>
      </c>
    </row>
    <row r="44" spans="1:11" s="374" customFormat="1" ht="30.75" customHeight="1">
      <c r="A44" s="830"/>
      <c r="B44" s="831"/>
      <c r="C44" s="832" t="s">
        <v>24</v>
      </c>
      <c r="D44" s="832" t="s">
        <v>1926</v>
      </c>
      <c r="E44" s="832"/>
      <c r="F44" s="833"/>
      <c r="G44" s="834"/>
      <c r="H44" s="834">
        <f>SUM(H45)</f>
        <v>0</v>
      </c>
      <c r="I44" s="834">
        <f t="shared" ref="I44:J44" si="5">SUM(I45)</f>
        <v>0</v>
      </c>
      <c r="J44" s="834">
        <f t="shared" si="5"/>
        <v>0</v>
      </c>
      <c r="K44" s="833">
        <v>2.1299999999999999E-2</v>
      </c>
    </row>
    <row r="45" spans="1:11" s="374" customFormat="1" ht="28.5" customHeight="1">
      <c r="A45" s="835"/>
      <c r="B45" s="836"/>
      <c r="C45" s="837" t="s">
        <v>1933</v>
      </c>
      <c r="D45" s="837" t="s">
        <v>1934</v>
      </c>
      <c r="E45" s="837"/>
      <c r="F45" s="838"/>
      <c r="G45" s="839"/>
      <c r="H45" s="839">
        <f>SUM(H46:H49)</f>
        <v>0</v>
      </c>
      <c r="I45" s="839">
        <f t="shared" ref="I45:J45" si="6">SUM(I46:I49)</f>
        <v>0</v>
      </c>
      <c r="J45" s="839">
        <f t="shared" si="6"/>
        <v>0</v>
      </c>
      <c r="K45" s="838">
        <v>2.1299999999999999E-2</v>
      </c>
    </row>
    <row r="46" spans="1:11" s="374" customFormat="1" ht="45" customHeight="1">
      <c r="A46" s="840">
        <v>28</v>
      </c>
      <c r="B46" s="841" t="s">
        <v>1209</v>
      </c>
      <c r="C46" s="842" t="s">
        <v>1955</v>
      </c>
      <c r="D46" s="842" t="s">
        <v>1956</v>
      </c>
      <c r="E46" s="842" t="s">
        <v>850</v>
      </c>
      <c r="F46" s="843">
        <v>1</v>
      </c>
      <c r="G46" s="844"/>
      <c r="H46" s="844"/>
      <c r="I46" s="844"/>
      <c r="J46" s="844"/>
      <c r="K46" s="843">
        <v>0</v>
      </c>
    </row>
    <row r="47" spans="1:11" s="374" customFormat="1" ht="24" customHeight="1">
      <c r="A47" s="845">
        <v>29</v>
      </c>
      <c r="B47" s="846" t="s">
        <v>1937</v>
      </c>
      <c r="C47" s="847" t="s">
        <v>1938</v>
      </c>
      <c r="D47" s="847" t="s">
        <v>1957</v>
      </c>
      <c r="E47" s="847" t="s">
        <v>19</v>
      </c>
      <c r="F47" s="848">
        <v>1</v>
      </c>
      <c r="G47" s="849"/>
      <c r="H47" s="849"/>
      <c r="I47" s="849"/>
      <c r="J47" s="849"/>
      <c r="K47" s="848">
        <v>2.1299999999999999E-2</v>
      </c>
    </row>
    <row r="48" spans="1:11" s="374" customFormat="1" ht="34.5" customHeight="1">
      <c r="A48" s="845">
        <v>30</v>
      </c>
      <c r="B48" s="846"/>
      <c r="C48" s="847" t="s">
        <v>1958</v>
      </c>
      <c r="D48" s="847" t="s">
        <v>1959</v>
      </c>
      <c r="E48" s="847" t="s">
        <v>850</v>
      </c>
      <c r="F48" s="848">
        <v>1</v>
      </c>
      <c r="G48" s="849"/>
      <c r="H48" s="849"/>
      <c r="I48" s="849"/>
      <c r="J48" s="849"/>
      <c r="K48" s="848">
        <v>0</v>
      </c>
    </row>
    <row r="49" spans="1:11" s="374" customFormat="1" ht="13.5" customHeight="1">
      <c r="A49" s="845">
        <v>31</v>
      </c>
      <c r="B49" s="846"/>
      <c r="C49" s="847" t="s">
        <v>1960</v>
      </c>
      <c r="D49" s="847" t="s">
        <v>2650</v>
      </c>
      <c r="E49" s="847" t="s">
        <v>19</v>
      </c>
      <c r="F49" s="848">
        <v>2</v>
      </c>
      <c r="G49" s="849"/>
      <c r="H49" s="849"/>
      <c r="I49" s="849"/>
      <c r="J49" s="849"/>
      <c r="K49" s="848">
        <v>0</v>
      </c>
    </row>
    <row r="50" spans="1:11" s="374" customFormat="1" ht="30.75" customHeight="1">
      <c r="A50" s="850"/>
      <c r="B50" s="851"/>
      <c r="C50" s="852"/>
      <c r="D50" s="852" t="s">
        <v>1910</v>
      </c>
      <c r="E50" s="852"/>
      <c r="F50" s="853"/>
      <c r="G50" s="854"/>
      <c r="H50" s="854">
        <f>SUM(H44,H12)</f>
        <v>0</v>
      </c>
      <c r="I50" s="854">
        <f t="shared" ref="I50:J50" si="7">SUM(I44,I12)</f>
        <v>0</v>
      </c>
      <c r="J50" s="854">
        <f t="shared" si="7"/>
        <v>0</v>
      </c>
      <c r="K50" s="853">
        <v>25.103496870000001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74803149606299213" header="0.31496062992125984" footer="0.31496062992125984"/>
  <pageSetup paperSize="9" scale="97" fitToHeight="0" orientation="landscape" horizontalDpi="4294967295" verticalDpi="4294967295" r:id="rId1"/>
  <headerFooter>
    <oddFooter>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1"/>
  <sheetViews>
    <sheetView topLeftCell="A29" workbookViewId="0">
      <selection activeCell="O29" sqref="O29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9" width="14.5703125" style="859" customWidth="1"/>
    <col min="10" max="10" width="14.710937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122" t="s">
        <v>1814</v>
      </c>
      <c r="B1" s="1122"/>
      <c r="C1" s="1122"/>
      <c r="D1" s="1122"/>
      <c r="E1" s="1122"/>
      <c r="F1" s="1122"/>
      <c r="G1" s="1122"/>
      <c r="H1" s="1122"/>
      <c r="I1" s="1122"/>
      <c r="J1" s="1122"/>
      <c r="K1" s="1122"/>
    </row>
    <row r="2" spans="1:11" s="374" customFormat="1" ht="17.25" customHeight="1">
      <c r="A2" s="819" t="s">
        <v>1815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2.75" customHeight="1">
      <c r="A3" s="819" t="s">
        <v>1961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7" t="s">
        <v>1817</v>
      </c>
      <c r="B5" s="822"/>
      <c r="C5" s="823"/>
      <c r="D5" s="823"/>
      <c r="E5" s="823"/>
      <c r="F5" s="824"/>
      <c r="G5" s="825"/>
      <c r="H5" s="825"/>
      <c r="I5" s="1123"/>
      <c r="J5" s="1124"/>
      <c r="K5" s="1125"/>
    </row>
    <row r="6" spans="1:11" s="374" customFormat="1" ht="12.75" customHeight="1">
      <c r="A6" s="1126" t="s">
        <v>1818</v>
      </c>
      <c r="B6" s="1127"/>
      <c r="C6" s="1127"/>
      <c r="D6" s="1127"/>
      <c r="E6" s="823"/>
      <c r="F6" s="824"/>
      <c r="G6" s="825"/>
      <c r="H6" s="825"/>
      <c r="I6" s="1128" t="s">
        <v>1819</v>
      </c>
      <c r="J6" s="1129"/>
      <c r="K6" s="824"/>
    </row>
    <row r="7" spans="1:11" s="374" customFormat="1" ht="12.75" customHeight="1">
      <c r="A7" s="1126" t="s">
        <v>1820</v>
      </c>
      <c r="B7" s="1127"/>
      <c r="C7" s="1127"/>
      <c r="D7" s="823"/>
      <c r="E7" s="823"/>
      <c r="F7" s="824"/>
      <c r="G7" s="825"/>
      <c r="H7" s="825"/>
      <c r="I7" s="827" t="s">
        <v>1962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1821</v>
      </c>
      <c r="B9" s="828" t="s">
        <v>4</v>
      </c>
      <c r="C9" s="828" t="s">
        <v>5</v>
      </c>
      <c r="D9" s="828" t="s">
        <v>777</v>
      </c>
      <c r="E9" s="828" t="s">
        <v>7</v>
      </c>
      <c r="F9" s="828" t="s">
        <v>778</v>
      </c>
      <c r="G9" s="828" t="s">
        <v>9</v>
      </c>
      <c r="H9" s="828" t="s">
        <v>1822</v>
      </c>
      <c r="I9" s="828" t="s">
        <v>476</v>
      </c>
      <c r="J9" s="828" t="s">
        <v>10</v>
      </c>
      <c r="K9" s="828" t="s">
        <v>780</v>
      </c>
    </row>
    <row r="10" spans="1:11" s="374" customFormat="1" ht="12.75" hidden="1" customHeight="1">
      <c r="A10" s="828" t="s">
        <v>791</v>
      </c>
      <c r="B10" s="828" t="s">
        <v>795</v>
      </c>
      <c r="C10" s="828" t="s">
        <v>987</v>
      </c>
      <c r="D10" s="828" t="s">
        <v>1065</v>
      </c>
      <c r="E10" s="828" t="s">
        <v>1074</v>
      </c>
      <c r="F10" s="828" t="s">
        <v>1176</v>
      </c>
      <c r="G10" s="828" t="s">
        <v>1182</v>
      </c>
      <c r="H10" s="828" t="s">
        <v>1071</v>
      </c>
      <c r="I10" s="828" t="s">
        <v>1193</v>
      </c>
      <c r="J10" s="828" t="s">
        <v>1175</v>
      </c>
      <c r="K10" s="828" t="s">
        <v>1200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1823</v>
      </c>
      <c r="E12" s="832"/>
      <c r="F12" s="833"/>
      <c r="G12" s="834"/>
      <c r="H12" s="834">
        <f>SUM(H13,H25,H27,H29,H48)</f>
        <v>0</v>
      </c>
      <c r="I12" s="834">
        <f t="shared" ref="I12:J12" si="0">SUM(I13,I25,I27,I29,I48)</f>
        <v>0</v>
      </c>
      <c r="J12" s="834">
        <f t="shared" si="0"/>
        <v>0</v>
      </c>
      <c r="K12" s="833">
        <v>51.863135360000001</v>
      </c>
    </row>
    <row r="13" spans="1:11" s="374" customFormat="1" ht="28.5" customHeight="1">
      <c r="A13" s="835"/>
      <c r="B13" s="836"/>
      <c r="C13" s="837" t="s">
        <v>791</v>
      </c>
      <c r="D13" s="837" t="s">
        <v>1824</v>
      </c>
      <c r="E13" s="837"/>
      <c r="F13" s="838"/>
      <c r="G13" s="839"/>
      <c r="H13" s="839">
        <f>SUM(H14:H24)</f>
        <v>0</v>
      </c>
      <c r="I13" s="839">
        <f t="shared" ref="I13:J13" si="1">SUM(I14:I24)</f>
        <v>0</v>
      </c>
      <c r="J13" s="839">
        <f t="shared" si="1"/>
        <v>0</v>
      </c>
      <c r="K13" s="838">
        <v>39.078000000000003</v>
      </c>
    </row>
    <row r="14" spans="1:11" s="374" customFormat="1" ht="24" customHeight="1">
      <c r="A14" s="840">
        <v>1</v>
      </c>
      <c r="B14" s="841" t="s">
        <v>1825</v>
      </c>
      <c r="C14" s="842" t="s">
        <v>1826</v>
      </c>
      <c r="D14" s="842" t="s">
        <v>1827</v>
      </c>
      <c r="E14" s="842" t="s">
        <v>12</v>
      </c>
      <c r="F14" s="843">
        <v>1.2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1825</v>
      </c>
      <c r="C15" s="842" t="s">
        <v>1912</v>
      </c>
      <c r="D15" s="842" t="s">
        <v>1913</v>
      </c>
      <c r="E15" s="842" t="s">
        <v>12</v>
      </c>
      <c r="F15" s="843">
        <v>16.948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1825</v>
      </c>
      <c r="C16" s="842" t="s">
        <v>1914</v>
      </c>
      <c r="D16" s="842" t="s">
        <v>1915</v>
      </c>
      <c r="E16" s="842" t="s">
        <v>12</v>
      </c>
      <c r="F16" s="843">
        <v>25.422000000000001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1825</v>
      </c>
      <c r="C17" s="842" t="s">
        <v>1916</v>
      </c>
      <c r="D17" s="842" t="s">
        <v>1917</v>
      </c>
      <c r="E17" s="842" t="s">
        <v>12</v>
      </c>
      <c r="F17" s="843">
        <v>7.6269999999999998</v>
      </c>
      <c r="G17" s="844"/>
      <c r="H17" s="844"/>
      <c r="I17" s="844"/>
      <c r="J17" s="844"/>
      <c r="K17" s="843">
        <v>0</v>
      </c>
    </row>
    <row r="18" spans="1:11" s="374" customFormat="1" ht="24" customHeight="1">
      <c r="A18" s="840">
        <v>5</v>
      </c>
      <c r="B18" s="841" t="s">
        <v>1825</v>
      </c>
      <c r="C18" s="842" t="s">
        <v>2633</v>
      </c>
      <c r="D18" s="842" t="s">
        <v>2634</v>
      </c>
      <c r="E18" s="842" t="s">
        <v>12</v>
      </c>
      <c r="F18" s="843">
        <v>29.574999999999999</v>
      </c>
      <c r="G18" s="844"/>
      <c r="H18" s="844"/>
      <c r="I18" s="844"/>
      <c r="J18" s="844"/>
      <c r="K18" s="843">
        <v>0</v>
      </c>
    </row>
    <row r="19" spans="1:11" s="374" customFormat="1" ht="24" customHeight="1">
      <c r="A19" s="840">
        <v>6</v>
      </c>
      <c r="B19" s="841" t="s">
        <v>1825</v>
      </c>
      <c r="C19" s="842" t="s">
        <v>2635</v>
      </c>
      <c r="D19" s="842" t="s">
        <v>2636</v>
      </c>
      <c r="E19" s="842" t="s">
        <v>12</v>
      </c>
      <c r="F19" s="843">
        <v>354.9</v>
      </c>
      <c r="G19" s="844"/>
      <c r="H19" s="844"/>
      <c r="I19" s="844"/>
      <c r="J19" s="844"/>
      <c r="K19" s="843">
        <v>0</v>
      </c>
    </row>
    <row r="20" spans="1:11" s="374" customFormat="1" ht="13.5" customHeight="1">
      <c r="A20" s="840">
        <v>7</v>
      </c>
      <c r="B20" s="841" t="s">
        <v>1825</v>
      </c>
      <c r="C20" s="842" t="s">
        <v>1918</v>
      </c>
      <c r="D20" s="842" t="s">
        <v>265</v>
      </c>
      <c r="E20" s="842" t="s">
        <v>12</v>
      </c>
      <c r="F20" s="843">
        <v>29.574999999999999</v>
      </c>
      <c r="G20" s="844"/>
      <c r="H20" s="844"/>
      <c r="I20" s="844"/>
      <c r="J20" s="844"/>
      <c r="K20" s="843">
        <v>0</v>
      </c>
    </row>
    <row r="21" spans="1:11" s="374" customFormat="1" ht="13.5" customHeight="1">
      <c r="A21" s="840">
        <v>8</v>
      </c>
      <c r="B21" s="841" t="s">
        <v>1825</v>
      </c>
      <c r="C21" s="842" t="s">
        <v>1733</v>
      </c>
      <c r="D21" s="842" t="s">
        <v>2632</v>
      </c>
      <c r="E21" s="842" t="s">
        <v>15</v>
      </c>
      <c r="F21" s="843">
        <v>53.234999999999999</v>
      </c>
      <c r="G21" s="844"/>
      <c r="H21" s="844"/>
      <c r="I21" s="844"/>
      <c r="J21" s="844"/>
      <c r="K21" s="843">
        <v>0</v>
      </c>
    </row>
    <row r="22" spans="1:11" s="374" customFormat="1" ht="24" customHeight="1">
      <c r="A22" s="840">
        <v>9</v>
      </c>
      <c r="B22" s="841" t="s">
        <v>1825</v>
      </c>
      <c r="C22" s="842" t="s">
        <v>1919</v>
      </c>
      <c r="D22" s="842" t="s">
        <v>1920</v>
      </c>
      <c r="E22" s="842" t="s">
        <v>12</v>
      </c>
      <c r="F22" s="843">
        <v>12.795</v>
      </c>
      <c r="G22" s="844"/>
      <c r="H22" s="844"/>
      <c r="I22" s="844"/>
      <c r="J22" s="844"/>
      <c r="K22" s="843">
        <v>0</v>
      </c>
    </row>
    <row r="23" spans="1:11" s="374" customFormat="1" ht="24" customHeight="1">
      <c r="A23" s="840">
        <v>10</v>
      </c>
      <c r="B23" s="841" t="s">
        <v>1825</v>
      </c>
      <c r="C23" s="842" t="s">
        <v>1140</v>
      </c>
      <c r="D23" s="842" t="s">
        <v>1840</v>
      </c>
      <c r="E23" s="842" t="s">
        <v>12</v>
      </c>
      <c r="F23" s="843">
        <v>21.71</v>
      </c>
      <c r="G23" s="844"/>
      <c r="H23" s="844"/>
      <c r="I23" s="844"/>
      <c r="J23" s="844"/>
      <c r="K23" s="843">
        <v>0</v>
      </c>
    </row>
    <row r="24" spans="1:11" s="374" customFormat="1" ht="13.5" customHeight="1">
      <c r="A24" s="845">
        <v>11</v>
      </c>
      <c r="B24" s="846" t="s">
        <v>1841</v>
      </c>
      <c r="C24" s="847" t="s">
        <v>1842</v>
      </c>
      <c r="D24" s="847" t="s">
        <v>1843</v>
      </c>
      <c r="E24" s="847" t="s">
        <v>15</v>
      </c>
      <c r="F24" s="848">
        <v>39.078000000000003</v>
      </c>
      <c r="G24" s="849"/>
      <c r="H24" s="849"/>
      <c r="I24" s="849"/>
      <c r="J24" s="849"/>
      <c r="K24" s="848">
        <v>39.078000000000003</v>
      </c>
    </row>
    <row r="25" spans="1:11" s="374" customFormat="1" ht="28.5" customHeight="1">
      <c r="A25" s="835"/>
      <c r="B25" s="836"/>
      <c r="C25" s="837" t="s">
        <v>987</v>
      </c>
      <c r="D25" s="837" t="s">
        <v>1963</v>
      </c>
      <c r="E25" s="837"/>
      <c r="F25" s="838"/>
      <c r="G25" s="839"/>
      <c r="H25" s="839">
        <f>SUM(H26)</f>
        <v>0</v>
      </c>
      <c r="I25" s="839">
        <f t="shared" ref="I25:J25" si="2">SUM(I26)</f>
        <v>0</v>
      </c>
      <c r="J25" s="839">
        <f t="shared" si="2"/>
        <v>0</v>
      </c>
      <c r="K25" s="838">
        <v>0</v>
      </c>
    </row>
    <row r="26" spans="1:11" s="374" customFormat="1" ht="13.5" customHeight="1">
      <c r="A26" s="840">
        <v>12</v>
      </c>
      <c r="B26" s="841" t="s">
        <v>1845</v>
      </c>
      <c r="C26" s="842" t="s">
        <v>1964</v>
      </c>
      <c r="D26" s="842" t="s">
        <v>1965</v>
      </c>
      <c r="E26" s="842" t="s">
        <v>14</v>
      </c>
      <c r="F26" s="843">
        <v>43.5</v>
      </c>
      <c r="G26" s="844"/>
      <c r="H26" s="844"/>
      <c r="I26" s="844"/>
      <c r="J26" s="844"/>
      <c r="K26" s="843">
        <v>0</v>
      </c>
    </row>
    <row r="27" spans="1:11" s="374" customFormat="1" ht="28.5" customHeight="1">
      <c r="A27" s="835"/>
      <c r="B27" s="836"/>
      <c r="C27" s="837" t="s">
        <v>1065</v>
      </c>
      <c r="D27" s="837" t="s">
        <v>1844</v>
      </c>
      <c r="E27" s="837"/>
      <c r="F27" s="838"/>
      <c r="G27" s="839"/>
      <c r="H27" s="839">
        <f>SUM(H28)</f>
        <v>0</v>
      </c>
      <c r="I27" s="839">
        <f t="shared" ref="I27" si="3">SUM(I28)</f>
        <v>0</v>
      </c>
      <c r="J27" s="839">
        <f t="shared" ref="J27" si="4">SUM(J28)</f>
        <v>0</v>
      </c>
      <c r="K27" s="838">
        <v>12.337339500000001</v>
      </c>
    </row>
    <row r="28" spans="1:11" s="374" customFormat="1" ht="24" customHeight="1">
      <c r="A28" s="840">
        <v>13</v>
      </c>
      <c r="B28" s="841" t="s">
        <v>1845</v>
      </c>
      <c r="C28" s="842" t="s">
        <v>1846</v>
      </c>
      <c r="D28" s="842" t="s">
        <v>1847</v>
      </c>
      <c r="E28" s="842" t="s">
        <v>12</v>
      </c>
      <c r="F28" s="843">
        <v>6.5250000000000004</v>
      </c>
      <c r="G28" s="844"/>
      <c r="H28" s="844"/>
      <c r="I28" s="844"/>
      <c r="J28" s="844"/>
      <c r="K28" s="843">
        <v>12.337339500000001</v>
      </c>
    </row>
    <row r="29" spans="1:11" s="374" customFormat="1" ht="28.5" customHeight="1">
      <c r="A29" s="835"/>
      <c r="B29" s="836"/>
      <c r="C29" s="837" t="s">
        <v>1071</v>
      </c>
      <c r="D29" s="837" t="s">
        <v>1854</v>
      </c>
      <c r="E29" s="837"/>
      <c r="F29" s="838"/>
      <c r="G29" s="839"/>
      <c r="H29" s="839">
        <f>SUM(H30:H47)</f>
        <v>0</v>
      </c>
      <c r="I29" s="839">
        <f t="shared" ref="I29:J29" si="5">SUM(I30:I47)</f>
        <v>0</v>
      </c>
      <c r="J29" s="839">
        <f t="shared" si="5"/>
        <v>0</v>
      </c>
      <c r="K29" s="838">
        <v>0.44779585999999999</v>
      </c>
    </row>
    <row r="30" spans="1:11" s="374" customFormat="1" ht="24" customHeight="1">
      <c r="A30" s="840">
        <v>14</v>
      </c>
      <c r="B30" s="841" t="s">
        <v>1845</v>
      </c>
      <c r="C30" s="842" t="s">
        <v>1855</v>
      </c>
      <c r="D30" s="842" t="s">
        <v>1966</v>
      </c>
      <c r="E30" s="842" t="s">
        <v>19</v>
      </c>
      <c r="F30" s="843">
        <v>1</v>
      </c>
      <c r="G30" s="844"/>
      <c r="H30" s="844"/>
      <c r="I30" s="844"/>
      <c r="J30" s="844"/>
      <c r="K30" s="843">
        <v>0.21890000000000001</v>
      </c>
    </row>
    <row r="31" spans="1:11" s="374" customFormat="1" ht="13.5" customHeight="1">
      <c r="A31" s="840">
        <v>15</v>
      </c>
      <c r="B31" s="841" t="s">
        <v>1845</v>
      </c>
      <c r="C31" s="842" t="s">
        <v>1967</v>
      </c>
      <c r="D31" s="842" t="s">
        <v>1968</v>
      </c>
      <c r="E31" s="842" t="s">
        <v>14</v>
      </c>
      <c r="F31" s="843">
        <v>2</v>
      </c>
      <c r="G31" s="844"/>
      <c r="H31" s="844"/>
      <c r="I31" s="844"/>
      <c r="J31" s="844"/>
      <c r="K31" s="843">
        <v>2.0000000000000002E-5</v>
      </c>
    </row>
    <row r="32" spans="1:11" s="374" customFormat="1" ht="24" customHeight="1">
      <c r="A32" s="845">
        <v>16</v>
      </c>
      <c r="B32" s="846" t="s">
        <v>1859</v>
      </c>
      <c r="C32" s="847" t="s">
        <v>1969</v>
      </c>
      <c r="D32" s="847" t="s">
        <v>1970</v>
      </c>
      <c r="E32" s="847" t="s">
        <v>19</v>
      </c>
      <c r="F32" s="848">
        <v>2.1859999999999999</v>
      </c>
      <c r="G32" s="849"/>
      <c r="H32" s="849"/>
      <c r="I32" s="849"/>
      <c r="J32" s="849"/>
      <c r="K32" s="848">
        <v>8.3723800000000004E-3</v>
      </c>
    </row>
    <row r="33" spans="1:11" s="374" customFormat="1" ht="13.5" customHeight="1">
      <c r="A33" s="840">
        <v>17</v>
      </c>
      <c r="B33" s="841" t="s">
        <v>1845</v>
      </c>
      <c r="C33" s="842" t="s">
        <v>1971</v>
      </c>
      <c r="D33" s="842" t="s">
        <v>1972</v>
      </c>
      <c r="E33" s="842" t="s">
        <v>14</v>
      </c>
      <c r="F33" s="843">
        <v>41.5</v>
      </c>
      <c r="G33" s="844"/>
      <c r="H33" s="844"/>
      <c r="I33" s="844"/>
      <c r="J33" s="844"/>
      <c r="K33" s="843">
        <v>4.15E-4</v>
      </c>
    </row>
    <row r="34" spans="1:11" s="374" customFormat="1" ht="24" customHeight="1">
      <c r="A34" s="845">
        <v>18</v>
      </c>
      <c r="B34" s="846" t="s">
        <v>1859</v>
      </c>
      <c r="C34" s="847" t="s">
        <v>1973</v>
      </c>
      <c r="D34" s="847" t="s">
        <v>1974</v>
      </c>
      <c r="E34" s="847" t="s">
        <v>19</v>
      </c>
      <c r="F34" s="848">
        <v>9.0719999999999992</v>
      </c>
      <c r="G34" s="849"/>
      <c r="H34" s="849"/>
      <c r="I34" s="849"/>
      <c r="J34" s="849"/>
      <c r="K34" s="848">
        <v>0.19132848</v>
      </c>
    </row>
    <row r="35" spans="1:11" s="374" customFormat="1" ht="13.5" customHeight="1">
      <c r="A35" s="840">
        <v>19</v>
      </c>
      <c r="B35" s="841" t="s">
        <v>1845</v>
      </c>
      <c r="C35" s="842" t="s">
        <v>1975</v>
      </c>
      <c r="D35" s="842" t="s">
        <v>1976</v>
      </c>
      <c r="E35" s="842" t="s">
        <v>19</v>
      </c>
      <c r="F35" s="843">
        <v>2</v>
      </c>
      <c r="G35" s="844"/>
      <c r="H35" s="844"/>
      <c r="I35" s="844"/>
      <c r="J35" s="844"/>
      <c r="K35" s="843">
        <v>1E-4</v>
      </c>
    </row>
    <row r="36" spans="1:11" s="374" customFormat="1" ht="24" customHeight="1">
      <c r="A36" s="845">
        <v>20</v>
      </c>
      <c r="B36" s="846" t="s">
        <v>1859</v>
      </c>
      <c r="C36" s="847" t="s">
        <v>1977</v>
      </c>
      <c r="D36" s="847" t="s">
        <v>1978</v>
      </c>
      <c r="E36" s="847" t="s">
        <v>19</v>
      </c>
      <c r="F36" s="848">
        <v>2</v>
      </c>
      <c r="G36" s="849"/>
      <c r="H36" s="849"/>
      <c r="I36" s="849"/>
      <c r="J36" s="849"/>
      <c r="K36" s="848">
        <v>1.4400000000000001E-3</v>
      </c>
    </row>
    <row r="37" spans="1:11" s="374" customFormat="1" ht="13.5" customHeight="1">
      <c r="A37" s="840">
        <v>21</v>
      </c>
      <c r="B37" s="841" t="s">
        <v>1845</v>
      </c>
      <c r="C37" s="842" t="s">
        <v>1979</v>
      </c>
      <c r="D37" s="842" t="s">
        <v>1980</v>
      </c>
      <c r="E37" s="842" t="s">
        <v>19</v>
      </c>
      <c r="F37" s="843">
        <v>1</v>
      </c>
      <c r="G37" s="844"/>
      <c r="H37" s="844"/>
      <c r="I37" s="844"/>
      <c r="J37" s="844"/>
      <c r="K37" s="843">
        <v>5.0000000000000002E-5</v>
      </c>
    </row>
    <row r="38" spans="1:11" s="374" customFormat="1" ht="24" customHeight="1">
      <c r="A38" s="845">
        <v>22</v>
      </c>
      <c r="B38" s="846" t="s">
        <v>1859</v>
      </c>
      <c r="C38" s="847" t="s">
        <v>1981</v>
      </c>
      <c r="D38" s="847" t="s">
        <v>1982</v>
      </c>
      <c r="E38" s="847" t="s">
        <v>19</v>
      </c>
      <c r="F38" s="848">
        <v>1</v>
      </c>
      <c r="G38" s="849"/>
      <c r="H38" s="849"/>
      <c r="I38" s="849"/>
      <c r="J38" s="849"/>
      <c r="K38" s="848">
        <v>5.5000000000000003E-4</v>
      </c>
    </row>
    <row r="39" spans="1:11" s="374" customFormat="1" ht="13.5" customHeight="1">
      <c r="A39" s="840">
        <v>23</v>
      </c>
      <c r="B39" s="841" t="s">
        <v>1845</v>
      </c>
      <c r="C39" s="842" t="s">
        <v>1983</v>
      </c>
      <c r="D39" s="842" t="s">
        <v>1984</v>
      </c>
      <c r="E39" s="842" t="s">
        <v>19</v>
      </c>
      <c r="F39" s="843">
        <v>1</v>
      </c>
      <c r="G39" s="844"/>
      <c r="H39" s="844"/>
      <c r="I39" s="844"/>
      <c r="J39" s="844"/>
      <c r="K39" s="843">
        <v>6.9999999999999994E-5</v>
      </c>
    </row>
    <row r="40" spans="1:11" s="374" customFormat="1" ht="24" customHeight="1">
      <c r="A40" s="845">
        <v>24</v>
      </c>
      <c r="B40" s="846" t="s">
        <v>1859</v>
      </c>
      <c r="C40" s="847" t="s">
        <v>1985</v>
      </c>
      <c r="D40" s="847" t="s">
        <v>1986</v>
      </c>
      <c r="E40" s="847" t="s">
        <v>19</v>
      </c>
      <c r="F40" s="848">
        <v>1</v>
      </c>
      <c r="G40" s="849"/>
      <c r="H40" s="849"/>
      <c r="I40" s="849"/>
      <c r="J40" s="849"/>
      <c r="K40" s="848">
        <v>1.9400000000000001E-3</v>
      </c>
    </row>
    <row r="41" spans="1:11" s="374" customFormat="1" ht="13.5" customHeight="1">
      <c r="A41" s="840">
        <v>25</v>
      </c>
      <c r="B41" s="841" t="s">
        <v>1845</v>
      </c>
      <c r="C41" s="842" t="s">
        <v>1987</v>
      </c>
      <c r="D41" s="842" t="s">
        <v>1988</v>
      </c>
      <c r="E41" s="842" t="s">
        <v>19</v>
      </c>
      <c r="F41" s="843">
        <v>4</v>
      </c>
      <c r="G41" s="844"/>
      <c r="H41" s="844"/>
      <c r="I41" s="844"/>
      <c r="J41" s="844"/>
      <c r="K41" s="843">
        <v>2.7999999999999998E-4</v>
      </c>
    </row>
    <row r="42" spans="1:11" s="374" customFormat="1" ht="13.5" customHeight="1">
      <c r="A42" s="845">
        <v>26</v>
      </c>
      <c r="B42" s="846" t="s">
        <v>1859</v>
      </c>
      <c r="C42" s="847" t="s">
        <v>1989</v>
      </c>
      <c r="D42" s="847" t="s">
        <v>1990</v>
      </c>
      <c r="E42" s="847" t="s">
        <v>19</v>
      </c>
      <c r="F42" s="848">
        <v>4</v>
      </c>
      <c r="G42" s="849"/>
      <c r="H42" s="849"/>
      <c r="I42" s="849"/>
      <c r="J42" s="849"/>
      <c r="K42" s="848">
        <v>3.5999999999999999E-3</v>
      </c>
    </row>
    <row r="43" spans="1:11" s="374" customFormat="1" ht="13.5" customHeight="1">
      <c r="A43" s="840">
        <v>27</v>
      </c>
      <c r="B43" s="841" t="s">
        <v>1845</v>
      </c>
      <c r="C43" s="842" t="s">
        <v>1991</v>
      </c>
      <c r="D43" s="842" t="s">
        <v>1992</v>
      </c>
      <c r="E43" s="842" t="s">
        <v>14</v>
      </c>
      <c r="F43" s="843">
        <v>2</v>
      </c>
      <c r="G43" s="844"/>
      <c r="H43" s="844"/>
      <c r="I43" s="844"/>
      <c r="J43" s="844"/>
      <c r="K43" s="843">
        <v>0</v>
      </c>
    </row>
    <row r="44" spans="1:11" s="374" customFormat="1" ht="13.5" customHeight="1">
      <c r="A44" s="840">
        <v>28</v>
      </c>
      <c r="B44" s="841" t="s">
        <v>1845</v>
      </c>
      <c r="C44" s="842" t="s">
        <v>1993</v>
      </c>
      <c r="D44" s="842" t="s">
        <v>1994</v>
      </c>
      <c r="E44" s="842" t="s">
        <v>14</v>
      </c>
      <c r="F44" s="843">
        <v>41.5</v>
      </c>
      <c r="G44" s="844"/>
      <c r="H44" s="844"/>
      <c r="I44" s="844"/>
      <c r="J44" s="844"/>
      <c r="K44" s="843">
        <v>0</v>
      </c>
    </row>
    <row r="45" spans="1:11" s="374" customFormat="1" ht="24" customHeight="1">
      <c r="A45" s="840">
        <v>29</v>
      </c>
      <c r="B45" s="841" t="s">
        <v>1845</v>
      </c>
      <c r="C45" s="842" t="s">
        <v>1995</v>
      </c>
      <c r="D45" s="842" t="s">
        <v>1996</v>
      </c>
      <c r="E45" s="842" t="s">
        <v>19</v>
      </c>
      <c r="F45" s="843">
        <v>2</v>
      </c>
      <c r="G45" s="844"/>
      <c r="H45" s="844"/>
      <c r="I45" s="844"/>
      <c r="J45" s="844"/>
      <c r="K45" s="843">
        <v>6.0000000000000002E-5</v>
      </c>
    </row>
    <row r="46" spans="1:11" s="374" customFormat="1" ht="34.5" customHeight="1">
      <c r="A46" s="845">
        <v>30</v>
      </c>
      <c r="B46" s="846" t="s">
        <v>1859</v>
      </c>
      <c r="C46" s="847" t="s">
        <v>1997</v>
      </c>
      <c r="D46" s="847" t="s">
        <v>1998</v>
      </c>
      <c r="E46" s="847" t="s">
        <v>1871</v>
      </c>
      <c r="F46" s="848">
        <v>1</v>
      </c>
      <c r="G46" s="849"/>
      <c r="H46" s="849"/>
      <c r="I46" s="849"/>
      <c r="J46" s="849"/>
      <c r="K46" s="848">
        <v>1.0290000000000001E-2</v>
      </c>
    </row>
    <row r="47" spans="1:11" s="374" customFormat="1" ht="34.5" customHeight="1">
      <c r="A47" s="845">
        <v>31</v>
      </c>
      <c r="B47" s="846" t="s">
        <v>1859</v>
      </c>
      <c r="C47" s="847" t="s">
        <v>1999</v>
      </c>
      <c r="D47" s="847" t="s">
        <v>2000</v>
      </c>
      <c r="E47" s="847" t="s">
        <v>19</v>
      </c>
      <c r="F47" s="848">
        <v>1</v>
      </c>
      <c r="G47" s="849"/>
      <c r="H47" s="849"/>
      <c r="I47" s="849"/>
      <c r="J47" s="849"/>
      <c r="K47" s="848">
        <v>1.038E-2</v>
      </c>
    </row>
    <row r="48" spans="1:11" s="374" customFormat="1" ht="28.5" customHeight="1">
      <c r="A48" s="835"/>
      <c r="B48" s="836"/>
      <c r="C48" s="837" t="s">
        <v>1606</v>
      </c>
      <c r="D48" s="837" t="s">
        <v>1904</v>
      </c>
      <c r="E48" s="837"/>
      <c r="F48" s="838"/>
      <c r="G48" s="839"/>
      <c r="H48" s="839">
        <f>SUM(H49:H50)</f>
        <v>0</v>
      </c>
      <c r="I48" s="839">
        <f t="shared" ref="I48:J48" si="6">SUM(I49:I50)</f>
        <v>0</v>
      </c>
      <c r="J48" s="839">
        <f t="shared" si="6"/>
        <v>0</v>
      </c>
      <c r="K48" s="838">
        <v>0</v>
      </c>
    </row>
    <row r="49" spans="1:11" s="374" customFormat="1" ht="24" customHeight="1">
      <c r="A49" s="840">
        <v>32</v>
      </c>
      <c r="B49" s="841" t="s">
        <v>1905</v>
      </c>
      <c r="C49" s="842" t="s">
        <v>1798</v>
      </c>
      <c r="D49" s="842" t="s">
        <v>2001</v>
      </c>
      <c r="E49" s="842" t="s">
        <v>15</v>
      </c>
      <c r="F49" s="843">
        <v>36.304000000000002</v>
      </c>
      <c r="G49" s="844"/>
      <c r="H49" s="844"/>
      <c r="I49" s="844"/>
      <c r="J49" s="844"/>
      <c r="K49" s="843">
        <v>0</v>
      </c>
    </row>
    <row r="50" spans="1:11" s="374" customFormat="1" ht="24" customHeight="1">
      <c r="A50" s="840">
        <v>33</v>
      </c>
      <c r="B50" s="841" t="s">
        <v>1845</v>
      </c>
      <c r="C50" s="842" t="s">
        <v>1908</v>
      </c>
      <c r="D50" s="842" t="s">
        <v>1909</v>
      </c>
      <c r="E50" s="842" t="s">
        <v>15</v>
      </c>
      <c r="F50" s="843">
        <v>15.558999999999999</v>
      </c>
      <c r="G50" s="844"/>
      <c r="H50" s="844"/>
      <c r="I50" s="844"/>
      <c r="J50" s="844"/>
      <c r="K50" s="843">
        <v>0</v>
      </c>
    </row>
    <row r="51" spans="1:11" s="374" customFormat="1" ht="30.75" customHeight="1">
      <c r="A51" s="850"/>
      <c r="B51" s="851"/>
      <c r="C51" s="852"/>
      <c r="D51" s="852" t="s">
        <v>1910</v>
      </c>
      <c r="E51" s="852"/>
      <c r="F51" s="853"/>
      <c r="G51" s="854"/>
      <c r="H51" s="854">
        <f>H12</f>
        <v>0</v>
      </c>
      <c r="I51" s="854">
        <f t="shared" ref="I51:J51" si="7">I12</f>
        <v>0</v>
      </c>
      <c r="J51" s="854">
        <f t="shared" si="7"/>
        <v>0</v>
      </c>
      <c r="K51" s="853">
        <v>51.863135360000001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4" fitToHeight="0" orientation="landscape" horizontalDpi="4294967295" verticalDpi="4294967295" r:id="rId1"/>
  <headerFooter>
    <oddFooter>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8"/>
  <sheetViews>
    <sheetView topLeftCell="A80" workbookViewId="0">
      <selection activeCell="M100" sqref="M100"/>
    </sheetView>
  </sheetViews>
  <sheetFormatPr defaultColWidth="9" defaultRowHeight="15"/>
  <cols>
    <col min="1" max="1" width="6.85546875" style="855" customWidth="1"/>
    <col min="2" max="2" width="6.7109375" style="856" customWidth="1"/>
    <col min="3" max="3" width="14" style="857" customWidth="1"/>
    <col min="4" max="4" width="51.140625" style="857" customWidth="1"/>
    <col min="5" max="5" width="4.7109375" style="857" customWidth="1"/>
    <col min="6" max="6" width="9.7109375" style="858" customWidth="1"/>
    <col min="7" max="7" width="9.85546875" style="859" customWidth="1"/>
    <col min="8" max="8" width="17.28515625" style="859" customWidth="1"/>
    <col min="9" max="9" width="16.140625" style="859" customWidth="1"/>
    <col min="10" max="10" width="16.42578125" style="859" customWidth="1"/>
    <col min="11" max="11" width="12.7109375" style="858" hidden="1" customWidth="1"/>
    <col min="12" max="256" width="9" style="860"/>
    <col min="257" max="257" width="6.85546875" style="860" customWidth="1"/>
    <col min="258" max="258" width="6.7109375" style="860" customWidth="1"/>
    <col min="259" max="259" width="14" style="860" customWidth="1"/>
    <col min="260" max="260" width="51.140625" style="860" customWidth="1"/>
    <col min="261" max="261" width="4.7109375" style="860" customWidth="1"/>
    <col min="262" max="262" width="9.7109375" style="860" customWidth="1"/>
    <col min="263" max="263" width="9.85546875" style="860" customWidth="1"/>
    <col min="264" max="264" width="17.28515625" style="860" customWidth="1"/>
    <col min="265" max="265" width="16.140625" style="860" customWidth="1"/>
    <col min="266" max="266" width="16.42578125" style="860" customWidth="1"/>
    <col min="267" max="267" width="12.7109375" style="860" customWidth="1"/>
    <col min="268" max="512" width="9" style="860"/>
    <col min="513" max="513" width="6.85546875" style="860" customWidth="1"/>
    <col min="514" max="514" width="6.7109375" style="860" customWidth="1"/>
    <col min="515" max="515" width="14" style="860" customWidth="1"/>
    <col min="516" max="516" width="51.140625" style="860" customWidth="1"/>
    <col min="517" max="517" width="4.7109375" style="860" customWidth="1"/>
    <col min="518" max="518" width="9.7109375" style="860" customWidth="1"/>
    <col min="519" max="519" width="9.85546875" style="860" customWidth="1"/>
    <col min="520" max="520" width="17.28515625" style="860" customWidth="1"/>
    <col min="521" max="521" width="16.140625" style="860" customWidth="1"/>
    <col min="522" max="522" width="16.42578125" style="860" customWidth="1"/>
    <col min="523" max="523" width="12.7109375" style="860" customWidth="1"/>
    <col min="524" max="768" width="9" style="860"/>
    <col min="769" max="769" width="6.85546875" style="860" customWidth="1"/>
    <col min="770" max="770" width="6.7109375" style="860" customWidth="1"/>
    <col min="771" max="771" width="14" style="860" customWidth="1"/>
    <col min="772" max="772" width="51.140625" style="860" customWidth="1"/>
    <col min="773" max="773" width="4.7109375" style="860" customWidth="1"/>
    <col min="774" max="774" width="9.7109375" style="860" customWidth="1"/>
    <col min="775" max="775" width="9.85546875" style="860" customWidth="1"/>
    <col min="776" max="776" width="17.28515625" style="860" customWidth="1"/>
    <col min="777" max="777" width="16.140625" style="860" customWidth="1"/>
    <col min="778" max="778" width="16.42578125" style="860" customWidth="1"/>
    <col min="779" max="779" width="12.7109375" style="860" customWidth="1"/>
    <col min="780" max="1024" width="9" style="860"/>
    <col min="1025" max="1025" width="6.85546875" style="860" customWidth="1"/>
    <col min="1026" max="1026" width="6.7109375" style="860" customWidth="1"/>
    <col min="1027" max="1027" width="14" style="860" customWidth="1"/>
    <col min="1028" max="1028" width="51.140625" style="860" customWidth="1"/>
    <col min="1029" max="1029" width="4.7109375" style="860" customWidth="1"/>
    <col min="1030" max="1030" width="9.7109375" style="860" customWidth="1"/>
    <col min="1031" max="1031" width="9.85546875" style="860" customWidth="1"/>
    <col min="1032" max="1032" width="17.28515625" style="860" customWidth="1"/>
    <col min="1033" max="1033" width="16.140625" style="860" customWidth="1"/>
    <col min="1034" max="1034" width="16.42578125" style="860" customWidth="1"/>
    <col min="1035" max="1035" width="12.7109375" style="860" customWidth="1"/>
    <col min="1036" max="1280" width="9" style="860"/>
    <col min="1281" max="1281" width="6.85546875" style="860" customWidth="1"/>
    <col min="1282" max="1282" width="6.7109375" style="860" customWidth="1"/>
    <col min="1283" max="1283" width="14" style="860" customWidth="1"/>
    <col min="1284" max="1284" width="51.140625" style="860" customWidth="1"/>
    <col min="1285" max="1285" width="4.7109375" style="860" customWidth="1"/>
    <col min="1286" max="1286" width="9.7109375" style="860" customWidth="1"/>
    <col min="1287" max="1287" width="9.85546875" style="860" customWidth="1"/>
    <col min="1288" max="1288" width="17.28515625" style="860" customWidth="1"/>
    <col min="1289" max="1289" width="16.140625" style="860" customWidth="1"/>
    <col min="1290" max="1290" width="16.42578125" style="860" customWidth="1"/>
    <col min="1291" max="1291" width="12.7109375" style="860" customWidth="1"/>
    <col min="1292" max="1536" width="9" style="860"/>
    <col min="1537" max="1537" width="6.85546875" style="860" customWidth="1"/>
    <col min="1538" max="1538" width="6.7109375" style="860" customWidth="1"/>
    <col min="1539" max="1539" width="14" style="860" customWidth="1"/>
    <col min="1540" max="1540" width="51.140625" style="860" customWidth="1"/>
    <col min="1541" max="1541" width="4.7109375" style="860" customWidth="1"/>
    <col min="1542" max="1542" width="9.7109375" style="860" customWidth="1"/>
    <col min="1543" max="1543" width="9.85546875" style="860" customWidth="1"/>
    <col min="1544" max="1544" width="17.28515625" style="860" customWidth="1"/>
    <col min="1545" max="1545" width="16.140625" style="860" customWidth="1"/>
    <col min="1546" max="1546" width="16.42578125" style="860" customWidth="1"/>
    <col min="1547" max="1547" width="12.7109375" style="860" customWidth="1"/>
    <col min="1548" max="1792" width="9" style="860"/>
    <col min="1793" max="1793" width="6.85546875" style="860" customWidth="1"/>
    <col min="1794" max="1794" width="6.7109375" style="860" customWidth="1"/>
    <col min="1795" max="1795" width="14" style="860" customWidth="1"/>
    <col min="1796" max="1796" width="51.140625" style="860" customWidth="1"/>
    <col min="1797" max="1797" width="4.7109375" style="860" customWidth="1"/>
    <col min="1798" max="1798" width="9.7109375" style="860" customWidth="1"/>
    <col min="1799" max="1799" width="9.85546875" style="860" customWidth="1"/>
    <col min="1800" max="1800" width="17.28515625" style="860" customWidth="1"/>
    <col min="1801" max="1801" width="16.140625" style="860" customWidth="1"/>
    <col min="1802" max="1802" width="16.42578125" style="860" customWidth="1"/>
    <col min="1803" max="1803" width="12.7109375" style="860" customWidth="1"/>
    <col min="1804" max="2048" width="9" style="860"/>
    <col min="2049" max="2049" width="6.85546875" style="860" customWidth="1"/>
    <col min="2050" max="2050" width="6.7109375" style="860" customWidth="1"/>
    <col min="2051" max="2051" width="14" style="860" customWidth="1"/>
    <col min="2052" max="2052" width="51.140625" style="860" customWidth="1"/>
    <col min="2053" max="2053" width="4.7109375" style="860" customWidth="1"/>
    <col min="2054" max="2054" width="9.7109375" style="860" customWidth="1"/>
    <col min="2055" max="2055" width="9.85546875" style="860" customWidth="1"/>
    <col min="2056" max="2056" width="17.28515625" style="860" customWidth="1"/>
    <col min="2057" max="2057" width="16.140625" style="860" customWidth="1"/>
    <col min="2058" max="2058" width="16.42578125" style="860" customWidth="1"/>
    <col min="2059" max="2059" width="12.7109375" style="860" customWidth="1"/>
    <col min="2060" max="2304" width="9" style="860"/>
    <col min="2305" max="2305" width="6.85546875" style="860" customWidth="1"/>
    <col min="2306" max="2306" width="6.7109375" style="860" customWidth="1"/>
    <col min="2307" max="2307" width="14" style="860" customWidth="1"/>
    <col min="2308" max="2308" width="51.140625" style="860" customWidth="1"/>
    <col min="2309" max="2309" width="4.7109375" style="860" customWidth="1"/>
    <col min="2310" max="2310" width="9.7109375" style="860" customWidth="1"/>
    <col min="2311" max="2311" width="9.85546875" style="860" customWidth="1"/>
    <col min="2312" max="2312" width="17.28515625" style="860" customWidth="1"/>
    <col min="2313" max="2313" width="16.140625" style="860" customWidth="1"/>
    <col min="2314" max="2314" width="16.42578125" style="860" customWidth="1"/>
    <col min="2315" max="2315" width="12.7109375" style="860" customWidth="1"/>
    <col min="2316" max="2560" width="9" style="860"/>
    <col min="2561" max="2561" width="6.85546875" style="860" customWidth="1"/>
    <col min="2562" max="2562" width="6.7109375" style="860" customWidth="1"/>
    <col min="2563" max="2563" width="14" style="860" customWidth="1"/>
    <col min="2564" max="2564" width="51.140625" style="860" customWidth="1"/>
    <col min="2565" max="2565" width="4.7109375" style="860" customWidth="1"/>
    <col min="2566" max="2566" width="9.7109375" style="860" customWidth="1"/>
    <col min="2567" max="2567" width="9.85546875" style="860" customWidth="1"/>
    <col min="2568" max="2568" width="17.28515625" style="860" customWidth="1"/>
    <col min="2569" max="2569" width="16.140625" style="860" customWidth="1"/>
    <col min="2570" max="2570" width="16.42578125" style="860" customWidth="1"/>
    <col min="2571" max="2571" width="12.7109375" style="860" customWidth="1"/>
    <col min="2572" max="2816" width="9" style="860"/>
    <col min="2817" max="2817" width="6.85546875" style="860" customWidth="1"/>
    <col min="2818" max="2818" width="6.7109375" style="860" customWidth="1"/>
    <col min="2819" max="2819" width="14" style="860" customWidth="1"/>
    <col min="2820" max="2820" width="51.140625" style="860" customWidth="1"/>
    <col min="2821" max="2821" width="4.7109375" style="860" customWidth="1"/>
    <col min="2822" max="2822" width="9.7109375" style="860" customWidth="1"/>
    <col min="2823" max="2823" width="9.85546875" style="860" customWidth="1"/>
    <col min="2824" max="2824" width="17.28515625" style="860" customWidth="1"/>
    <col min="2825" max="2825" width="16.140625" style="860" customWidth="1"/>
    <col min="2826" max="2826" width="16.42578125" style="860" customWidth="1"/>
    <col min="2827" max="2827" width="12.7109375" style="860" customWidth="1"/>
    <col min="2828" max="3072" width="9" style="860"/>
    <col min="3073" max="3073" width="6.85546875" style="860" customWidth="1"/>
    <col min="3074" max="3074" width="6.7109375" style="860" customWidth="1"/>
    <col min="3075" max="3075" width="14" style="860" customWidth="1"/>
    <col min="3076" max="3076" width="51.140625" style="860" customWidth="1"/>
    <col min="3077" max="3077" width="4.7109375" style="860" customWidth="1"/>
    <col min="3078" max="3078" width="9.7109375" style="860" customWidth="1"/>
    <col min="3079" max="3079" width="9.85546875" style="860" customWidth="1"/>
    <col min="3080" max="3080" width="17.28515625" style="860" customWidth="1"/>
    <col min="3081" max="3081" width="16.140625" style="860" customWidth="1"/>
    <col min="3082" max="3082" width="16.42578125" style="860" customWidth="1"/>
    <col min="3083" max="3083" width="12.7109375" style="860" customWidth="1"/>
    <col min="3084" max="3328" width="9" style="860"/>
    <col min="3329" max="3329" width="6.85546875" style="860" customWidth="1"/>
    <col min="3330" max="3330" width="6.7109375" style="860" customWidth="1"/>
    <col min="3331" max="3331" width="14" style="860" customWidth="1"/>
    <col min="3332" max="3332" width="51.140625" style="860" customWidth="1"/>
    <col min="3333" max="3333" width="4.7109375" style="860" customWidth="1"/>
    <col min="3334" max="3334" width="9.7109375" style="860" customWidth="1"/>
    <col min="3335" max="3335" width="9.85546875" style="860" customWidth="1"/>
    <col min="3336" max="3336" width="17.28515625" style="860" customWidth="1"/>
    <col min="3337" max="3337" width="16.140625" style="860" customWidth="1"/>
    <col min="3338" max="3338" width="16.42578125" style="860" customWidth="1"/>
    <col min="3339" max="3339" width="12.7109375" style="860" customWidth="1"/>
    <col min="3340" max="3584" width="9" style="860"/>
    <col min="3585" max="3585" width="6.85546875" style="860" customWidth="1"/>
    <col min="3586" max="3586" width="6.7109375" style="860" customWidth="1"/>
    <col min="3587" max="3587" width="14" style="860" customWidth="1"/>
    <col min="3588" max="3588" width="51.140625" style="860" customWidth="1"/>
    <col min="3589" max="3589" width="4.7109375" style="860" customWidth="1"/>
    <col min="3590" max="3590" width="9.7109375" style="860" customWidth="1"/>
    <col min="3591" max="3591" width="9.85546875" style="860" customWidth="1"/>
    <col min="3592" max="3592" width="17.28515625" style="860" customWidth="1"/>
    <col min="3593" max="3593" width="16.140625" style="860" customWidth="1"/>
    <col min="3594" max="3594" width="16.42578125" style="860" customWidth="1"/>
    <col min="3595" max="3595" width="12.7109375" style="860" customWidth="1"/>
    <col min="3596" max="3840" width="9" style="860"/>
    <col min="3841" max="3841" width="6.85546875" style="860" customWidth="1"/>
    <col min="3842" max="3842" width="6.7109375" style="860" customWidth="1"/>
    <col min="3843" max="3843" width="14" style="860" customWidth="1"/>
    <col min="3844" max="3844" width="51.140625" style="860" customWidth="1"/>
    <col min="3845" max="3845" width="4.7109375" style="860" customWidth="1"/>
    <col min="3846" max="3846" width="9.7109375" style="860" customWidth="1"/>
    <col min="3847" max="3847" width="9.85546875" style="860" customWidth="1"/>
    <col min="3848" max="3848" width="17.28515625" style="860" customWidth="1"/>
    <col min="3849" max="3849" width="16.140625" style="860" customWidth="1"/>
    <col min="3850" max="3850" width="16.42578125" style="860" customWidth="1"/>
    <col min="3851" max="3851" width="12.7109375" style="860" customWidth="1"/>
    <col min="3852" max="4096" width="9" style="860"/>
    <col min="4097" max="4097" width="6.85546875" style="860" customWidth="1"/>
    <col min="4098" max="4098" width="6.7109375" style="860" customWidth="1"/>
    <col min="4099" max="4099" width="14" style="860" customWidth="1"/>
    <col min="4100" max="4100" width="51.140625" style="860" customWidth="1"/>
    <col min="4101" max="4101" width="4.7109375" style="860" customWidth="1"/>
    <col min="4102" max="4102" width="9.7109375" style="860" customWidth="1"/>
    <col min="4103" max="4103" width="9.85546875" style="860" customWidth="1"/>
    <col min="4104" max="4104" width="17.28515625" style="860" customWidth="1"/>
    <col min="4105" max="4105" width="16.140625" style="860" customWidth="1"/>
    <col min="4106" max="4106" width="16.42578125" style="860" customWidth="1"/>
    <col min="4107" max="4107" width="12.7109375" style="860" customWidth="1"/>
    <col min="4108" max="4352" width="9" style="860"/>
    <col min="4353" max="4353" width="6.85546875" style="860" customWidth="1"/>
    <col min="4354" max="4354" width="6.7109375" style="860" customWidth="1"/>
    <col min="4355" max="4355" width="14" style="860" customWidth="1"/>
    <col min="4356" max="4356" width="51.140625" style="860" customWidth="1"/>
    <col min="4357" max="4357" width="4.7109375" style="860" customWidth="1"/>
    <col min="4358" max="4358" width="9.7109375" style="860" customWidth="1"/>
    <col min="4359" max="4359" width="9.85546875" style="860" customWidth="1"/>
    <col min="4360" max="4360" width="17.28515625" style="860" customWidth="1"/>
    <col min="4361" max="4361" width="16.140625" style="860" customWidth="1"/>
    <col min="4362" max="4362" width="16.42578125" style="860" customWidth="1"/>
    <col min="4363" max="4363" width="12.7109375" style="860" customWidth="1"/>
    <col min="4364" max="4608" width="9" style="860"/>
    <col min="4609" max="4609" width="6.85546875" style="860" customWidth="1"/>
    <col min="4610" max="4610" width="6.7109375" style="860" customWidth="1"/>
    <col min="4611" max="4611" width="14" style="860" customWidth="1"/>
    <col min="4612" max="4612" width="51.140625" style="860" customWidth="1"/>
    <col min="4613" max="4613" width="4.7109375" style="860" customWidth="1"/>
    <col min="4614" max="4614" width="9.7109375" style="860" customWidth="1"/>
    <col min="4615" max="4615" width="9.85546875" style="860" customWidth="1"/>
    <col min="4616" max="4616" width="17.28515625" style="860" customWidth="1"/>
    <col min="4617" max="4617" width="16.140625" style="860" customWidth="1"/>
    <col min="4618" max="4618" width="16.42578125" style="860" customWidth="1"/>
    <col min="4619" max="4619" width="12.7109375" style="860" customWidth="1"/>
    <col min="4620" max="4864" width="9" style="860"/>
    <col min="4865" max="4865" width="6.85546875" style="860" customWidth="1"/>
    <col min="4866" max="4866" width="6.7109375" style="860" customWidth="1"/>
    <col min="4867" max="4867" width="14" style="860" customWidth="1"/>
    <col min="4868" max="4868" width="51.140625" style="860" customWidth="1"/>
    <col min="4869" max="4869" width="4.7109375" style="860" customWidth="1"/>
    <col min="4870" max="4870" width="9.7109375" style="860" customWidth="1"/>
    <col min="4871" max="4871" width="9.85546875" style="860" customWidth="1"/>
    <col min="4872" max="4872" width="17.28515625" style="860" customWidth="1"/>
    <col min="4873" max="4873" width="16.140625" style="860" customWidth="1"/>
    <col min="4874" max="4874" width="16.42578125" style="860" customWidth="1"/>
    <col min="4875" max="4875" width="12.7109375" style="860" customWidth="1"/>
    <col min="4876" max="5120" width="9" style="860"/>
    <col min="5121" max="5121" width="6.85546875" style="860" customWidth="1"/>
    <col min="5122" max="5122" width="6.7109375" style="860" customWidth="1"/>
    <col min="5123" max="5123" width="14" style="860" customWidth="1"/>
    <col min="5124" max="5124" width="51.140625" style="860" customWidth="1"/>
    <col min="5125" max="5125" width="4.7109375" style="860" customWidth="1"/>
    <col min="5126" max="5126" width="9.7109375" style="860" customWidth="1"/>
    <col min="5127" max="5127" width="9.85546875" style="860" customWidth="1"/>
    <col min="5128" max="5128" width="17.28515625" style="860" customWidth="1"/>
    <col min="5129" max="5129" width="16.140625" style="860" customWidth="1"/>
    <col min="5130" max="5130" width="16.42578125" style="860" customWidth="1"/>
    <col min="5131" max="5131" width="12.7109375" style="860" customWidth="1"/>
    <col min="5132" max="5376" width="9" style="860"/>
    <col min="5377" max="5377" width="6.85546875" style="860" customWidth="1"/>
    <col min="5378" max="5378" width="6.7109375" style="860" customWidth="1"/>
    <col min="5379" max="5379" width="14" style="860" customWidth="1"/>
    <col min="5380" max="5380" width="51.140625" style="860" customWidth="1"/>
    <col min="5381" max="5381" width="4.7109375" style="860" customWidth="1"/>
    <col min="5382" max="5382" width="9.7109375" style="860" customWidth="1"/>
    <col min="5383" max="5383" width="9.85546875" style="860" customWidth="1"/>
    <col min="5384" max="5384" width="17.28515625" style="860" customWidth="1"/>
    <col min="5385" max="5385" width="16.140625" style="860" customWidth="1"/>
    <col min="5386" max="5386" width="16.42578125" style="860" customWidth="1"/>
    <col min="5387" max="5387" width="12.7109375" style="860" customWidth="1"/>
    <col min="5388" max="5632" width="9" style="860"/>
    <col min="5633" max="5633" width="6.85546875" style="860" customWidth="1"/>
    <col min="5634" max="5634" width="6.7109375" style="860" customWidth="1"/>
    <col min="5635" max="5635" width="14" style="860" customWidth="1"/>
    <col min="5636" max="5636" width="51.140625" style="860" customWidth="1"/>
    <col min="5637" max="5637" width="4.7109375" style="860" customWidth="1"/>
    <col min="5638" max="5638" width="9.7109375" style="860" customWidth="1"/>
    <col min="5639" max="5639" width="9.85546875" style="860" customWidth="1"/>
    <col min="5640" max="5640" width="17.28515625" style="860" customWidth="1"/>
    <col min="5641" max="5641" width="16.140625" style="860" customWidth="1"/>
    <col min="5642" max="5642" width="16.42578125" style="860" customWidth="1"/>
    <col min="5643" max="5643" width="12.7109375" style="860" customWidth="1"/>
    <col min="5644" max="5888" width="9" style="860"/>
    <col min="5889" max="5889" width="6.85546875" style="860" customWidth="1"/>
    <col min="5890" max="5890" width="6.7109375" style="860" customWidth="1"/>
    <col min="5891" max="5891" width="14" style="860" customWidth="1"/>
    <col min="5892" max="5892" width="51.140625" style="860" customWidth="1"/>
    <col min="5893" max="5893" width="4.7109375" style="860" customWidth="1"/>
    <col min="5894" max="5894" width="9.7109375" style="860" customWidth="1"/>
    <col min="5895" max="5895" width="9.85546875" style="860" customWidth="1"/>
    <col min="5896" max="5896" width="17.28515625" style="860" customWidth="1"/>
    <col min="5897" max="5897" width="16.140625" style="860" customWidth="1"/>
    <col min="5898" max="5898" width="16.42578125" style="860" customWidth="1"/>
    <col min="5899" max="5899" width="12.7109375" style="860" customWidth="1"/>
    <col min="5900" max="6144" width="9" style="860"/>
    <col min="6145" max="6145" width="6.85546875" style="860" customWidth="1"/>
    <col min="6146" max="6146" width="6.7109375" style="860" customWidth="1"/>
    <col min="6147" max="6147" width="14" style="860" customWidth="1"/>
    <col min="6148" max="6148" width="51.140625" style="860" customWidth="1"/>
    <col min="6149" max="6149" width="4.7109375" style="860" customWidth="1"/>
    <col min="6150" max="6150" width="9.7109375" style="860" customWidth="1"/>
    <col min="6151" max="6151" width="9.85546875" style="860" customWidth="1"/>
    <col min="6152" max="6152" width="17.28515625" style="860" customWidth="1"/>
    <col min="6153" max="6153" width="16.140625" style="860" customWidth="1"/>
    <col min="6154" max="6154" width="16.42578125" style="860" customWidth="1"/>
    <col min="6155" max="6155" width="12.7109375" style="860" customWidth="1"/>
    <col min="6156" max="6400" width="9" style="860"/>
    <col min="6401" max="6401" width="6.85546875" style="860" customWidth="1"/>
    <col min="6402" max="6402" width="6.7109375" style="860" customWidth="1"/>
    <col min="6403" max="6403" width="14" style="860" customWidth="1"/>
    <col min="6404" max="6404" width="51.140625" style="860" customWidth="1"/>
    <col min="6405" max="6405" width="4.7109375" style="860" customWidth="1"/>
    <col min="6406" max="6406" width="9.7109375" style="860" customWidth="1"/>
    <col min="6407" max="6407" width="9.85546875" style="860" customWidth="1"/>
    <col min="6408" max="6408" width="17.28515625" style="860" customWidth="1"/>
    <col min="6409" max="6409" width="16.140625" style="860" customWidth="1"/>
    <col min="6410" max="6410" width="16.42578125" style="860" customWidth="1"/>
    <col min="6411" max="6411" width="12.7109375" style="860" customWidth="1"/>
    <col min="6412" max="6656" width="9" style="860"/>
    <col min="6657" max="6657" width="6.85546875" style="860" customWidth="1"/>
    <col min="6658" max="6658" width="6.7109375" style="860" customWidth="1"/>
    <col min="6659" max="6659" width="14" style="860" customWidth="1"/>
    <col min="6660" max="6660" width="51.140625" style="860" customWidth="1"/>
    <col min="6661" max="6661" width="4.7109375" style="860" customWidth="1"/>
    <col min="6662" max="6662" width="9.7109375" style="860" customWidth="1"/>
    <col min="6663" max="6663" width="9.85546875" style="860" customWidth="1"/>
    <col min="6664" max="6664" width="17.28515625" style="860" customWidth="1"/>
    <col min="6665" max="6665" width="16.140625" style="860" customWidth="1"/>
    <col min="6666" max="6666" width="16.42578125" style="860" customWidth="1"/>
    <col min="6667" max="6667" width="12.7109375" style="860" customWidth="1"/>
    <col min="6668" max="6912" width="9" style="860"/>
    <col min="6913" max="6913" width="6.85546875" style="860" customWidth="1"/>
    <col min="6914" max="6914" width="6.7109375" style="860" customWidth="1"/>
    <col min="6915" max="6915" width="14" style="860" customWidth="1"/>
    <col min="6916" max="6916" width="51.140625" style="860" customWidth="1"/>
    <col min="6917" max="6917" width="4.7109375" style="860" customWidth="1"/>
    <col min="6918" max="6918" width="9.7109375" style="860" customWidth="1"/>
    <col min="6919" max="6919" width="9.85546875" style="860" customWidth="1"/>
    <col min="6920" max="6920" width="17.28515625" style="860" customWidth="1"/>
    <col min="6921" max="6921" width="16.140625" style="860" customWidth="1"/>
    <col min="6922" max="6922" width="16.42578125" style="860" customWidth="1"/>
    <col min="6923" max="6923" width="12.7109375" style="860" customWidth="1"/>
    <col min="6924" max="7168" width="9" style="860"/>
    <col min="7169" max="7169" width="6.85546875" style="860" customWidth="1"/>
    <col min="7170" max="7170" width="6.7109375" style="860" customWidth="1"/>
    <col min="7171" max="7171" width="14" style="860" customWidth="1"/>
    <col min="7172" max="7172" width="51.140625" style="860" customWidth="1"/>
    <col min="7173" max="7173" width="4.7109375" style="860" customWidth="1"/>
    <col min="7174" max="7174" width="9.7109375" style="860" customWidth="1"/>
    <col min="7175" max="7175" width="9.85546875" style="860" customWidth="1"/>
    <col min="7176" max="7176" width="17.28515625" style="860" customWidth="1"/>
    <col min="7177" max="7177" width="16.140625" style="860" customWidth="1"/>
    <col min="7178" max="7178" width="16.42578125" style="860" customWidth="1"/>
    <col min="7179" max="7179" width="12.7109375" style="860" customWidth="1"/>
    <col min="7180" max="7424" width="9" style="860"/>
    <col min="7425" max="7425" width="6.85546875" style="860" customWidth="1"/>
    <col min="7426" max="7426" width="6.7109375" style="860" customWidth="1"/>
    <col min="7427" max="7427" width="14" style="860" customWidth="1"/>
    <col min="7428" max="7428" width="51.140625" style="860" customWidth="1"/>
    <col min="7429" max="7429" width="4.7109375" style="860" customWidth="1"/>
    <col min="7430" max="7430" width="9.7109375" style="860" customWidth="1"/>
    <col min="7431" max="7431" width="9.85546875" style="860" customWidth="1"/>
    <col min="7432" max="7432" width="17.28515625" style="860" customWidth="1"/>
    <col min="7433" max="7433" width="16.140625" style="860" customWidth="1"/>
    <col min="7434" max="7434" width="16.42578125" style="860" customWidth="1"/>
    <col min="7435" max="7435" width="12.7109375" style="860" customWidth="1"/>
    <col min="7436" max="7680" width="9" style="860"/>
    <col min="7681" max="7681" width="6.85546875" style="860" customWidth="1"/>
    <col min="7682" max="7682" width="6.7109375" style="860" customWidth="1"/>
    <col min="7683" max="7683" width="14" style="860" customWidth="1"/>
    <col min="7684" max="7684" width="51.140625" style="860" customWidth="1"/>
    <col min="7685" max="7685" width="4.7109375" style="860" customWidth="1"/>
    <col min="7686" max="7686" width="9.7109375" style="860" customWidth="1"/>
    <col min="7687" max="7687" width="9.85546875" style="860" customWidth="1"/>
    <col min="7688" max="7688" width="17.28515625" style="860" customWidth="1"/>
    <col min="7689" max="7689" width="16.140625" style="860" customWidth="1"/>
    <col min="7690" max="7690" width="16.42578125" style="860" customWidth="1"/>
    <col min="7691" max="7691" width="12.7109375" style="860" customWidth="1"/>
    <col min="7692" max="7936" width="9" style="860"/>
    <col min="7937" max="7937" width="6.85546875" style="860" customWidth="1"/>
    <col min="7938" max="7938" width="6.7109375" style="860" customWidth="1"/>
    <col min="7939" max="7939" width="14" style="860" customWidth="1"/>
    <col min="7940" max="7940" width="51.140625" style="860" customWidth="1"/>
    <col min="7941" max="7941" width="4.7109375" style="860" customWidth="1"/>
    <col min="7942" max="7942" width="9.7109375" style="860" customWidth="1"/>
    <col min="7943" max="7943" width="9.85546875" style="860" customWidth="1"/>
    <col min="7944" max="7944" width="17.28515625" style="860" customWidth="1"/>
    <col min="7945" max="7945" width="16.140625" style="860" customWidth="1"/>
    <col min="7946" max="7946" width="16.42578125" style="860" customWidth="1"/>
    <col min="7947" max="7947" width="12.7109375" style="860" customWidth="1"/>
    <col min="7948" max="8192" width="9" style="860"/>
    <col min="8193" max="8193" width="6.85546875" style="860" customWidth="1"/>
    <col min="8194" max="8194" width="6.7109375" style="860" customWidth="1"/>
    <col min="8195" max="8195" width="14" style="860" customWidth="1"/>
    <col min="8196" max="8196" width="51.140625" style="860" customWidth="1"/>
    <col min="8197" max="8197" width="4.7109375" style="860" customWidth="1"/>
    <col min="8198" max="8198" width="9.7109375" style="860" customWidth="1"/>
    <col min="8199" max="8199" width="9.85546875" style="860" customWidth="1"/>
    <col min="8200" max="8200" width="17.28515625" style="860" customWidth="1"/>
    <col min="8201" max="8201" width="16.140625" style="860" customWidth="1"/>
    <col min="8202" max="8202" width="16.42578125" style="860" customWidth="1"/>
    <col min="8203" max="8203" width="12.7109375" style="860" customWidth="1"/>
    <col min="8204" max="8448" width="9" style="860"/>
    <col min="8449" max="8449" width="6.85546875" style="860" customWidth="1"/>
    <col min="8450" max="8450" width="6.7109375" style="860" customWidth="1"/>
    <col min="8451" max="8451" width="14" style="860" customWidth="1"/>
    <col min="8452" max="8452" width="51.140625" style="860" customWidth="1"/>
    <col min="8453" max="8453" width="4.7109375" style="860" customWidth="1"/>
    <col min="8454" max="8454" width="9.7109375" style="860" customWidth="1"/>
    <col min="8455" max="8455" width="9.85546875" style="860" customWidth="1"/>
    <col min="8456" max="8456" width="17.28515625" style="860" customWidth="1"/>
    <col min="8457" max="8457" width="16.140625" style="860" customWidth="1"/>
    <col min="8458" max="8458" width="16.42578125" style="860" customWidth="1"/>
    <col min="8459" max="8459" width="12.7109375" style="860" customWidth="1"/>
    <col min="8460" max="8704" width="9" style="860"/>
    <col min="8705" max="8705" width="6.85546875" style="860" customWidth="1"/>
    <col min="8706" max="8706" width="6.7109375" style="860" customWidth="1"/>
    <col min="8707" max="8707" width="14" style="860" customWidth="1"/>
    <col min="8708" max="8708" width="51.140625" style="860" customWidth="1"/>
    <col min="8709" max="8709" width="4.7109375" style="860" customWidth="1"/>
    <col min="8710" max="8710" width="9.7109375" style="860" customWidth="1"/>
    <col min="8711" max="8711" width="9.85546875" style="860" customWidth="1"/>
    <col min="8712" max="8712" width="17.28515625" style="860" customWidth="1"/>
    <col min="8713" max="8713" width="16.140625" style="860" customWidth="1"/>
    <col min="8714" max="8714" width="16.42578125" style="860" customWidth="1"/>
    <col min="8715" max="8715" width="12.7109375" style="860" customWidth="1"/>
    <col min="8716" max="8960" width="9" style="860"/>
    <col min="8961" max="8961" width="6.85546875" style="860" customWidth="1"/>
    <col min="8962" max="8962" width="6.7109375" style="860" customWidth="1"/>
    <col min="8963" max="8963" width="14" style="860" customWidth="1"/>
    <col min="8964" max="8964" width="51.140625" style="860" customWidth="1"/>
    <col min="8965" max="8965" width="4.7109375" style="860" customWidth="1"/>
    <col min="8966" max="8966" width="9.7109375" style="860" customWidth="1"/>
    <col min="8967" max="8967" width="9.85546875" style="860" customWidth="1"/>
    <col min="8968" max="8968" width="17.28515625" style="860" customWidth="1"/>
    <col min="8969" max="8969" width="16.140625" style="860" customWidth="1"/>
    <col min="8970" max="8970" width="16.42578125" style="860" customWidth="1"/>
    <col min="8971" max="8971" width="12.7109375" style="860" customWidth="1"/>
    <col min="8972" max="9216" width="9" style="860"/>
    <col min="9217" max="9217" width="6.85546875" style="860" customWidth="1"/>
    <col min="9218" max="9218" width="6.7109375" style="860" customWidth="1"/>
    <col min="9219" max="9219" width="14" style="860" customWidth="1"/>
    <col min="9220" max="9220" width="51.140625" style="860" customWidth="1"/>
    <col min="9221" max="9221" width="4.7109375" style="860" customWidth="1"/>
    <col min="9222" max="9222" width="9.7109375" style="860" customWidth="1"/>
    <col min="9223" max="9223" width="9.85546875" style="860" customWidth="1"/>
    <col min="9224" max="9224" width="17.28515625" style="860" customWidth="1"/>
    <col min="9225" max="9225" width="16.140625" style="860" customWidth="1"/>
    <col min="9226" max="9226" width="16.42578125" style="860" customWidth="1"/>
    <col min="9227" max="9227" width="12.7109375" style="860" customWidth="1"/>
    <col min="9228" max="9472" width="9" style="860"/>
    <col min="9473" max="9473" width="6.85546875" style="860" customWidth="1"/>
    <col min="9474" max="9474" width="6.7109375" style="860" customWidth="1"/>
    <col min="9475" max="9475" width="14" style="860" customWidth="1"/>
    <col min="9476" max="9476" width="51.140625" style="860" customWidth="1"/>
    <col min="9477" max="9477" width="4.7109375" style="860" customWidth="1"/>
    <col min="9478" max="9478" width="9.7109375" style="860" customWidth="1"/>
    <col min="9479" max="9479" width="9.85546875" style="860" customWidth="1"/>
    <col min="9480" max="9480" width="17.28515625" style="860" customWidth="1"/>
    <col min="9481" max="9481" width="16.140625" style="860" customWidth="1"/>
    <col min="9482" max="9482" width="16.42578125" style="860" customWidth="1"/>
    <col min="9483" max="9483" width="12.7109375" style="860" customWidth="1"/>
    <col min="9484" max="9728" width="9" style="860"/>
    <col min="9729" max="9729" width="6.85546875" style="860" customWidth="1"/>
    <col min="9730" max="9730" width="6.7109375" style="860" customWidth="1"/>
    <col min="9731" max="9731" width="14" style="860" customWidth="1"/>
    <col min="9732" max="9732" width="51.140625" style="860" customWidth="1"/>
    <col min="9733" max="9733" width="4.7109375" style="860" customWidth="1"/>
    <col min="9734" max="9734" width="9.7109375" style="860" customWidth="1"/>
    <col min="9735" max="9735" width="9.85546875" style="860" customWidth="1"/>
    <col min="9736" max="9736" width="17.28515625" style="860" customWidth="1"/>
    <col min="9737" max="9737" width="16.140625" style="860" customWidth="1"/>
    <col min="9738" max="9738" width="16.42578125" style="860" customWidth="1"/>
    <col min="9739" max="9739" width="12.7109375" style="860" customWidth="1"/>
    <col min="9740" max="9984" width="9" style="860"/>
    <col min="9985" max="9985" width="6.85546875" style="860" customWidth="1"/>
    <col min="9986" max="9986" width="6.7109375" style="860" customWidth="1"/>
    <col min="9987" max="9987" width="14" style="860" customWidth="1"/>
    <col min="9988" max="9988" width="51.140625" style="860" customWidth="1"/>
    <col min="9989" max="9989" width="4.7109375" style="860" customWidth="1"/>
    <col min="9990" max="9990" width="9.7109375" style="860" customWidth="1"/>
    <col min="9991" max="9991" width="9.85546875" style="860" customWidth="1"/>
    <col min="9992" max="9992" width="17.28515625" style="860" customWidth="1"/>
    <col min="9993" max="9993" width="16.140625" style="860" customWidth="1"/>
    <col min="9994" max="9994" width="16.42578125" style="860" customWidth="1"/>
    <col min="9995" max="9995" width="12.7109375" style="860" customWidth="1"/>
    <col min="9996" max="10240" width="9" style="860"/>
    <col min="10241" max="10241" width="6.85546875" style="860" customWidth="1"/>
    <col min="10242" max="10242" width="6.7109375" style="860" customWidth="1"/>
    <col min="10243" max="10243" width="14" style="860" customWidth="1"/>
    <col min="10244" max="10244" width="51.140625" style="860" customWidth="1"/>
    <col min="10245" max="10245" width="4.7109375" style="860" customWidth="1"/>
    <col min="10246" max="10246" width="9.7109375" style="860" customWidth="1"/>
    <col min="10247" max="10247" width="9.85546875" style="860" customWidth="1"/>
    <col min="10248" max="10248" width="17.28515625" style="860" customWidth="1"/>
    <col min="10249" max="10249" width="16.140625" style="860" customWidth="1"/>
    <col min="10250" max="10250" width="16.42578125" style="860" customWidth="1"/>
    <col min="10251" max="10251" width="12.7109375" style="860" customWidth="1"/>
    <col min="10252" max="10496" width="9" style="860"/>
    <col min="10497" max="10497" width="6.85546875" style="860" customWidth="1"/>
    <col min="10498" max="10498" width="6.7109375" style="860" customWidth="1"/>
    <col min="10499" max="10499" width="14" style="860" customWidth="1"/>
    <col min="10500" max="10500" width="51.140625" style="860" customWidth="1"/>
    <col min="10501" max="10501" width="4.7109375" style="860" customWidth="1"/>
    <col min="10502" max="10502" width="9.7109375" style="860" customWidth="1"/>
    <col min="10503" max="10503" width="9.85546875" style="860" customWidth="1"/>
    <col min="10504" max="10504" width="17.28515625" style="860" customWidth="1"/>
    <col min="10505" max="10505" width="16.140625" style="860" customWidth="1"/>
    <col min="10506" max="10506" width="16.42578125" style="860" customWidth="1"/>
    <col min="10507" max="10507" width="12.7109375" style="860" customWidth="1"/>
    <col min="10508" max="10752" width="9" style="860"/>
    <col min="10753" max="10753" width="6.85546875" style="860" customWidth="1"/>
    <col min="10754" max="10754" width="6.7109375" style="860" customWidth="1"/>
    <col min="10755" max="10755" width="14" style="860" customWidth="1"/>
    <col min="10756" max="10756" width="51.140625" style="860" customWidth="1"/>
    <col min="10757" max="10757" width="4.7109375" style="860" customWidth="1"/>
    <col min="10758" max="10758" width="9.7109375" style="860" customWidth="1"/>
    <col min="10759" max="10759" width="9.85546875" style="860" customWidth="1"/>
    <col min="10760" max="10760" width="17.28515625" style="860" customWidth="1"/>
    <col min="10761" max="10761" width="16.140625" style="860" customWidth="1"/>
    <col min="10762" max="10762" width="16.42578125" style="860" customWidth="1"/>
    <col min="10763" max="10763" width="12.7109375" style="860" customWidth="1"/>
    <col min="10764" max="11008" width="9" style="860"/>
    <col min="11009" max="11009" width="6.85546875" style="860" customWidth="1"/>
    <col min="11010" max="11010" width="6.7109375" style="860" customWidth="1"/>
    <col min="11011" max="11011" width="14" style="860" customWidth="1"/>
    <col min="11012" max="11012" width="51.140625" style="860" customWidth="1"/>
    <col min="11013" max="11013" width="4.7109375" style="860" customWidth="1"/>
    <col min="11014" max="11014" width="9.7109375" style="860" customWidth="1"/>
    <col min="11015" max="11015" width="9.85546875" style="860" customWidth="1"/>
    <col min="11016" max="11016" width="17.28515625" style="860" customWidth="1"/>
    <col min="11017" max="11017" width="16.140625" style="860" customWidth="1"/>
    <col min="11018" max="11018" width="16.42578125" style="860" customWidth="1"/>
    <col min="11019" max="11019" width="12.7109375" style="860" customWidth="1"/>
    <col min="11020" max="11264" width="9" style="860"/>
    <col min="11265" max="11265" width="6.85546875" style="860" customWidth="1"/>
    <col min="11266" max="11266" width="6.7109375" style="860" customWidth="1"/>
    <col min="11267" max="11267" width="14" style="860" customWidth="1"/>
    <col min="11268" max="11268" width="51.140625" style="860" customWidth="1"/>
    <col min="11269" max="11269" width="4.7109375" style="860" customWidth="1"/>
    <col min="11270" max="11270" width="9.7109375" style="860" customWidth="1"/>
    <col min="11271" max="11271" width="9.85546875" style="860" customWidth="1"/>
    <col min="11272" max="11272" width="17.28515625" style="860" customWidth="1"/>
    <col min="11273" max="11273" width="16.140625" style="860" customWidth="1"/>
    <col min="11274" max="11274" width="16.42578125" style="860" customWidth="1"/>
    <col min="11275" max="11275" width="12.7109375" style="860" customWidth="1"/>
    <col min="11276" max="11520" width="9" style="860"/>
    <col min="11521" max="11521" width="6.85546875" style="860" customWidth="1"/>
    <col min="11522" max="11522" width="6.7109375" style="860" customWidth="1"/>
    <col min="11523" max="11523" width="14" style="860" customWidth="1"/>
    <col min="11524" max="11524" width="51.140625" style="860" customWidth="1"/>
    <col min="11525" max="11525" width="4.7109375" style="860" customWidth="1"/>
    <col min="11526" max="11526" width="9.7109375" style="860" customWidth="1"/>
    <col min="11527" max="11527" width="9.85546875" style="860" customWidth="1"/>
    <col min="11528" max="11528" width="17.28515625" style="860" customWidth="1"/>
    <col min="11529" max="11529" width="16.140625" style="860" customWidth="1"/>
    <col min="11530" max="11530" width="16.42578125" style="860" customWidth="1"/>
    <col min="11531" max="11531" width="12.7109375" style="860" customWidth="1"/>
    <col min="11532" max="11776" width="9" style="860"/>
    <col min="11777" max="11777" width="6.85546875" style="860" customWidth="1"/>
    <col min="11778" max="11778" width="6.7109375" style="860" customWidth="1"/>
    <col min="11779" max="11779" width="14" style="860" customWidth="1"/>
    <col min="11780" max="11780" width="51.140625" style="860" customWidth="1"/>
    <col min="11781" max="11781" width="4.7109375" style="860" customWidth="1"/>
    <col min="11782" max="11782" width="9.7109375" style="860" customWidth="1"/>
    <col min="11783" max="11783" width="9.85546875" style="860" customWidth="1"/>
    <col min="11784" max="11784" width="17.28515625" style="860" customWidth="1"/>
    <col min="11785" max="11785" width="16.140625" style="860" customWidth="1"/>
    <col min="11786" max="11786" width="16.42578125" style="860" customWidth="1"/>
    <col min="11787" max="11787" width="12.7109375" style="860" customWidth="1"/>
    <col min="11788" max="12032" width="9" style="860"/>
    <col min="12033" max="12033" width="6.85546875" style="860" customWidth="1"/>
    <col min="12034" max="12034" width="6.7109375" style="860" customWidth="1"/>
    <col min="12035" max="12035" width="14" style="860" customWidth="1"/>
    <col min="12036" max="12036" width="51.140625" style="860" customWidth="1"/>
    <col min="12037" max="12037" width="4.7109375" style="860" customWidth="1"/>
    <col min="12038" max="12038" width="9.7109375" style="860" customWidth="1"/>
    <col min="12039" max="12039" width="9.85546875" style="860" customWidth="1"/>
    <col min="12040" max="12040" width="17.28515625" style="860" customWidth="1"/>
    <col min="12041" max="12041" width="16.140625" style="860" customWidth="1"/>
    <col min="12042" max="12042" width="16.42578125" style="860" customWidth="1"/>
    <col min="12043" max="12043" width="12.7109375" style="860" customWidth="1"/>
    <col min="12044" max="12288" width="9" style="860"/>
    <col min="12289" max="12289" width="6.85546875" style="860" customWidth="1"/>
    <col min="12290" max="12290" width="6.7109375" style="860" customWidth="1"/>
    <col min="12291" max="12291" width="14" style="860" customWidth="1"/>
    <col min="12292" max="12292" width="51.140625" style="860" customWidth="1"/>
    <col min="12293" max="12293" width="4.7109375" style="860" customWidth="1"/>
    <col min="12294" max="12294" width="9.7109375" style="860" customWidth="1"/>
    <col min="12295" max="12295" width="9.85546875" style="860" customWidth="1"/>
    <col min="12296" max="12296" width="17.28515625" style="860" customWidth="1"/>
    <col min="12297" max="12297" width="16.140625" style="860" customWidth="1"/>
    <col min="12298" max="12298" width="16.42578125" style="860" customWidth="1"/>
    <col min="12299" max="12299" width="12.7109375" style="860" customWidth="1"/>
    <col min="12300" max="12544" width="9" style="860"/>
    <col min="12545" max="12545" width="6.85546875" style="860" customWidth="1"/>
    <col min="12546" max="12546" width="6.7109375" style="860" customWidth="1"/>
    <col min="12547" max="12547" width="14" style="860" customWidth="1"/>
    <col min="12548" max="12548" width="51.140625" style="860" customWidth="1"/>
    <col min="12549" max="12549" width="4.7109375" style="860" customWidth="1"/>
    <col min="12550" max="12550" width="9.7109375" style="860" customWidth="1"/>
    <col min="12551" max="12551" width="9.85546875" style="860" customWidth="1"/>
    <col min="12552" max="12552" width="17.28515625" style="860" customWidth="1"/>
    <col min="12553" max="12553" width="16.140625" style="860" customWidth="1"/>
    <col min="12554" max="12554" width="16.42578125" style="860" customWidth="1"/>
    <col min="12555" max="12555" width="12.7109375" style="860" customWidth="1"/>
    <col min="12556" max="12800" width="9" style="860"/>
    <col min="12801" max="12801" width="6.85546875" style="860" customWidth="1"/>
    <col min="12802" max="12802" width="6.7109375" style="860" customWidth="1"/>
    <col min="12803" max="12803" width="14" style="860" customWidth="1"/>
    <col min="12804" max="12804" width="51.140625" style="860" customWidth="1"/>
    <col min="12805" max="12805" width="4.7109375" style="860" customWidth="1"/>
    <col min="12806" max="12806" width="9.7109375" style="860" customWidth="1"/>
    <col min="12807" max="12807" width="9.85546875" style="860" customWidth="1"/>
    <col min="12808" max="12808" width="17.28515625" style="860" customWidth="1"/>
    <col min="12809" max="12809" width="16.140625" style="860" customWidth="1"/>
    <col min="12810" max="12810" width="16.42578125" style="860" customWidth="1"/>
    <col min="12811" max="12811" width="12.7109375" style="860" customWidth="1"/>
    <col min="12812" max="13056" width="9" style="860"/>
    <col min="13057" max="13057" width="6.85546875" style="860" customWidth="1"/>
    <col min="13058" max="13058" width="6.7109375" style="860" customWidth="1"/>
    <col min="13059" max="13059" width="14" style="860" customWidth="1"/>
    <col min="13060" max="13060" width="51.140625" style="860" customWidth="1"/>
    <col min="13061" max="13061" width="4.7109375" style="860" customWidth="1"/>
    <col min="13062" max="13062" width="9.7109375" style="860" customWidth="1"/>
    <col min="13063" max="13063" width="9.85546875" style="860" customWidth="1"/>
    <col min="13064" max="13064" width="17.28515625" style="860" customWidth="1"/>
    <col min="13065" max="13065" width="16.140625" style="860" customWidth="1"/>
    <col min="13066" max="13066" width="16.42578125" style="860" customWidth="1"/>
    <col min="13067" max="13067" width="12.7109375" style="860" customWidth="1"/>
    <col min="13068" max="13312" width="9" style="860"/>
    <col min="13313" max="13313" width="6.85546875" style="860" customWidth="1"/>
    <col min="13314" max="13314" width="6.7109375" style="860" customWidth="1"/>
    <col min="13315" max="13315" width="14" style="860" customWidth="1"/>
    <col min="13316" max="13316" width="51.140625" style="860" customWidth="1"/>
    <col min="13317" max="13317" width="4.7109375" style="860" customWidth="1"/>
    <col min="13318" max="13318" width="9.7109375" style="860" customWidth="1"/>
    <col min="13319" max="13319" width="9.85546875" style="860" customWidth="1"/>
    <col min="13320" max="13320" width="17.28515625" style="860" customWidth="1"/>
    <col min="13321" max="13321" width="16.140625" style="860" customWidth="1"/>
    <col min="13322" max="13322" width="16.42578125" style="860" customWidth="1"/>
    <col min="13323" max="13323" width="12.7109375" style="860" customWidth="1"/>
    <col min="13324" max="13568" width="9" style="860"/>
    <col min="13569" max="13569" width="6.85546875" style="860" customWidth="1"/>
    <col min="13570" max="13570" width="6.7109375" style="860" customWidth="1"/>
    <col min="13571" max="13571" width="14" style="860" customWidth="1"/>
    <col min="13572" max="13572" width="51.140625" style="860" customWidth="1"/>
    <col min="13573" max="13573" width="4.7109375" style="860" customWidth="1"/>
    <col min="13574" max="13574" width="9.7109375" style="860" customWidth="1"/>
    <col min="13575" max="13575" width="9.85546875" style="860" customWidth="1"/>
    <col min="13576" max="13576" width="17.28515625" style="860" customWidth="1"/>
    <col min="13577" max="13577" width="16.140625" style="860" customWidth="1"/>
    <col min="13578" max="13578" width="16.42578125" style="860" customWidth="1"/>
    <col min="13579" max="13579" width="12.7109375" style="860" customWidth="1"/>
    <col min="13580" max="13824" width="9" style="860"/>
    <col min="13825" max="13825" width="6.85546875" style="860" customWidth="1"/>
    <col min="13826" max="13826" width="6.7109375" style="860" customWidth="1"/>
    <col min="13827" max="13827" width="14" style="860" customWidth="1"/>
    <col min="13828" max="13828" width="51.140625" style="860" customWidth="1"/>
    <col min="13829" max="13829" width="4.7109375" style="860" customWidth="1"/>
    <col min="13830" max="13830" width="9.7109375" style="860" customWidth="1"/>
    <col min="13831" max="13831" width="9.85546875" style="860" customWidth="1"/>
    <col min="13832" max="13832" width="17.28515625" style="860" customWidth="1"/>
    <col min="13833" max="13833" width="16.140625" style="860" customWidth="1"/>
    <col min="13834" max="13834" width="16.42578125" style="860" customWidth="1"/>
    <col min="13835" max="13835" width="12.7109375" style="860" customWidth="1"/>
    <col min="13836" max="14080" width="9" style="860"/>
    <col min="14081" max="14081" width="6.85546875" style="860" customWidth="1"/>
    <col min="14082" max="14082" width="6.7109375" style="860" customWidth="1"/>
    <col min="14083" max="14083" width="14" style="860" customWidth="1"/>
    <col min="14084" max="14084" width="51.140625" style="860" customWidth="1"/>
    <col min="14085" max="14085" width="4.7109375" style="860" customWidth="1"/>
    <col min="14086" max="14086" width="9.7109375" style="860" customWidth="1"/>
    <col min="14087" max="14087" width="9.85546875" style="860" customWidth="1"/>
    <col min="14088" max="14088" width="17.28515625" style="860" customWidth="1"/>
    <col min="14089" max="14089" width="16.140625" style="860" customWidth="1"/>
    <col min="14090" max="14090" width="16.42578125" style="860" customWidth="1"/>
    <col min="14091" max="14091" width="12.7109375" style="860" customWidth="1"/>
    <col min="14092" max="14336" width="9" style="860"/>
    <col min="14337" max="14337" width="6.85546875" style="860" customWidth="1"/>
    <col min="14338" max="14338" width="6.7109375" style="860" customWidth="1"/>
    <col min="14339" max="14339" width="14" style="860" customWidth="1"/>
    <col min="14340" max="14340" width="51.140625" style="860" customWidth="1"/>
    <col min="14341" max="14341" width="4.7109375" style="860" customWidth="1"/>
    <col min="14342" max="14342" width="9.7109375" style="860" customWidth="1"/>
    <col min="14343" max="14343" width="9.85546875" style="860" customWidth="1"/>
    <col min="14344" max="14344" width="17.28515625" style="860" customWidth="1"/>
    <col min="14345" max="14345" width="16.140625" style="860" customWidth="1"/>
    <col min="14346" max="14346" width="16.42578125" style="860" customWidth="1"/>
    <col min="14347" max="14347" width="12.7109375" style="860" customWidth="1"/>
    <col min="14348" max="14592" width="9" style="860"/>
    <col min="14593" max="14593" width="6.85546875" style="860" customWidth="1"/>
    <col min="14594" max="14594" width="6.7109375" style="860" customWidth="1"/>
    <col min="14595" max="14595" width="14" style="860" customWidth="1"/>
    <col min="14596" max="14596" width="51.140625" style="860" customWidth="1"/>
    <col min="14597" max="14597" width="4.7109375" style="860" customWidth="1"/>
    <col min="14598" max="14598" width="9.7109375" style="860" customWidth="1"/>
    <col min="14599" max="14599" width="9.85546875" style="860" customWidth="1"/>
    <col min="14600" max="14600" width="17.28515625" style="860" customWidth="1"/>
    <col min="14601" max="14601" width="16.140625" style="860" customWidth="1"/>
    <col min="14602" max="14602" width="16.42578125" style="860" customWidth="1"/>
    <col min="14603" max="14603" width="12.7109375" style="860" customWidth="1"/>
    <col min="14604" max="14848" width="9" style="860"/>
    <col min="14849" max="14849" width="6.85546875" style="860" customWidth="1"/>
    <col min="14850" max="14850" width="6.7109375" style="860" customWidth="1"/>
    <col min="14851" max="14851" width="14" style="860" customWidth="1"/>
    <col min="14852" max="14852" width="51.140625" style="860" customWidth="1"/>
    <col min="14853" max="14853" width="4.7109375" style="860" customWidth="1"/>
    <col min="14854" max="14854" width="9.7109375" style="860" customWidth="1"/>
    <col min="14855" max="14855" width="9.85546875" style="860" customWidth="1"/>
    <col min="14856" max="14856" width="17.28515625" style="860" customWidth="1"/>
    <col min="14857" max="14857" width="16.140625" style="860" customWidth="1"/>
    <col min="14858" max="14858" width="16.42578125" style="860" customWidth="1"/>
    <col min="14859" max="14859" width="12.7109375" style="860" customWidth="1"/>
    <col min="14860" max="15104" width="9" style="860"/>
    <col min="15105" max="15105" width="6.85546875" style="860" customWidth="1"/>
    <col min="15106" max="15106" width="6.7109375" style="860" customWidth="1"/>
    <col min="15107" max="15107" width="14" style="860" customWidth="1"/>
    <col min="15108" max="15108" width="51.140625" style="860" customWidth="1"/>
    <col min="15109" max="15109" width="4.7109375" style="860" customWidth="1"/>
    <col min="15110" max="15110" width="9.7109375" style="860" customWidth="1"/>
    <col min="15111" max="15111" width="9.85546875" style="860" customWidth="1"/>
    <col min="15112" max="15112" width="17.28515625" style="860" customWidth="1"/>
    <col min="15113" max="15113" width="16.140625" style="860" customWidth="1"/>
    <col min="15114" max="15114" width="16.42578125" style="860" customWidth="1"/>
    <col min="15115" max="15115" width="12.7109375" style="860" customWidth="1"/>
    <col min="15116" max="15360" width="9" style="860"/>
    <col min="15361" max="15361" width="6.85546875" style="860" customWidth="1"/>
    <col min="15362" max="15362" width="6.7109375" style="860" customWidth="1"/>
    <col min="15363" max="15363" width="14" style="860" customWidth="1"/>
    <col min="15364" max="15364" width="51.140625" style="860" customWidth="1"/>
    <col min="15365" max="15365" width="4.7109375" style="860" customWidth="1"/>
    <col min="15366" max="15366" width="9.7109375" style="860" customWidth="1"/>
    <col min="15367" max="15367" width="9.85546875" style="860" customWidth="1"/>
    <col min="15368" max="15368" width="17.28515625" style="860" customWidth="1"/>
    <col min="15369" max="15369" width="16.140625" style="860" customWidth="1"/>
    <col min="15370" max="15370" width="16.42578125" style="860" customWidth="1"/>
    <col min="15371" max="15371" width="12.7109375" style="860" customWidth="1"/>
    <col min="15372" max="15616" width="9" style="860"/>
    <col min="15617" max="15617" width="6.85546875" style="860" customWidth="1"/>
    <col min="15618" max="15618" width="6.7109375" style="860" customWidth="1"/>
    <col min="15619" max="15619" width="14" style="860" customWidth="1"/>
    <col min="15620" max="15620" width="51.140625" style="860" customWidth="1"/>
    <col min="15621" max="15621" width="4.7109375" style="860" customWidth="1"/>
    <col min="15622" max="15622" width="9.7109375" style="860" customWidth="1"/>
    <col min="15623" max="15623" width="9.85546875" style="860" customWidth="1"/>
    <col min="15624" max="15624" width="17.28515625" style="860" customWidth="1"/>
    <col min="15625" max="15625" width="16.140625" style="860" customWidth="1"/>
    <col min="15626" max="15626" width="16.42578125" style="860" customWidth="1"/>
    <col min="15627" max="15627" width="12.7109375" style="860" customWidth="1"/>
    <col min="15628" max="15872" width="9" style="860"/>
    <col min="15873" max="15873" width="6.85546875" style="860" customWidth="1"/>
    <col min="15874" max="15874" width="6.7109375" style="860" customWidth="1"/>
    <col min="15875" max="15875" width="14" style="860" customWidth="1"/>
    <col min="15876" max="15876" width="51.140625" style="860" customWidth="1"/>
    <col min="15877" max="15877" width="4.7109375" style="860" customWidth="1"/>
    <col min="15878" max="15878" width="9.7109375" style="860" customWidth="1"/>
    <col min="15879" max="15879" width="9.85546875" style="860" customWidth="1"/>
    <col min="15880" max="15880" width="17.28515625" style="860" customWidth="1"/>
    <col min="15881" max="15881" width="16.140625" style="860" customWidth="1"/>
    <col min="15882" max="15882" width="16.42578125" style="860" customWidth="1"/>
    <col min="15883" max="15883" width="12.7109375" style="860" customWidth="1"/>
    <col min="15884" max="16128" width="9" style="860"/>
    <col min="16129" max="16129" width="6.85546875" style="860" customWidth="1"/>
    <col min="16130" max="16130" width="6.7109375" style="860" customWidth="1"/>
    <col min="16131" max="16131" width="14" style="860" customWidth="1"/>
    <col min="16132" max="16132" width="51.140625" style="860" customWidth="1"/>
    <col min="16133" max="16133" width="4.7109375" style="860" customWidth="1"/>
    <col min="16134" max="16134" width="9.7109375" style="860" customWidth="1"/>
    <col min="16135" max="16135" width="9.85546875" style="860" customWidth="1"/>
    <col min="16136" max="16136" width="17.28515625" style="860" customWidth="1"/>
    <col min="16137" max="16137" width="16.140625" style="860" customWidth="1"/>
    <col min="16138" max="16138" width="16.42578125" style="860" customWidth="1"/>
    <col min="16139" max="16139" width="12.7109375" style="860" customWidth="1"/>
    <col min="16140" max="16384" width="9" style="860"/>
  </cols>
  <sheetData>
    <row r="1" spans="1:11" s="374" customFormat="1" ht="27.75" customHeight="1">
      <c r="A1" s="1122" t="s">
        <v>1814</v>
      </c>
      <c r="B1" s="1122"/>
      <c r="C1" s="1122"/>
      <c r="D1" s="1122"/>
      <c r="E1" s="1122"/>
      <c r="F1" s="1122"/>
      <c r="G1" s="1122"/>
      <c r="H1" s="1122"/>
      <c r="I1" s="1122"/>
      <c r="J1" s="1122"/>
      <c r="K1" s="1122"/>
    </row>
    <row r="2" spans="1:11" s="374" customFormat="1" ht="12.75" customHeight="1">
      <c r="A2" s="819" t="s">
        <v>1815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</row>
    <row r="3" spans="1:11" s="374" customFormat="1" ht="12.75" customHeight="1">
      <c r="A3" s="819" t="s">
        <v>2002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</row>
    <row r="4" spans="1:11" s="374" customFormat="1" ht="6.75" customHeight="1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12.75" customHeight="1">
      <c r="A5" s="827" t="s">
        <v>1817</v>
      </c>
      <c r="B5" s="822"/>
      <c r="C5" s="823"/>
      <c r="D5" s="823"/>
      <c r="E5" s="823"/>
      <c r="F5" s="824"/>
      <c r="G5" s="825"/>
      <c r="H5" s="825"/>
      <c r="I5" s="1123"/>
      <c r="J5" s="1124"/>
      <c r="K5" s="1125"/>
    </row>
    <row r="6" spans="1:11" s="374" customFormat="1" ht="12.75" customHeight="1">
      <c r="A6" s="1126" t="s">
        <v>1818</v>
      </c>
      <c r="B6" s="1127"/>
      <c r="C6" s="1127"/>
      <c r="D6" s="1127"/>
      <c r="E6" s="823"/>
      <c r="F6" s="824"/>
      <c r="G6" s="825"/>
      <c r="H6" s="825"/>
      <c r="I6" s="1128" t="s">
        <v>1819</v>
      </c>
      <c r="J6" s="1129"/>
      <c r="K6" s="824"/>
    </row>
    <row r="7" spans="1:11" s="374" customFormat="1" ht="12.75" customHeight="1">
      <c r="A7" s="1126" t="s">
        <v>1820</v>
      </c>
      <c r="B7" s="1127"/>
      <c r="C7" s="1127"/>
      <c r="D7" s="823"/>
      <c r="E7" s="823"/>
      <c r="F7" s="824"/>
      <c r="G7" s="825"/>
      <c r="H7" s="825"/>
      <c r="I7" s="827" t="s">
        <v>2637</v>
      </c>
      <c r="J7" s="825"/>
      <c r="K7" s="824"/>
    </row>
    <row r="8" spans="1:11" s="374" customFormat="1" ht="6.75" customHeight="1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</row>
    <row r="9" spans="1:11" s="374" customFormat="1" ht="29.25" customHeight="1">
      <c r="A9" s="828" t="s">
        <v>1821</v>
      </c>
      <c r="B9" s="828" t="s">
        <v>4</v>
      </c>
      <c r="C9" s="828" t="s">
        <v>5</v>
      </c>
      <c r="D9" s="828" t="s">
        <v>777</v>
      </c>
      <c r="E9" s="828" t="s">
        <v>7</v>
      </c>
      <c r="F9" s="828" t="s">
        <v>778</v>
      </c>
      <c r="G9" s="828" t="s">
        <v>9</v>
      </c>
      <c r="H9" s="828" t="s">
        <v>1822</v>
      </c>
      <c r="I9" s="828" t="s">
        <v>476</v>
      </c>
      <c r="J9" s="828" t="s">
        <v>10</v>
      </c>
      <c r="K9" s="828" t="s">
        <v>780</v>
      </c>
    </row>
    <row r="10" spans="1:11" s="374" customFormat="1" ht="12.75" hidden="1" customHeight="1">
      <c r="A10" s="828" t="s">
        <v>791</v>
      </c>
      <c r="B10" s="828" t="s">
        <v>795</v>
      </c>
      <c r="C10" s="828" t="s">
        <v>987</v>
      </c>
      <c r="D10" s="828" t="s">
        <v>1065</v>
      </c>
      <c r="E10" s="828" t="s">
        <v>1074</v>
      </c>
      <c r="F10" s="828" t="s">
        <v>1176</v>
      </c>
      <c r="G10" s="828" t="s">
        <v>1182</v>
      </c>
      <c r="H10" s="828" t="s">
        <v>1071</v>
      </c>
      <c r="I10" s="828" t="s">
        <v>1193</v>
      </c>
      <c r="J10" s="828" t="s">
        <v>1175</v>
      </c>
      <c r="K10" s="828" t="s">
        <v>1200</v>
      </c>
    </row>
    <row r="11" spans="1:11" s="374" customFormat="1" ht="4.5" customHeight="1">
      <c r="A11" s="829"/>
      <c r="B11" s="829"/>
      <c r="C11" s="829"/>
      <c r="D11" s="829"/>
      <c r="E11" s="829"/>
      <c r="F11" s="829"/>
      <c r="G11" s="829"/>
      <c r="H11" s="829"/>
      <c r="I11" s="829"/>
      <c r="J11" s="829"/>
      <c r="K11" s="829"/>
    </row>
    <row r="12" spans="1:11" s="374" customFormat="1" ht="30.75" customHeight="1">
      <c r="A12" s="830"/>
      <c r="B12" s="831"/>
      <c r="C12" s="832" t="s">
        <v>22</v>
      </c>
      <c r="D12" s="832" t="s">
        <v>1823</v>
      </c>
      <c r="E12" s="832"/>
      <c r="F12" s="833"/>
      <c r="G12" s="834"/>
      <c r="H12" s="834">
        <f>SUM(H13,H29,H32,H34,H38,H85)</f>
        <v>0</v>
      </c>
      <c r="I12" s="834">
        <f t="shared" ref="I12:J12" si="0">SUM(I13,I29,I32,I34,I38,I85)</f>
        <v>0</v>
      </c>
      <c r="J12" s="834">
        <f t="shared" si="0"/>
        <v>0</v>
      </c>
      <c r="K12" s="833">
        <v>501.59793139999999</v>
      </c>
    </row>
    <row r="13" spans="1:11" s="374" customFormat="1" ht="28.5" customHeight="1">
      <c r="A13" s="835"/>
      <c r="B13" s="836"/>
      <c r="C13" s="837" t="s">
        <v>791</v>
      </c>
      <c r="D13" s="837" t="s">
        <v>1824</v>
      </c>
      <c r="E13" s="837"/>
      <c r="F13" s="838"/>
      <c r="G13" s="839"/>
      <c r="H13" s="839">
        <f>SUM(H14:H28)</f>
        <v>0</v>
      </c>
      <c r="I13" s="839">
        <f t="shared" ref="I13:J13" si="1">SUM(I14:I28)</f>
        <v>0</v>
      </c>
      <c r="J13" s="839">
        <f t="shared" si="1"/>
        <v>0</v>
      </c>
      <c r="K13" s="838">
        <v>295.85616399999998</v>
      </c>
    </row>
    <row r="14" spans="1:11" s="374" customFormat="1" ht="24" customHeight="1">
      <c r="A14" s="840">
        <v>1</v>
      </c>
      <c r="B14" s="841" t="s">
        <v>1825</v>
      </c>
      <c r="C14" s="842" t="s">
        <v>1826</v>
      </c>
      <c r="D14" s="842" t="s">
        <v>1827</v>
      </c>
      <c r="E14" s="842" t="s">
        <v>12</v>
      </c>
      <c r="F14" s="843">
        <v>2</v>
      </c>
      <c r="G14" s="844"/>
      <c r="H14" s="844"/>
      <c r="I14" s="844"/>
      <c r="J14" s="844"/>
      <c r="K14" s="843">
        <v>0</v>
      </c>
    </row>
    <row r="15" spans="1:11" s="374" customFormat="1" ht="13.5" customHeight="1">
      <c r="A15" s="840">
        <v>2</v>
      </c>
      <c r="B15" s="841" t="s">
        <v>1825</v>
      </c>
      <c r="C15" s="842" t="s">
        <v>1828</v>
      </c>
      <c r="D15" s="842" t="s">
        <v>1829</v>
      </c>
      <c r="E15" s="842" t="s">
        <v>12</v>
      </c>
      <c r="F15" s="843">
        <v>69.349999999999994</v>
      </c>
      <c r="G15" s="844"/>
      <c r="H15" s="844"/>
      <c r="I15" s="844"/>
      <c r="J15" s="844"/>
      <c r="K15" s="843">
        <v>0</v>
      </c>
    </row>
    <row r="16" spans="1:11" s="374" customFormat="1" ht="13.5" customHeight="1">
      <c r="A16" s="840">
        <v>3</v>
      </c>
      <c r="B16" s="841" t="s">
        <v>1825</v>
      </c>
      <c r="C16" s="842" t="s">
        <v>1830</v>
      </c>
      <c r="D16" s="842" t="s">
        <v>1831</v>
      </c>
      <c r="E16" s="842" t="s">
        <v>12</v>
      </c>
      <c r="F16" s="843">
        <v>277.39999999999998</v>
      </c>
      <c r="G16" s="844"/>
      <c r="H16" s="844"/>
      <c r="I16" s="844"/>
      <c r="J16" s="844"/>
      <c r="K16" s="843">
        <v>0</v>
      </c>
    </row>
    <row r="17" spans="1:11" s="374" customFormat="1" ht="24" customHeight="1">
      <c r="A17" s="840">
        <v>4</v>
      </c>
      <c r="B17" s="841" t="s">
        <v>1825</v>
      </c>
      <c r="C17" s="842" t="s">
        <v>1832</v>
      </c>
      <c r="D17" s="842" t="s">
        <v>1833</v>
      </c>
      <c r="E17" s="842" t="s">
        <v>12</v>
      </c>
      <c r="F17" s="843">
        <v>83.22</v>
      </c>
      <c r="G17" s="844"/>
      <c r="H17" s="844"/>
      <c r="I17" s="844"/>
      <c r="J17" s="844"/>
      <c r="K17" s="843">
        <v>0</v>
      </c>
    </row>
    <row r="18" spans="1:11" s="374" customFormat="1" ht="34.5" customHeight="1">
      <c r="A18" s="840">
        <v>5</v>
      </c>
      <c r="B18" s="841" t="s">
        <v>712</v>
      </c>
      <c r="C18" s="842" t="s">
        <v>2003</v>
      </c>
      <c r="D18" s="842" t="s">
        <v>2004</v>
      </c>
      <c r="E18" s="842" t="s">
        <v>850</v>
      </c>
      <c r="F18" s="843">
        <v>1</v>
      </c>
      <c r="G18" s="844"/>
      <c r="H18" s="844"/>
      <c r="I18" s="844"/>
      <c r="J18" s="844"/>
      <c r="K18" s="843">
        <v>0</v>
      </c>
    </row>
    <row r="19" spans="1:11" s="374" customFormat="1" ht="13.5" customHeight="1">
      <c r="A19" s="840">
        <v>6</v>
      </c>
      <c r="B19" s="841" t="s">
        <v>1825</v>
      </c>
      <c r="C19" s="842" t="s">
        <v>2005</v>
      </c>
      <c r="D19" s="842" t="s">
        <v>2006</v>
      </c>
      <c r="E19" s="842" t="s">
        <v>13</v>
      </c>
      <c r="F19" s="843">
        <v>101.2</v>
      </c>
      <c r="G19" s="844"/>
      <c r="H19" s="844"/>
      <c r="I19" s="844"/>
      <c r="J19" s="844"/>
      <c r="K19" s="843">
        <v>9.8164000000000001E-2</v>
      </c>
    </row>
    <row r="20" spans="1:11" s="374" customFormat="1" ht="13.5" customHeight="1">
      <c r="A20" s="840">
        <v>7</v>
      </c>
      <c r="B20" s="841" t="s">
        <v>1825</v>
      </c>
      <c r="C20" s="842" t="s">
        <v>2007</v>
      </c>
      <c r="D20" s="842" t="s">
        <v>2008</v>
      </c>
      <c r="E20" s="842" t="s">
        <v>13</v>
      </c>
      <c r="F20" s="843">
        <v>101.2</v>
      </c>
      <c r="G20" s="844"/>
      <c r="H20" s="844"/>
      <c r="I20" s="844"/>
      <c r="J20" s="844"/>
      <c r="K20" s="843">
        <v>0</v>
      </c>
    </row>
    <row r="21" spans="1:11" s="374" customFormat="1" ht="24" customHeight="1">
      <c r="A21" s="840">
        <v>8</v>
      </c>
      <c r="B21" s="841" t="s">
        <v>1825</v>
      </c>
      <c r="C21" s="842" t="s">
        <v>2629</v>
      </c>
      <c r="D21" s="842" t="s">
        <v>2630</v>
      </c>
      <c r="E21" s="842" t="s">
        <v>12</v>
      </c>
      <c r="F21" s="843">
        <v>249.22</v>
      </c>
      <c r="G21" s="844"/>
      <c r="H21" s="844"/>
      <c r="I21" s="844"/>
      <c r="J21" s="844"/>
      <c r="K21" s="843">
        <v>0</v>
      </c>
    </row>
    <row r="22" spans="1:11" s="374" customFormat="1" ht="34.5" customHeight="1">
      <c r="A22" s="840">
        <v>9</v>
      </c>
      <c r="B22" s="841" t="s">
        <v>1825</v>
      </c>
      <c r="C22" s="842" t="s">
        <v>1730</v>
      </c>
      <c r="D22" s="842" t="s">
        <v>2631</v>
      </c>
      <c r="E22" s="842" t="s">
        <v>12</v>
      </c>
      <c r="F22" s="843">
        <v>2990.64</v>
      </c>
      <c r="G22" s="844"/>
      <c r="H22" s="844"/>
      <c r="I22" s="844"/>
      <c r="J22" s="844"/>
      <c r="K22" s="843">
        <v>0</v>
      </c>
    </row>
    <row r="23" spans="1:11" s="374" customFormat="1" ht="13.5" customHeight="1">
      <c r="A23" s="840">
        <v>10</v>
      </c>
      <c r="B23" s="841" t="s">
        <v>1825</v>
      </c>
      <c r="C23" s="842" t="s">
        <v>1836</v>
      </c>
      <c r="D23" s="842" t="s">
        <v>1837</v>
      </c>
      <c r="E23" s="842" t="s">
        <v>12</v>
      </c>
      <c r="F23" s="843">
        <v>249.22</v>
      </c>
      <c r="G23" s="844"/>
      <c r="H23" s="844"/>
      <c r="I23" s="844"/>
      <c r="J23" s="844"/>
      <c r="K23" s="843">
        <v>0</v>
      </c>
    </row>
    <row r="24" spans="1:11" s="374" customFormat="1" ht="13.5" customHeight="1">
      <c r="A24" s="840">
        <v>11</v>
      </c>
      <c r="B24" s="841" t="s">
        <v>1825</v>
      </c>
      <c r="C24" s="842" t="s">
        <v>1733</v>
      </c>
      <c r="D24" s="842" t="s">
        <v>2632</v>
      </c>
      <c r="E24" s="842" t="s">
        <v>15</v>
      </c>
      <c r="F24" s="843">
        <v>448.596</v>
      </c>
      <c r="G24" s="844"/>
      <c r="H24" s="844"/>
      <c r="I24" s="844"/>
      <c r="J24" s="844"/>
      <c r="K24" s="843">
        <v>0</v>
      </c>
    </row>
    <row r="25" spans="1:11" s="374" customFormat="1" ht="24" customHeight="1">
      <c r="A25" s="840">
        <v>12</v>
      </c>
      <c r="B25" s="841" t="s">
        <v>1825</v>
      </c>
      <c r="C25" s="842" t="s">
        <v>1838</v>
      </c>
      <c r="D25" s="842" t="s">
        <v>1839</v>
      </c>
      <c r="E25" s="842" t="s">
        <v>12</v>
      </c>
      <c r="F25" s="843">
        <v>97.53</v>
      </c>
      <c r="G25" s="844"/>
      <c r="H25" s="844"/>
      <c r="I25" s="844"/>
      <c r="J25" s="844"/>
      <c r="K25" s="843">
        <v>0</v>
      </c>
    </row>
    <row r="26" spans="1:11" s="374" customFormat="1" ht="24" customHeight="1">
      <c r="A26" s="840">
        <v>13</v>
      </c>
      <c r="B26" s="841" t="s">
        <v>1825</v>
      </c>
      <c r="C26" s="842" t="s">
        <v>1140</v>
      </c>
      <c r="D26" s="842" t="s">
        <v>1840</v>
      </c>
      <c r="E26" s="842" t="s">
        <v>12</v>
      </c>
      <c r="F26" s="843">
        <v>164.31</v>
      </c>
      <c r="G26" s="844"/>
      <c r="H26" s="844"/>
      <c r="I26" s="844"/>
      <c r="J26" s="844"/>
      <c r="K26" s="843">
        <v>0</v>
      </c>
    </row>
    <row r="27" spans="1:11" s="374" customFormat="1" ht="13.5" customHeight="1">
      <c r="A27" s="845">
        <v>14</v>
      </c>
      <c r="B27" s="846" t="s">
        <v>1841</v>
      </c>
      <c r="C27" s="847" t="s">
        <v>1842</v>
      </c>
      <c r="D27" s="847" t="s">
        <v>1843</v>
      </c>
      <c r="E27" s="847" t="s">
        <v>15</v>
      </c>
      <c r="F27" s="848">
        <v>61.686</v>
      </c>
      <c r="G27" s="849"/>
      <c r="H27" s="849"/>
      <c r="I27" s="849"/>
      <c r="J27" s="849"/>
      <c r="K27" s="848">
        <v>61.686</v>
      </c>
    </row>
    <row r="28" spans="1:11" s="374" customFormat="1" ht="13.5" customHeight="1">
      <c r="A28" s="845">
        <v>15</v>
      </c>
      <c r="B28" s="846" t="s">
        <v>1841</v>
      </c>
      <c r="C28" s="847" t="s">
        <v>2009</v>
      </c>
      <c r="D28" s="847" t="s">
        <v>2010</v>
      </c>
      <c r="E28" s="847" t="s">
        <v>15</v>
      </c>
      <c r="F28" s="848">
        <v>234.072</v>
      </c>
      <c r="G28" s="849"/>
      <c r="H28" s="849"/>
      <c r="I28" s="849"/>
      <c r="J28" s="849"/>
      <c r="K28" s="848">
        <v>234.072</v>
      </c>
    </row>
    <row r="29" spans="1:11" s="374" customFormat="1" ht="28.5" customHeight="1">
      <c r="A29" s="835"/>
      <c r="B29" s="836"/>
      <c r="C29" s="837" t="s">
        <v>795</v>
      </c>
      <c r="D29" s="837" t="s">
        <v>2011</v>
      </c>
      <c r="E29" s="837"/>
      <c r="F29" s="838"/>
      <c r="G29" s="839"/>
      <c r="H29" s="839">
        <f>SUM(H30:H31)</f>
        <v>0</v>
      </c>
      <c r="I29" s="839">
        <f t="shared" ref="I29:J29" si="2">SUM(I30:I31)</f>
        <v>0</v>
      </c>
      <c r="J29" s="839">
        <f t="shared" si="2"/>
        <v>0</v>
      </c>
      <c r="K29" s="838">
        <v>85.094748899999999</v>
      </c>
    </row>
    <row r="30" spans="1:11" s="374" customFormat="1" ht="13.5" customHeight="1">
      <c r="A30" s="840">
        <v>16</v>
      </c>
      <c r="B30" s="841" t="s">
        <v>1845</v>
      </c>
      <c r="C30" s="842" t="s">
        <v>2012</v>
      </c>
      <c r="D30" s="842" t="s">
        <v>2013</v>
      </c>
      <c r="E30" s="842" t="s">
        <v>13</v>
      </c>
      <c r="F30" s="843">
        <v>345.03</v>
      </c>
      <c r="G30" s="844"/>
      <c r="H30" s="844"/>
      <c r="I30" s="844"/>
      <c r="J30" s="844"/>
      <c r="K30" s="843">
        <v>85.011941699999994</v>
      </c>
    </row>
    <row r="31" spans="1:11" s="374" customFormat="1" ht="13.5" customHeight="1">
      <c r="A31" s="845">
        <v>17</v>
      </c>
      <c r="B31" s="846" t="s">
        <v>2014</v>
      </c>
      <c r="C31" s="847" t="s">
        <v>2015</v>
      </c>
      <c r="D31" s="847" t="s">
        <v>2016</v>
      </c>
      <c r="E31" s="847" t="s">
        <v>13</v>
      </c>
      <c r="F31" s="848">
        <v>414.036</v>
      </c>
      <c r="G31" s="849"/>
      <c r="H31" s="849"/>
      <c r="I31" s="849"/>
      <c r="J31" s="849"/>
      <c r="K31" s="848">
        <v>8.2807199999999997E-2</v>
      </c>
    </row>
    <row r="32" spans="1:11" s="374" customFormat="1" ht="28.5" customHeight="1">
      <c r="A32" s="835"/>
      <c r="B32" s="836"/>
      <c r="C32" s="837" t="s">
        <v>987</v>
      </c>
      <c r="D32" s="837" t="s">
        <v>1963</v>
      </c>
      <c r="E32" s="837"/>
      <c r="F32" s="838"/>
      <c r="G32" s="839"/>
      <c r="H32" s="839">
        <f>SUM(H33)</f>
        <v>0</v>
      </c>
      <c r="I32" s="839">
        <f t="shared" ref="I32:J32" si="3">SUM(I33)</f>
        <v>0</v>
      </c>
      <c r="J32" s="839">
        <f t="shared" si="3"/>
        <v>0</v>
      </c>
      <c r="K32" s="838">
        <v>0</v>
      </c>
    </row>
    <row r="33" spans="1:11" s="374" customFormat="1" ht="13.5" customHeight="1">
      <c r="A33" s="840">
        <v>18</v>
      </c>
      <c r="B33" s="841" t="s">
        <v>1845</v>
      </c>
      <c r="C33" s="842" t="s">
        <v>1964</v>
      </c>
      <c r="D33" s="842" t="s">
        <v>1965</v>
      </c>
      <c r="E33" s="842" t="s">
        <v>14</v>
      </c>
      <c r="F33" s="843">
        <v>137.5</v>
      </c>
      <c r="G33" s="844"/>
      <c r="H33" s="844"/>
      <c r="I33" s="844"/>
      <c r="J33" s="844"/>
      <c r="K33" s="843">
        <v>0</v>
      </c>
    </row>
    <row r="34" spans="1:11" s="374" customFormat="1" ht="28.5" customHeight="1">
      <c r="A34" s="835"/>
      <c r="B34" s="836"/>
      <c r="C34" s="837" t="s">
        <v>1065</v>
      </c>
      <c r="D34" s="837" t="s">
        <v>1844</v>
      </c>
      <c r="E34" s="837"/>
      <c r="F34" s="838"/>
      <c r="G34" s="839"/>
      <c r="H34" s="839">
        <f>SUM(H35:H37)</f>
        <v>0</v>
      </c>
      <c r="I34" s="839">
        <f t="shared" ref="I34:J34" si="4">SUM(I35:I37)</f>
        <v>0</v>
      </c>
      <c r="J34" s="839">
        <f t="shared" si="4"/>
        <v>0</v>
      </c>
      <c r="K34" s="838">
        <v>116.0212722</v>
      </c>
    </row>
    <row r="35" spans="1:11" s="374" customFormat="1" ht="24" customHeight="1">
      <c r="A35" s="840">
        <v>19</v>
      </c>
      <c r="B35" s="841" t="s">
        <v>1845</v>
      </c>
      <c r="C35" s="842" t="s">
        <v>1846</v>
      </c>
      <c r="D35" s="842" t="s">
        <v>1847</v>
      </c>
      <c r="E35" s="842" t="s">
        <v>12</v>
      </c>
      <c r="F35" s="843">
        <v>61.24</v>
      </c>
      <c r="G35" s="844"/>
      <c r="H35" s="844"/>
      <c r="I35" s="844"/>
      <c r="J35" s="844"/>
      <c r="K35" s="843">
        <v>115.7913672</v>
      </c>
    </row>
    <row r="36" spans="1:11" s="374" customFormat="1" ht="13.5" customHeight="1">
      <c r="A36" s="840">
        <v>20</v>
      </c>
      <c r="B36" s="841" t="s">
        <v>1845</v>
      </c>
      <c r="C36" s="842" t="s">
        <v>2017</v>
      </c>
      <c r="D36" s="842" t="s">
        <v>2018</v>
      </c>
      <c r="E36" s="842" t="s">
        <v>19</v>
      </c>
      <c r="F36" s="843">
        <v>3</v>
      </c>
      <c r="G36" s="844"/>
      <c r="H36" s="844"/>
      <c r="I36" s="844"/>
      <c r="J36" s="844"/>
      <c r="K36" s="843">
        <v>1.9800000000000002E-2</v>
      </c>
    </row>
    <row r="37" spans="1:11" s="374" customFormat="1" ht="13.5" customHeight="1">
      <c r="A37" s="845">
        <v>21</v>
      </c>
      <c r="B37" s="846" t="s">
        <v>1889</v>
      </c>
      <c r="C37" s="847" t="s">
        <v>2019</v>
      </c>
      <c r="D37" s="847" t="s">
        <v>2020</v>
      </c>
      <c r="E37" s="847" t="s">
        <v>19</v>
      </c>
      <c r="F37" s="848">
        <v>3.0449999999999999</v>
      </c>
      <c r="G37" s="849"/>
      <c r="H37" s="849"/>
      <c r="I37" s="849"/>
      <c r="J37" s="849"/>
      <c r="K37" s="848">
        <v>0.21010499999999999</v>
      </c>
    </row>
    <row r="38" spans="1:11" s="374" customFormat="1" ht="28.5" customHeight="1">
      <c r="A38" s="835"/>
      <c r="B38" s="836"/>
      <c r="C38" s="837" t="s">
        <v>1071</v>
      </c>
      <c r="D38" s="837" t="s">
        <v>1854</v>
      </c>
      <c r="E38" s="837"/>
      <c r="F38" s="838"/>
      <c r="G38" s="839"/>
      <c r="H38" s="839">
        <f>SUM(H39:H84)</f>
        <v>0</v>
      </c>
      <c r="I38" s="839">
        <f t="shared" ref="I38:J38" si="5">SUM(I39:I84)</f>
        <v>0</v>
      </c>
      <c r="J38" s="839">
        <f t="shared" si="5"/>
        <v>0</v>
      </c>
      <c r="K38" s="838">
        <v>4.6257463000000003</v>
      </c>
    </row>
    <row r="39" spans="1:11" s="374" customFormat="1" ht="24" customHeight="1">
      <c r="A39" s="840">
        <v>22</v>
      </c>
      <c r="B39" s="841" t="s">
        <v>2021</v>
      </c>
      <c r="C39" s="842" t="s">
        <v>2022</v>
      </c>
      <c r="D39" s="842" t="s">
        <v>2023</v>
      </c>
      <c r="E39" s="842" t="s">
        <v>14</v>
      </c>
      <c r="F39" s="843">
        <v>427</v>
      </c>
      <c r="G39" s="844"/>
      <c r="H39" s="844"/>
      <c r="I39" s="844"/>
      <c r="J39" s="844"/>
      <c r="K39" s="843">
        <v>0</v>
      </c>
    </row>
    <row r="40" spans="1:11" s="374" customFormat="1" ht="13.5" customHeight="1">
      <c r="A40" s="845">
        <v>23</v>
      </c>
      <c r="B40" s="846"/>
      <c r="C40" s="847" t="s">
        <v>2024</v>
      </c>
      <c r="D40" s="847" t="s">
        <v>2025</v>
      </c>
      <c r="E40" s="847" t="s">
        <v>14</v>
      </c>
      <c r="F40" s="848">
        <v>427</v>
      </c>
      <c r="G40" s="849"/>
      <c r="H40" s="849"/>
      <c r="I40" s="849"/>
      <c r="J40" s="849"/>
      <c r="K40" s="848">
        <v>0</v>
      </c>
    </row>
    <row r="41" spans="1:11" s="374" customFormat="1" ht="24" customHeight="1">
      <c r="A41" s="840">
        <v>24</v>
      </c>
      <c r="B41" s="841" t="s">
        <v>2021</v>
      </c>
      <c r="C41" s="842" t="s">
        <v>2026</v>
      </c>
      <c r="D41" s="842" t="s">
        <v>2027</v>
      </c>
      <c r="E41" s="842" t="s">
        <v>14</v>
      </c>
      <c r="F41" s="843">
        <v>129</v>
      </c>
      <c r="G41" s="844"/>
      <c r="H41" s="844"/>
      <c r="I41" s="844"/>
      <c r="J41" s="844"/>
      <c r="K41" s="843">
        <v>0</v>
      </c>
    </row>
    <row r="42" spans="1:11" s="374" customFormat="1" ht="13.5" customHeight="1">
      <c r="A42" s="845">
        <v>25</v>
      </c>
      <c r="B42" s="846"/>
      <c r="C42" s="847" t="s">
        <v>2028</v>
      </c>
      <c r="D42" s="847" t="s">
        <v>2029</v>
      </c>
      <c r="E42" s="847" t="s">
        <v>19</v>
      </c>
      <c r="F42" s="848">
        <v>13</v>
      </c>
      <c r="G42" s="849"/>
      <c r="H42" s="849"/>
      <c r="I42" s="849"/>
      <c r="J42" s="849"/>
      <c r="K42" s="848">
        <v>0</v>
      </c>
    </row>
    <row r="43" spans="1:11" s="374" customFormat="1" ht="13.5" customHeight="1">
      <c r="A43" s="845">
        <v>26</v>
      </c>
      <c r="B43" s="846"/>
      <c r="C43" s="847" t="s">
        <v>2030</v>
      </c>
      <c r="D43" s="847" t="s">
        <v>2031</v>
      </c>
      <c r="E43" s="847" t="s">
        <v>19</v>
      </c>
      <c r="F43" s="848">
        <v>9</v>
      </c>
      <c r="G43" s="849"/>
      <c r="H43" s="849"/>
      <c r="I43" s="849"/>
      <c r="J43" s="849"/>
      <c r="K43" s="848">
        <v>0</v>
      </c>
    </row>
    <row r="44" spans="1:11" s="374" customFormat="1" ht="24" customHeight="1">
      <c r="A44" s="845">
        <v>27</v>
      </c>
      <c r="B44" s="846"/>
      <c r="C44" s="847" t="s">
        <v>2032</v>
      </c>
      <c r="D44" s="847" t="s">
        <v>2033</v>
      </c>
      <c r="E44" s="847" t="s">
        <v>19</v>
      </c>
      <c r="F44" s="848">
        <v>26</v>
      </c>
      <c r="G44" s="849"/>
      <c r="H44" s="849"/>
      <c r="I44" s="849"/>
      <c r="J44" s="849"/>
      <c r="K44" s="848">
        <v>0</v>
      </c>
    </row>
    <row r="45" spans="1:11" s="374" customFormat="1" ht="24" customHeight="1">
      <c r="A45" s="845">
        <v>28</v>
      </c>
      <c r="B45" s="846"/>
      <c r="C45" s="847" t="s">
        <v>2034</v>
      </c>
      <c r="D45" s="847" t="s">
        <v>2035</v>
      </c>
      <c r="E45" s="847" t="s">
        <v>19</v>
      </c>
      <c r="F45" s="848">
        <v>6</v>
      </c>
      <c r="G45" s="849"/>
      <c r="H45" s="849"/>
      <c r="I45" s="849"/>
      <c r="J45" s="849"/>
      <c r="K45" s="848">
        <v>0</v>
      </c>
    </row>
    <row r="46" spans="1:11" s="374" customFormat="1" ht="13.5" customHeight="1">
      <c r="A46" s="840">
        <v>29</v>
      </c>
      <c r="B46" s="841" t="s">
        <v>1845</v>
      </c>
      <c r="C46" s="842" t="s">
        <v>1967</v>
      </c>
      <c r="D46" s="842" t="s">
        <v>1968</v>
      </c>
      <c r="E46" s="842" t="s">
        <v>14</v>
      </c>
      <c r="F46" s="843">
        <v>100</v>
      </c>
      <c r="G46" s="844"/>
      <c r="H46" s="844"/>
      <c r="I46" s="844"/>
      <c r="J46" s="844"/>
      <c r="K46" s="843">
        <v>1E-3</v>
      </c>
    </row>
    <row r="47" spans="1:11" s="374" customFormat="1" ht="24" customHeight="1">
      <c r="A47" s="845">
        <v>30</v>
      </c>
      <c r="B47" s="846" t="s">
        <v>1859</v>
      </c>
      <c r="C47" s="847" t="s">
        <v>1969</v>
      </c>
      <c r="D47" s="847" t="s">
        <v>1970</v>
      </c>
      <c r="E47" s="847" t="s">
        <v>19</v>
      </c>
      <c r="F47" s="848">
        <v>2.1859999999999999</v>
      </c>
      <c r="G47" s="849"/>
      <c r="H47" s="849"/>
      <c r="I47" s="849"/>
      <c r="J47" s="849"/>
      <c r="K47" s="848">
        <v>8.3723800000000004E-3</v>
      </c>
    </row>
    <row r="48" spans="1:11" s="374" customFormat="1" ht="24" customHeight="1">
      <c r="A48" s="845">
        <v>31</v>
      </c>
      <c r="B48" s="846" t="s">
        <v>1859</v>
      </c>
      <c r="C48" s="847" t="s">
        <v>2036</v>
      </c>
      <c r="D48" s="847" t="s">
        <v>2037</v>
      </c>
      <c r="E48" s="847" t="s">
        <v>19</v>
      </c>
      <c r="F48" s="848">
        <v>18.581</v>
      </c>
      <c r="G48" s="849"/>
      <c r="H48" s="849"/>
      <c r="I48" s="849"/>
      <c r="J48" s="849"/>
      <c r="K48" s="848">
        <v>0.40004893000000002</v>
      </c>
    </row>
    <row r="49" spans="1:11" s="374" customFormat="1" ht="13.5" customHeight="1">
      <c r="A49" s="840">
        <v>32</v>
      </c>
      <c r="B49" s="841" t="s">
        <v>1845</v>
      </c>
      <c r="C49" s="842" t="s">
        <v>1971</v>
      </c>
      <c r="D49" s="842" t="s">
        <v>1972</v>
      </c>
      <c r="E49" s="842" t="s">
        <v>14</v>
      </c>
      <c r="F49" s="843">
        <v>10</v>
      </c>
      <c r="G49" s="844"/>
      <c r="H49" s="844"/>
      <c r="I49" s="844"/>
      <c r="J49" s="844"/>
      <c r="K49" s="843">
        <v>1E-4</v>
      </c>
    </row>
    <row r="50" spans="1:11" s="374" customFormat="1" ht="24" customHeight="1">
      <c r="A50" s="845">
        <v>33</v>
      </c>
      <c r="B50" s="846" t="s">
        <v>1859</v>
      </c>
      <c r="C50" s="847" t="s">
        <v>1973</v>
      </c>
      <c r="D50" s="847" t="s">
        <v>1974</v>
      </c>
      <c r="E50" s="847" t="s">
        <v>19</v>
      </c>
      <c r="F50" s="848">
        <v>2.1859999999999999</v>
      </c>
      <c r="G50" s="849"/>
      <c r="H50" s="849"/>
      <c r="I50" s="849"/>
      <c r="J50" s="849"/>
      <c r="K50" s="848">
        <v>4.6102740000000003E-2</v>
      </c>
    </row>
    <row r="51" spans="1:11" s="374" customFormat="1" ht="13.5" customHeight="1">
      <c r="A51" s="840">
        <v>34</v>
      </c>
      <c r="B51" s="841" t="s">
        <v>1845</v>
      </c>
      <c r="C51" s="842" t="s">
        <v>2038</v>
      </c>
      <c r="D51" s="842" t="s">
        <v>2039</v>
      </c>
      <c r="E51" s="842" t="s">
        <v>14</v>
      </c>
      <c r="F51" s="843">
        <v>27.5</v>
      </c>
      <c r="G51" s="844"/>
      <c r="H51" s="844"/>
      <c r="I51" s="844"/>
      <c r="J51" s="844"/>
      <c r="K51" s="843">
        <v>5.5000000000000003E-4</v>
      </c>
    </row>
    <row r="52" spans="1:11" s="374" customFormat="1" ht="24" customHeight="1">
      <c r="A52" s="845">
        <v>35</v>
      </c>
      <c r="B52" s="846" t="s">
        <v>1859</v>
      </c>
      <c r="C52" s="847" t="s">
        <v>2040</v>
      </c>
      <c r="D52" s="847" t="s">
        <v>2041</v>
      </c>
      <c r="E52" s="847" t="s">
        <v>19</v>
      </c>
      <c r="F52" s="848">
        <v>6.0119999999999996</v>
      </c>
      <c r="G52" s="849"/>
      <c r="H52" s="849"/>
      <c r="I52" s="849"/>
      <c r="J52" s="849"/>
      <c r="K52" s="848">
        <v>0.33643151999999998</v>
      </c>
    </row>
    <row r="53" spans="1:11" s="374" customFormat="1" ht="24" customHeight="1">
      <c r="A53" s="840">
        <v>36</v>
      </c>
      <c r="B53" s="841" t="s">
        <v>712</v>
      </c>
      <c r="C53" s="842" t="s">
        <v>1921</v>
      </c>
      <c r="D53" s="842" t="s">
        <v>2042</v>
      </c>
      <c r="E53" s="842" t="s">
        <v>19</v>
      </c>
      <c r="F53" s="843">
        <v>6</v>
      </c>
      <c r="G53" s="844"/>
      <c r="H53" s="844"/>
      <c r="I53" s="844"/>
      <c r="J53" s="844"/>
      <c r="K53" s="843">
        <v>0</v>
      </c>
    </row>
    <row r="54" spans="1:11" s="374" customFormat="1" ht="24" customHeight="1">
      <c r="A54" s="840">
        <v>37</v>
      </c>
      <c r="B54" s="841" t="s">
        <v>712</v>
      </c>
      <c r="C54" s="842" t="s">
        <v>2043</v>
      </c>
      <c r="D54" s="842" t="s">
        <v>2033</v>
      </c>
      <c r="E54" s="842" t="s">
        <v>19</v>
      </c>
      <c r="F54" s="843">
        <v>26</v>
      </c>
      <c r="G54" s="844"/>
      <c r="H54" s="844"/>
      <c r="I54" s="844"/>
      <c r="J54" s="844"/>
      <c r="K54" s="843">
        <v>0</v>
      </c>
    </row>
    <row r="55" spans="1:11" s="374" customFormat="1" ht="13.5" customHeight="1">
      <c r="A55" s="840">
        <v>38</v>
      </c>
      <c r="B55" s="841" t="s">
        <v>1845</v>
      </c>
      <c r="C55" s="842" t="s">
        <v>1975</v>
      </c>
      <c r="D55" s="842" t="s">
        <v>1976</v>
      </c>
      <c r="E55" s="842" t="s">
        <v>19</v>
      </c>
      <c r="F55" s="843">
        <v>8</v>
      </c>
      <c r="G55" s="844"/>
      <c r="H55" s="844"/>
      <c r="I55" s="844"/>
      <c r="J55" s="844"/>
      <c r="K55" s="843">
        <v>4.0000000000000002E-4</v>
      </c>
    </row>
    <row r="56" spans="1:11" s="374" customFormat="1" ht="24" customHeight="1">
      <c r="A56" s="845">
        <v>39</v>
      </c>
      <c r="B56" s="846" t="s">
        <v>1859</v>
      </c>
      <c r="C56" s="847" t="s">
        <v>1977</v>
      </c>
      <c r="D56" s="847" t="s">
        <v>1978</v>
      </c>
      <c r="E56" s="847" t="s">
        <v>19</v>
      </c>
      <c r="F56" s="848">
        <v>8.7439999999999998</v>
      </c>
      <c r="G56" s="849"/>
      <c r="H56" s="849"/>
      <c r="I56" s="849"/>
      <c r="J56" s="849"/>
      <c r="K56" s="848">
        <v>6.2956799999999997E-3</v>
      </c>
    </row>
    <row r="57" spans="1:11" s="374" customFormat="1" ht="13.5" customHeight="1">
      <c r="A57" s="840">
        <v>40</v>
      </c>
      <c r="B57" s="841" t="s">
        <v>1845</v>
      </c>
      <c r="C57" s="842" t="s">
        <v>2044</v>
      </c>
      <c r="D57" s="842" t="s">
        <v>2045</v>
      </c>
      <c r="E57" s="842" t="s">
        <v>19</v>
      </c>
      <c r="F57" s="843">
        <v>1</v>
      </c>
      <c r="G57" s="844"/>
      <c r="H57" s="844"/>
      <c r="I57" s="844"/>
      <c r="J57" s="844"/>
      <c r="K57" s="843">
        <v>5.0000000000000002E-5</v>
      </c>
    </row>
    <row r="58" spans="1:11" s="374" customFormat="1" ht="24" customHeight="1">
      <c r="A58" s="845">
        <v>41</v>
      </c>
      <c r="B58" s="846" t="s">
        <v>1859</v>
      </c>
      <c r="C58" s="847" t="s">
        <v>2046</v>
      </c>
      <c r="D58" s="847" t="s">
        <v>2047</v>
      </c>
      <c r="E58" s="847" t="s">
        <v>19</v>
      </c>
      <c r="F58" s="848">
        <v>1</v>
      </c>
      <c r="G58" s="849"/>
      <c r="H58" s="849"/>
      <c r="I58" s="849"/>
      <c r="J58" s="849"/>
      <c r="K58" s="848">
        <v>9.6000000000000002E-4</v>
      </c>
    </row>
    <row r="59" spans="1:11" s="374" customFormat="1" ht="13.5" customHeight="1">
      <c r="A59" s="840">
        <v>42</v>
      </c>
      <c r="B59" s="841" t="s">
        <v>1845</v>
      </c>
      <c r="C59" s="842" t="s">
        <v>1979</v>
      </c>
      <c r="D59" s="842" t="s">
        <v>1980</v>
      </c>
      <c r="E59" s="842" t="s">
        <v>19</v>
      </c>
      <c r="F59" s="843">
        <v>2</v>
      </c>
      <c r="G59" s="844"/>
      <c r="H59" s="844"/>
      <c r="I59" s="844"/>
      <c r="J59" s="844"/>
      <c r="K59" s="843">
        <v>1E-4</v>
      </c>
    </row>
    <row r="60" spans="1:11" s="374" customFormat="1" ht="24" customHeight="1">
      <c r="A60" s="845">
        <v>43</v>
      </c>
      <c r="B60" s="846" t="s">
        <v>1859</v>
      </c>
      <c r="C60" s="847" t="s">
        <v>1981</v>
      </c>
      <c r="D60" s="847" t="s">
        <v>1982</v>
      </c>
      <c r="E60" s="847" t="s">
        <v>19</v>
      </c>
      <c r="F60" s="848">
        <v>2</v>
      </c>
      <c r="G60" s="849"/>
      <c r="H60" s="849"/>
      <c r="I60" s="849"/>
      <c r="J60" s="849"/>
      <c r="K60" s="848">
        <v>1.1000000000000001E-3</v>
      </c>
    </row>
    <row r="61" spans="1:11" s="374" customFormat="1" ht="13.5" customHeight="1">
      <c r="A61" s="840">
        <v>44</v>
      </c>
      <c r="B61" s="841" t="s">
        <v>1845</v>
      </c>
      <c r="C61" s="842" t="s">
        <v>2048</v>
      </c>
      <c r="D61" s="842" t="s">
        <v>2049</v>
      </c>
      <c r="E61" s="842" t="s">
        <v>19</v>
      </c>
      <c r="F61" s="843">
        <v>5</v>
      </c>
      <c r="G61" s="844"/>
      <c r="H61" s="844"/>
      <c r="I61" s="844"/>
      <c r="J61" s="844"/>
      <c r="K61" s="843">
        <v>2.5000000000000001E-4</v>
      </c>
    </row>
    <row r="62" spans="1:11" s="374" customFormat="1" ht="24" customHeight="1">
      <c r="A62" s="845">
        <v>45</v>
      </c>
      <c r="B62" s="846" t="s">
        <v>1859</v>
      </c>
      <c r="C62" s="847" t="s">
        <v>2050</v>
      </c>
      <c r="D62" s="847" t="s">
        <v>2051</v>
      </c>
      <c r="E62" s="847" t="s">
        <v>19</v>
      </c>
      <c r="F62" s="848">
        <v>5.4649999999999999</v>
      </c>
      <c r="G62" s="849"/>
      <c r="H62" s="849"/>
      <c r="I62" s="849"/>
      <c r="J62" s="849"/>
      <c r="K62" s="848">
        <v>3.1150499999999999E-3</v>
      </c>
    </row>
    <row r="63" spans="1:11" s="374" customFormat="1" ht="13.5" customHeight="1">
      <c r="A63" s="840">
        <v>46</v>
      </c>
      <c r="B63" s="841" t="s">
        <v>1845</v>
      </c>
      <c r="C63" s="842" t="s">
        <v>2052</v>
      </c>
      <c r="D63" s="842" t="s">
        <v>2053</v>
      </c>
      <c r="E63" s="842" t="s">
        <v>19</v>
      </c>
      <c r="F63" s="843">
        <v>1</v>
      </c>
      <c r="G63" s="844"/>
      <c r="H63" s="844"/>
      <c r="I63" s="844"/>
      <c r="J63" s="844"/>
      <c r="K63" s="843">
        <v>1E-4</v>
      </c>
    </row>
    <row r="64" spans="1:11" s="374" customFormat="1" ht="24" customHeight="1">
      <c r="A64" s="845">
        <v>47</v>
      </c>
      <c r="B64" s="846" t="s">
        <v>1859</v>
      </c>
      <c r="C64" s="847" t="s">
        <v>2054</v>
      </c>
      <c r="D64" s="847" t="s">
        <v>2055</v>
      </c>
      <c r="E64" s="847" t="s">
        <v>19</v>
      </c>
      <c r="F64" s="848">
        <v>1</v>
      </c>
      <c r="G64" s="849"/>
      <c r="H64" s="849"/>
      <c r="I64" s="849"/>
      <c r="J64" s="849"/>
      <c r="K64" s="848">
        <v>9.9299999999999996E-3</v>
      </c>
    </row>
    <row r="65" spans="1:11" s="374" customFormat="1" ht="13.5" customHeight="1">
      <c r="A65" s="840">
        <v>48</v>
      </c>
      <c r="B65" s="841" t="s">
        <v>1845</v>
      </c>
      <c r="C65" s="842" t="s">
        <v>1991</v>
      </c>
      <c r="D65" s="842" t="s">
        <v>1992</v>
      </c>
      <c r="E65" s="842" t="s">
        <v>14</v>
      </c>
      <c r="F65" s="843">
        <v>100</v>
      </c>
      <c r="G65" s="844"/>
      <c r="H65" s="844"/>
      <c r="I65" s="844"/>
      <c r="J65" s="844"/>
      <c r="K65" s="843">
        <v>0</v>
      </c>
    </row>
    <row r="66" spans="1:11" s="374" customFormat="1" ht="13.5" customHeight="1">
      <c r="A66" s="840">
        <v>49</v>
      </c>
      <c r="B66" s="841" t="s">
        <v>1845</v>
      </c>
      <c r="C66" s="842" t="s">
        <v>1993</v>
      </c>
      <c r="D66" s="842" t="s">
        <v>1994</v>
      </c>
      <c r="E66" s="842" t="s">
        <v>14</v>
      </c>
      <c r="F66" s="843">
        <v>10</v>
      </c>
      <c r="G66" s="844"/>
      <c r="H66" s="844"/>
      <c r="I66" s="844"/>
      <c r="J66" s="844"/>
      <c r="K66" s="843">
        <v>0</v>
      </c>
    </row>
    <row r="67" spans="1:11" s="374" customFormat="1" ht="13.5" customHeight="1">
      <c r="A67" s="840">
        <v>50</v>
      </c>
      <c r="B67" s="841" t="s">
        <v>1845</v>
      </c>
      <c r="C67" s="842" t="s">
        <v>2056</v>
      </c>
      <c r="D67" s="842" t="s">
        <v>2057</v>
      </c>
      <c r="E67" s="842" t="s">
        <v>14</v>
      </c>
      <c r="F67" s="843">
        <v>27.5</v>
      </c>
      <c r="G67" s="844"/>
      <c r="H67" s="844"/>
      <c r="I67" s="844"/>
      <c r="J67" s="844"/>
      <c r="K67" s="843">
        <v>0</v>
      </c>
    </row>
    <row r="68" spans="1:11" s="374" customFormat="1" ht="13.5" customHeight="1">
      <c r="A68" s="840">
        <v>51</v>
      </c>
      <c r="B68" s="841" t="s">
        <v>1845</v>
      </c>
      <c r="C68" s="842" t="s">
        <v>2058</v>
      </c>
      <c r="D68" s="842" t="s">
        <v>2059</v>
      </c>
      <c r="E68" s="842" t="s">
        <v>19</v>
      </c>
      <c r="F68" s="843">
        <v>1</v>
      </c>
      <c r="G68" s="844"/>
      <c r="H68" s="844"/>
      <c r="I68" s="844"/>
      <c r="J68" s="844"/>
      <c r="K68" s="843">
        <v>0</v>
      </c>
    </row>
    <row r="69" spans="1:11" s="374" customFormat="1" ht="24" customHeight="1">
      <c r="A69" s="840">
        <v>52</v>
      </c>
      <c r="B69" s="841" t="s">
        <v>1845</v>
      </c>
      <c r="C69" s="842" t="s">
        <v>1887</v>
      </c>
      <c r="D69" s="842" t="s">
        <v>1888</v>
      </c>
      <c r="E69" s="842" t="s">
        <v>19</v>
      </c>
      <c r="F69" s="843">
        <v>6</v>
      </c>
      <c r="G69" s="844"/>
      <c r="H69" s="844"/>
      <c r="I69" s="844"/>
      <c r="J69" s="844"/>
      <c r="K69" s="843">
        <v>9.9360000000000004E-2</v>
      </c>
    </row>
    <row r="70" spans="1:11" s="374" customFormat="1" ht="24" customHeight="1">
      <c r="A70" s="845">
        <v>53</v>
      </c>
      <c r="B70" s="846" t="s">
        <v>1889</v>
      </c>
      <c r="C70" s="847" t="s">
        <v>1890</v>
      </c>
      <c r="D70" s="847" t="s">
        <v>1891</v>
      </c>
      <c r="E70" s="847" t="s">
        <v>19</v>
      </c>
      <c r="F70" s="848">
        <v>6</v>
      </c>
      <c r="G70" s="849"/>
      <c r="H70" s="849"/>
      <c r="I70" s="849"/>
      <c r="J70" s="849"/>
      <c r="K70" s="848">
        <v>1.2E-2</v>
      </c>
    </row>
    <row r="71" spans="1:11" s="374" customFormat="1" ht="13.5" customHeight="1">
      <c r="A71" s="840">
        <v>54</v>
      </c>
      <c r="B71" s="841" t="s">
        <v>1845</v>
      </c>
      <c r="C71" s="842" t="s">
        <v>2060</v>
      </c>
      <c r="D71" s="842" t="s">
        <v>2061</v>
      </c>
      <c r="E71" s="842" t="s">
        <v>19</v>
      </c>
      <c r="F71" s="843">
        <v>3</v>
      </c>
      <c r="G71" s="844"/>
      <c r="H71" s="844"/>
      <c r="I71" s="844"/>
      <c r="J71" s="844"/>
      <c r="K71" s="843">
        <v>7.9320000000000002E-2</v>
      </c>
    </row>
    <row r="72" spans="1:11" s="374" customFormat="1" ht="13.5" customHeight="1">
      <c r="A72" s="845">
        <v>55</v>
      </c>
      <c r="B72" s="846" t="s">
        <v>1889</v>
      </c>
      <c r="C72" s="847" t="s">
        <v>2062</v>
      </c>
      <c r="D72" s="847" t="s">
        <v>2063</v>
      </c>
      <c r="E72" s="847" t="s">
        <v>19</v>
      </c>
      <c r="F72" s="848">
        <v>2</v>
      </c>
      <c r="G72" s="849"/>
      <c r="H72" s="849"/>
      <c r="I72" s="849"/>
      <c r="J72" s="849"/>
      <c r="K72" s="848">
        <v>0</v>
      </c>
    </row>
    <row r="73" spans="1:11" s="374" customFormat="1" ht="13.5" customHeight="1">
      <c r="A73" s="845">
        <v>56</v>
      </c>
      <c r="B73" s="846" t="s">
        <v>1889</v>
      </c>
      <c r="C73" s="847" t="s">
        <v>2064</v>
      </c>
      <c r="D73" s="847" t="s">
        <v>2065</v>
      </c>
      <c r="E73" s="847" t="s">
        <v>19</v>
      </c>
      <c r="F73" s="848">
        <v>1</v>
      </c>
      <c r="G73" s="849"/>
      <c r="H73" s="849"/>
      <c r="I73" s="849"/>
      <c r="J73" s="849"/>
      <c r="K73" s="848">
        <v>0</v>
      </c>
    </row>
    <row r="74" spans="1:11" s="374" customFormat="1" ht="13.5" customHeight="1">
      <c r="A74" s="845">
        <v>57</v>
      </c>
      <c r="B74" s="846"/>
      <c r="C74" s="847" t="s">
        <v>2066</v>
      </c>
      <c r="D74" s="847" t="s">
        <v>2067</v>
      </c>
      <c r="E74" s="847" t="s">
        <v>19</v>
      </c>
      <c r="F74" s="848">
        <v>2</v>
      </c>
      <c r="G74" s="849"/>
      <c r="H74" s="849"/>
      <c r="I74" s="849"/>
      <c r="J74" s="849"/>
      <c r="K74" s="848">
        <v>0</v>
      </c>
    </row>
    <row r="75" spans="1:11" s="374" customFormat="1" ht="13.5" customHeight="1">
      <c r="A75" s="845">
        <v>58</v>
      </c>
      <c r="B75" s="846"/>
      <c r="C75" s="847" t="s">
        <v>2068</v>
      </c>
      <c r="D75" s="847" t="s">
        <v>2069</v>
      </c>
      <c r="E75" s="847" t="s">
        <v>19</v>
      </c>
      <c r="F75" s="848">
        <v>3</v>
      </c>
      <c r="G75" s="849"/>
      <c r="H75" s="849"/>
      <c r="I75" s="849"/>
      <c r="J75" s="849"/>
      <c r="K75" s="848">
        <v>0</v>
      </c>
    </row>
    <row r="76" spans="1:11" s="374" customFormat="1" ht="34.5" customHeight="1">
      <c r="A76" s="845">
        <v>59</v>
      </c>
      <c r="B76" s="846" t="s">
        <v>1859</v>
      </c>
      <c r="C76" s="847" t="s">
        <v>2070</v>
      </c>
      <c r="D76" s="847" t="s">
        <v>2071</v>
      </c>
      <c r="E76" s="847" t="s">
        <v>1871</v>
      </c>
      <c r="F76" s="848">
        <v>2</v>
      </c>
      <c r="G76" s="849"/>
      <c r="H76" s="849"/>
      <c r="I76" s="849"/>
      <c r="J76" s="849"/>
      <c r="K76" s="848">
        <v>2.0580000000000001E-2</v>
      </c>
    </row>
    <row r="77" spans="1:11" s="374" customFormat="1" ht="34.5" customHeight="1">
      <c r="A77" s="845">
        <v>60</v>
      </c>
      <c r="B77" s="846" t="s">
        <v>1859</v>
      </c>
      <c r="C77" s="847" t="s">
        <v>1999</v>
      </c>
      <c r="D77" s="847" t="s">
        <v>2072</v>
      </c>
      <c r="E77" s="847" t="s">
        <v>19</v>
      </c>
      <c r="F77" s="848">
        <v>1</v>
      </c>
      <c r="G77" s="849"/>
      <c r="H77" s="849"/>
      <c r="I77" s="849"/>
      <c r="J77" s="849"/>
      <c r="K77" s="848">
        <v>1.038E-2</v>
      </c>
    </row>
    <row r="78" spans="1:11" s="374" customFormat="1" ht="24" customHeight="1">
      <c r="A78" s="845">
        <v>61</v>
      </c>
      <c r="B78" s="846" t="s">
        <v>1889</v>
      </c>
      <c r="C78" s="847" t="s">
        <v>1892</v>
      </c>
      <c r="D78" s="847" t="s">
        <v>1893</v>
      </c>
      <c r="E78" s="847" t="s">
        <v>19</v>
      </c>
      <c r="F78" s="848">
        <v>4</v>
      </c>
      <c r="G78" s="849"/>
      <c r="H78" s="849"/>
      <c r="I78" s="849"/>
      <c r="J78" s="849"/>
      <c r="K78" s="848">
        <v>2.34</v>
      </c>
    </row>
    <row r="79" spans="1:11" s="374" customFormat="1" ht="24" customHeight="1">
      <c r="A79" s="845">
        <v>62</v>
      </c>
      <c r="B79" s="846" t="s">
        <v>1889</v>
      </c>
      <c r="C79" s="847" t="s">
        <v>2073</v>
      </c>
      <c r="D79" s="847" t="s">
        <v>2074</v>
      </c>
      <c r="E79" s="847" t="s">
        <v>19</v>
      </c>
      <c r="F79" s="848">
        <v>1</v>
      </c>
      <c r="G79" s="849"/>
      <c r="H79" s="849"/>
      <c r="I79" s="849"/>
      <c r="J79" s="849"/>
      <c r="K79" s="848">
        <v>0.25</v>
      </c>
    </row>
    <row r="80" spans="1:11" s="374" customFormat="1" ht="24" customHeight="1">
      <c r="A80" s="845">
        <v>63</v>
      </c>
      <c r="B80" s="846" t="s">
        <v>1889</v>
      </c>
      <c r="C80" s="847" t="s">
        <v>2075</v>
      </c>
      <c r="D80" s="847" t="s">
        <v>2076</v>
      </c>
      <c r="E80" s="847" t="s">
        <v>19</v>
      </c>
      <c r="F80" s="848">
        <v>1</v>
      </c>
      <c r="G80" s="849"/>
      <c r="H80" s="849"/>
      <c r="I80" s="849"/>
      <c r="J80" s="849"/>
      <c r="K80" s="848">
        <v>0.5</v>
      </c>
    </row>
    <row r="81" spans="1:11" s="374" customFormat="1" ht="24" customHeight="1">
      <c r="A81" s="840">
        <v>64</v>
      </c>
      <c r="B81" s="841" t="s">
        <v>1845</v>
      </c>
      <c r="C81" s="842" t="s">
        <v>2077</v>
      </c>
      <c r="D81" s="842" t="s">
        <v>2078</v>
      </c>
      <c r="E81" s="842" t="s">
        <v>19</v>
      </c>
      <c r="F81" s="843">
        <v>3</v>
      </c>
      <c r="G81" s="844"/>
      <c r="H81" s="844"/>
      <c r="I81" s="844"/>
      <c r="J81" s="844"/>
      <c r="K81" s="843">
        <v>0</v>
      </c>
    </row>
    <row r="82" spans="1:11" s="374" customFormat="1" ht="24" customHeight="1">
      <c r="A82" s="840">
        <v>65</v>
      </c>
      <c r="B82" s="841" t="s">
        <v>1845</v>
      </c>
      <c r="C82" s="842" t="s">
        <v>1898</v>
      </c>
      <c r="D82" s="842" t="s">
        <v>1899</v>
      </c>
      <c r="E82" s="842" t="s">
        <v>19</v>
      </c>
      <c r="F82" s="843">
        <v>4</v>
      </c>
      <c r="G82" s="844"/>
      <c r="H82" s="844"/>
      <c r="I82" s="844"/>
      <c r="J82" s="844"/>
      <c r="K82" s="843">
        <v>2.52E-2</v>
      </c>
    </row>
    <row r="83" spans="1:11" s="374" customFormat="1" ht="24" customHeight="1">
      <c r="A83" s="845">
        <v>66</v>
      </c>
      <c r="B83" s="846" t="s">
        <v>1889</v>
      </c>
      <c r="C83" s="847" t="s">
        <v>1900</v>
      </c>
      <c r="D83" s="847" t="s">
        <v>2079</v>
      </c>
      <c r="E83" s="847" t="s">
        <v>19</v>
      </c>
      <c r="F83" s="848">
        <v>3</v>
      </c>
      <c r="G83" s="849"/>
      <c r="H83" s="849"/>
      <c r="I83" s="849"/>
      <c r="J83" s="849"/>
      <c r="K83" s="848">
        <v>0.40500000000000003</v>
      </c>
    </row>
    <row r="84" spans="1:11" s="374" customFormat="1" ht="24" customHeight="1">
      <c r="A84" s="845">
        <v>67</v>
      </c>
      <c r="B84" s="846" t="s">
        <v>1889</v>
      </c>
      <c r="C84" s="847" t="s">
        <v>2080</v>
      </c>
      <c r="D84" s="847" t="s">
        <v>2081</v>
      </c>
      <c r="E84" s="847" t="s">
        <v>19</v>
      </c>
      <c r="F84" s="848">
        <v>1</v>
      </c>
      <c r="G84" s="849"/>
      <c r="H84" s="849"/>
      <c r="I84" s="849"/>
      <c r="J84" s="849"/>
      <c r="K84" s="848">
        <v>6.9000000000000006E-2</v>
      </c>
    </row>
    <row r="85" spans="1:11" s="374" customFormat="1" ht="28.5" customHeight="1">
      <c r="A85" s="835"/>
      <c r="B85" s="836"/>
      <c r="C85" s="837" t="s">
        <v>1606</v>
      </c>
      <c r="D85" s="837" t="s">
        <v>1904</v>
      </c>
      <c r="E85" s="837"/>
      <c r="F85" s="838"/>
      <c r="G85" s="839"/>
      <c r="H85" s="839">
        <f>SUM(H86:H87)</f>
        <v>0</v>
      </c>
      <c r="I85" s="839">
        <f t="shared" ref="I85:J85" si="6">SUM(I86:I87)</f>
        <v>0</v>
      </c>
      <c r="J85" s="839">
        <f t="shared" si="6"/>
        <v>0</v>
      </c>
      <c r="K85" s="838">
        <v>0</v>
      </c>
    </row>
    <row r="86" spans="1:11" s="374" customFormat="1" ht="24" customHeight="1">
      <c r="A86" s="840">
        <v>68</v>
      </c>
      <c r="B86" s="841" t="s">
        <v>1905</v>
      </c>
      <c r="C86" s="842" t="s">
        <v>1798</v>
      </c>
      <c r="D86" s="842" t="s">
        <v>2001</v>
      </c>
      <c r="E86" s="842" t="s">
        <v>15</v>
      </c>
      <c r="F86" s="843">
        <v>351.11900000000003</v>
      </c>
      <c r="G86" s="844"/>
      <c r="H86" s="844"/>
      <c r="I86" s="844"/>
      <c r="J86" s="844"/>
      <c r="K86" s="843">
        <v>0</v>
      </c>
    </row>
    <row r="87" spans="1:11" s="374" customFormat="1" ht="24" customHeight="1">
      <c r="A87" s="840">
        <v>69</v>
      </c>
      <c r="B87" s="841" t="s">
        <v>1845</v>
      </c>
      <c r="C87" s="842" t="s">
        <v>1908</v>
      </c>
      <c r="D87" s="842" t="s">
        <v>1909</v>
      </c>
      <c r="E87" s="842" t="s">
        <v>15</v>
      </c>
      <c r="F87" s="843">
        <v>150.47900000000001</v>
      </c>
      <c r="G87" s="844"/>
      <c r="H87" s="844"/>
      <c r="I87" s="844"/>
      <c r="J87" s="844"/>
      <c r="K87" s="843">
        <v>0</v>
      </c>
    </row>
    <row r="88" spans="1:11" s="374" customFormat="1" ht="30.75" customHeight="1">
      <c r="A88" s="850"/>
      <c r="B88" s="851"/>
      <c r="C88" s="852"/>
      <c r="D88" s="852" t="s">
        <v>1910</v>
      </c>
      <c r="E88" s="852"/>
      <c r="F88" s="853"/>
      <c r="G88" s="854"/>
      <c r="H88" s="854">
        <f>SUM(H12)</f>
        <v>0</v>
      </c>
      <c r="I88" s="854">
        <f t="shared" ref="I88:J88" si="7">SUM(I12)</f>
        <v>0</v>
      </c>
      <c r="J88" s="854">
        <f t="shared" si="7"/>
        <v>0</v>
      </c>
      <c r="K88" s="853">
        <v>501.59793139999999</v>
      </c>
    </row>
  </sheetData>
  <mergeCells count="5">
    <mergeCell ref="A1:K1"/>
    <mergeCell ref="I5:K5"/>
    <mergeCell ref="A6:D6"/>
    <mergeCell ref="I6:J6"/>
    <mergeCell ref="A7:C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0" fitToHeight="0" orientation="landscape" horizontalDpi="4294967295" verticalDpi="4294967295" r:id="rId1"/>
  <headerFooter>
    <oddFooter>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67"/>
  <sheetViews>
    <sheetView topLeftCell="A46" workbookViewId="0">
      <selection activeCell="E72" sqref="E72"/>
    </sheetView>
  </sheetViews>
  <sheetFormatPr defaultRowHeight="15"/>
  <cols>
    <col min="1" max="1" width="5.28515625" style="442" customWidth="1"/>
    <col min="2" max="2" width="6.140625" style="569" customWidth="1"/>
    <col min="3" max="3" width="4.7109375" style="569" customWidth="1"/>
    <col min="4" max="4" width="9.42578125" style="569" customWidth="1"/>
    <col min="5" max="5" width="44" style="442" customWidth="1"/>
    <col min="6" max="6" width="4.7109375" style="571" customWidth="1"/>
    <col min="7" max="7" width="7.7109375" style="628" customWidth="1"/>
    <col min="8" max="8" width="8.7109375" style="574" customWidth="1"/>
    <col min="9" max="9" width="10" style="574" customWidth="1"/>
    <col min="10" max="10" width="10.7109375" style="442" hidden="1" customWidth="1"/>
    <col min="11" max="11" width="10.85546875" style="442" hidden="1" customWidth="1"/>
    <col min="12" max="12" width="9.7109375" style="442" hidden="1" customWidth="1"/>
    <col min="13" max="13" width="11.5703125" style="442" hidden="1" customWidth="1"/>
    <col min="14" max="14" width="6" style="442" hidden="1" customWidth="1"/>
    <col min="15" max="15" width="6.7109375" style="442" hidden="1" customWidth="1"/>
    <col min="16" max="16" width="7.140625" style="442" hidden="1" customWidth="1"/>
    <col min="17" max="19" width="9.140625" style="442" hidden="1" customWidth="1"/>
    <col min="20" max="20" width="0" style="442" hidden="1" customWidth="1"/>
    <col min="21" max="256" width="9.140625" style="442"/>
    <col min="257" max="257" width="5.28515625" style="442" customWidth="1"/>
    <col min="258" max="258" width="6.140625" style="442" customWidth="1"/>
    <col min="259" max="259" width="4.7109375" style="442" customWidth="1"/>
    <col min="260" max="260" width="9.42578125" style="442" customWidth="1"/>
    <col min="261" max="261" width="44" style="442" customWidth="1"/>
    <col min="262" max="262" width="4.7109375" style="442" customWidth="1"/>
    <col min="263" max="263" width="7.7109375" style="442" customWidth="1"/>
    <col min="264" max="264" width="8.7109375" style="442" customWidth="1"/>
    <col min="265" max="265" width="10" style="442" customWidth="1"/>
    <col min="266" max="276" width="0" style="442" hidden="1" customWidth="1"/>
    <col min="277" max="512" width="9.140625" style="442"/>
    <col min="513" max="513" width="5.28515625" style="442" customWidth="1"/>
    <col min="514" max="514" width="6.140625" style="442" customWidth="1"/>
    <col min="515" max="515" width="4.7109375" style="442" customWidth="1"/>
    <col min="516" max="516" width="9.42578125" style="442" customWidth="1"/>
    <col min="517" max="517" width="44" style="442" customWidth="1"/>
    <col min="518" max="518" width="4.7109375" style="442" customWidth="1"/>
    <col min="519" max="519" width="7.7109375" style="442" customWidth="1"/>
    <col min="520" max="520" width="8.7109375" style="442" customWidth="1"/>
    <col min="521" max="521" width="10" style="442" customWidth="1"/>
    <col min="522" max="532" width="0" style="442" hidden="1" customWidth="1"/>
    <col min="533" max="768" width="9.140625" style="442"/>
    <col min="769" max="769" width="5.28515625" style="442" customWidth="1"/>
    <col min="770" max="770" width="6.140625" style="442" customWidth="1"/>
    <col min="771" max="771" width="4.7109375" style="442" customWidth="1"/>
    <col min="772" max="772" width="9.42578125" style="442" customWidth="1"/>
    <col min="773" max="773" width="44" style="442" customWidth="1"/>
    <col min="774" max="774" width="4.7109375" style="442" customWidth="1"/>
    <col min="775" max="775" width="7.7109375" style="442" customWidth="1"/>
    <col min="776" max="776" width="8.7109375" style="442" customWidth="1"/>
    <col min="777" max="777" width="10" style="442" customWidth="1"/>
    <col min="778" max="788" width="0" style="442" hidden="1" customWidth="1"/>
    <col min="789" max="1024" width="9.140625" style="442"/>
    <col min="1025" max="1025" width="5.28515625" style="442" customWidth="1"/>
    <col min="1026" max="1026" width="6.140625" style="442" customWidth="1"/>
    <col min="1027" max="1027" width="4.7109375" style="442" customWidth="1"/>
    <col min="1028" max="1028" width="9.42578125" style="442" customWidth="1"/>
    <col min="1029" max="1029" width="44" style="442" customWidth="1"/>
    <col min="1030" max="1030" width="4.7109375" style="442" customWidth="1"/>
    <col min="1031" max="1031" width="7.7109375" style="442" customWidth="1"/>
    <col min="1032" max="1032" width="8.7109375" style="442" customWidth="1"/>
    <col min="1033" max="1033" width="10" style="442" customWidth="1"/>
    <col min="1034" max="1044" width="0" style="442" hidden="1" customWidth="1"/>
    <col min="1045" max="1280" width="9.140625" style="442"/>
    <col min="1281" max="1281" width="5.28515625" style="442" customWidth="1"/>
    <col min="1282" max="1282" width="6.140625" style="442" customWidth="1"/>
    <col min="1283" max="1283" width="4.7109375" style="442" customWidth="1"/>
    <col min="1284" max="1284" width="9.42578125" style="442" customWidth="1"/>
    <col min="1285" max="1285" width="44" style="442" customWidth="1"/>
    <col min="1286" max="1286" width="4.7109375" style="442" customWidth="1"/>
    <col min="1287" max="1287" width="7.7109375" style="442" customWidth="1"/>
    <col min="1288" max="1288" width="8.7109375" style="442" customWidth="1"/>
    <col min="1289" max="1289" width="10" style="442" customWidth="1"/>
    <col min="1290" max="1300" width="0" style="442" hidden="1" customWidth="1"/>
    <col min="1301" max="1536" width="9.140625" style="442"/>
    <col min="1537" max="1537" width="5.28515625" style="442" customWidth="1"/>
    <col min="1538" max="1538" width="6.140625" style="442" customWidth="1"/>
    <col min="1539" max="1539" width="4.7109375" style="442" customWidth="1"/>
    <col min="1540" max="1540" width="9.42578125" style="442" customWidth="1"/>
    <col min="1541" max="1541" width="44" style="442" customWidth="1"/>
    <col min="1542" max="1542" width="4.7109375" style="442" customWidth="1"/>
    <col min="1543" max="1543" width="7.7109375" style="442" customWidth="1"/>
    <col min="1544" max="1544" width="8.7109375" style="442" customWidth="1"/>
    <col min="1545" max="1545" width="10" style="442" customWidth="1"/>
    <col min="1546" max="1556" width="0" style="442" hidden="1" customWidth="1"/>
    <col min="1557" max="1792" width="9.140625" style="442"/>
    <col min="1793" max="1793" width="5.28515625" style="442" customWidth="1"/>
    <col min="1794" max="1794" width="6.140625" style="442" customWidth="1"/>
    <col min="1795" max="1795" width="4.7109375" style="442" customWidth="1"/>
    <col min="1796" max="1796" width="9.42578125" style="442" customWidth="1"/>
    <col min="1797" max="1797" width="44" style="442" customWidth="1"/>
    <col min="1798" max="1798" width="4.7109375" style="442" customWidth="1"/>
    <col min="1799" max="1799" width="7.7109375" style="442" customWidth="1"/>
    <col min="1800" max="1800" width="8.7109375" style="442" customWidth="1"/>
    <col min="1801" max="1801" width="10" style="442" customWidth="1"/>
    <col min="1802" max="1812" width="0" style="442" hidden="1" customWidth="1"/>
    <col min="1813" max="2048" width="9.140625" style="442"/>
    <col min="2049" max="2049" width="5.28515625" style="442" customWidth="1"/>
    <col min="2050" max="2050" width="6.140625" style="442" customWidth="1"/>
    <col min="2051" max="2051" width="4.7109375" style="442" customWidth="1"/>
    <col min="2052" max="2052" width="9.42578125" style="442" customWidth="1"/>
    <col min="2053" max="2053" width="44" style="442" customWidth="1"/>
    <col min="2054" max="2054" width="4.7109375" style="442" customWidth="1"/>
    <col min="2055" max="2055" width="7.7109375" style="442" customWidth="1"/>
    <col min="2056" max="2056" width="8.7109375" style="442" customWidth="1"/>
    <col min="2057" max="2057" width="10" style="442" customWidth="1"/>
    <col min="2058" max="2068" width="0" style="442" hidden="1" customWidth="1"/>
    <col min="2069" max="2304" width="9.140625" style="442"/>
    <col min="2305" max="2305" width="5.28515625" style="442" customWidth="1"/>
    <col min="2306" max="2306" width="6.140625" style="442" customWidth="1"/>
    <col min="2307" max="2307" width="4.7109375" style="442" customWidth="1"/>
    <col min="2308" max="2308" width="9.42578125" style="442" customWidth="1"/>
    <col min="2309" max="2309" width="44" style="442" customWidth="1"/>
    <col min="2310" max="2310" width="4.7109375" style="442" customWidth="1"/>
    <col min="2311" max="2311" width="7.7109375" style="442" customWidth="1"/>
    <col min="2312" max="2312" width="8.7109375" style="442" customWidth="1"/>
    <col min="2313" max="2313" width="10" style="442" customWidth="1"/>
    <col min="2314" max="2324" width="0" style="442" hidden="1" customWidth="1"/>
    <col min="2325" max="2560" width="9.140625" style="442"/>
    <col min="2561" max="2561" width="5.28515625" style="442" customWidth="1"/>
    <col min="2562" max="2562" width="6.140625" style="442" customWidth="1"/>
    <col min="2563" max="2563" width="4.7109375" style="442" customWidth="1"/>
    <col min="2564" max="2564" width="9.42578125" style="442" customWidth="1"/>
    <col min="2565" max="2565" width="44" style="442" customWidth="1"/>
    <col min="2566" max="2566" width="4.7109375" style="442" customWidth="1"/>
    <col min="2567" max="2567" width="7.7109375" style="442" customWidth="1"/>
    <col min="2568" max="2568" width="8.7109375" style="442" customWidth="1"/>
    <col min="2569" max="2569" width="10" style="442" customWidth="1"/>
    <col min="2570" max="2580" width="0" style="442" hidden="1" customWidth="1"/>
    <col min="2581" max="2816" width="9.140625" style="442"/>
    <col min="2817" max="2817" width="5.28515625" style="442" customWidth="1"/>
    <col min="2818" max="2818" width="6.140625" style="442" customWidth="1"/>
    <col min="2819" max="2819" width="4.7109375" style="442" customWidth="1"/>
    <col min="2820" max="2820" width="9.42578125" style="442" customWidth="1"/>
    <col min="2821" max="2821" width="44" style="442" customWidth="1"/>
    <col min="2822" max="2822" width="4.7109375" style="442" customWidth="1"/>
    <col min="2823" max="2823" width="7.7109375" style="442" customWidth="1"/>
    <col min="2824" max="2824" width="8.7109375" style="442" customWidth="1"/>
    <col min="2825" max="2825" width="10" style="442" customWidth="1"/>
    <col min="2826" max="2836" width="0" style="442" hidden="1" customWidth="1"/>
    <col min="2837" max="3072" width="9.140625" style="442"/>
    <col min="3073" max="3073" width="5.28515625" style="442" customWidth="1"/>
    <col min="3074" max="3074" width="6.140625" style="442" customWidth="1"/>
    <col min="3075" max="3075" width="4.7109375" style="442" customWidth="1"/>
    <col min="3076" max="3076" width="9.42578125" style="442" customWidth="1"/>
    <col min="3077" max="3077" width="44" style="442" customWidth="1"/>
    <col min="3078" max="3078" width="4.7109375" style="442" customWidth="1"/>
    <col min="3079" max="3079" width="7.7109375" style="442" customWidth="1"/>
    <col min="3080" max="3080" width="8.7109375" style="442" customWidth="1"/>
    <col min="3081" max="3081" width="10" style="442" customWidth="1"/>
    <col min="3082" max="3092" width="0" style="442" hidden="1" customWidth="1"/>
    <col min="3093" max="3328" width="9.140625" style="442"/>
    <col min="3329" max="3329" width="5.28515625" style="442" customWidth="1"/>
    <col min="3330" max="3330" width="6.140625" style="442" customWidth="1"/>
    <col min="3331" max="3331" width="4.7109375" style="442" customWidth="1"/>
    <col min="3332" max="3332" width="9.42578125" style="442" customWidth="1"/>
    <col min="3333" max="3333" width="44" style="442" customWidth="1"/>
    <col min="3334" max="3334" width="4.7109375" style="442" customWidth="1"/>
    <col min="3335" max="3335" width="7.7109375" style="442" customWidth="1"/>
    <col min="3336" max="3336" width="8.7109375" style="442" customWidth="1"/>
    <col min="3337" max="3337" width="10" style="442" customWidth="1"/>
    <col min="3338" max="3348" width="0" style="442" hidden="1" customWidth="1"/>
    <col min="3349" max="3584" width="9.140625" style="442"/>
    <col min="3585" max="3585" width="5.28515625" style="442" customWidth="1"/>
    <col min="3586" max="3586" width="6.140625" style="442" customWidth="1"/>
    <col min="3587" max="3587" width="4.7109375" style="442" customWidth="1"/>
    <col min="3588" max="3588" width="9.42578125" style="442" customWidth="1"/>
    <col min="3589" max="3589" width="44" style="442" customWidth="1"/>
    <col min="3590" max="3590" width="4.7109375" style="442" customWidth="1"/>
    <col min="3591" max="3591" width="7.7109375" style="442" customWidth="1"/>
    <col min="3592" max="3592" width="8.7109375" style="442" customWidth="1"/>
    <col min="3593" max="3593" width="10" style="442" customWidth="1"/>
    <col min="3594" max="3604" width="0" style="442" hidden="1" customWidth="1"/>
    <col min="3605" max="3840" width="9.140625" style="442"/>
    <col min="3841" max="3841" width="5.28515625" style="442" customWidth="1"/>
    <col min="3842" max="3842" width="6.140625" style="442" customWidth="1"/>
    <col min="3843" max="3843" width="4.7109375" style="442" customWidth="1"/>
    <col min="3844" max="3844" width="9.42578125" style="442" customWidth="1"/>
    <col min="3845" max="3845" width="44" style="442" customWidth="1"/>
    <col min="3846" max="3846" width="4.7109375" style="442" customWidth="1"/>
    <col min="3847" max="3847" width="7.7109375" style="442" customWidth="1"/>
    <col min="3848" max="3848" width="8.7109375" style="442" customWidth="1"/>
    <col min="3849" max="3849" width="10" style="442" customWidth="1"/>
    <col min="3850" max="3860" width="0" style="442" hidden="1" customWidth="1"/>
    <col min="3861" max="4096" width="9.140625" style="442"/>
    <col min="4097" max="4097" width="5.28515625" style="442" customWidth="1"/>
    <col min="4098" max="4098" width="6.140625" style="442" customWidth="1"/>
    <col min="4099" max="4099" width="4.7109375" style="442" customWidth="1"/>
    <col min="4100" max="4100" width="9.42578125" style="442" customWidth="1"/>
    <col min="4101" max="4101" width="44" style="442" customWidth="1"/>
    <col min="4102" max="4102" width="4.7109375" style="442" customWidth="1"/>
    <col min="4103" max="4103" width="7.7109375" style="442" customWidth="1"/>
    <col min="4104" max="4104" width="8.7109375" style="442" customWidth="1"/>
    <col min="4105" max="4105" width="10" style="442" customWidth="1"/>
    <col min="4106" max="4116" width="0" style="442" hidden="1" customWidth="1"/>
    <col min="4117" max="4352" width="9.140625" style="442"/>
    <col min="4353" max="4353" width="5.28515625" style="442" customWidth="1"/>
    <col min="4354" max="4354" width="6.140625" style="442" customWidth="1"/>
    <col min="4355" max="4355" width="4.7109375" style="442" customWidth="1"/>
    <col min="4356" max="4356" width="9.42578125" style="442" customWidth="1"/>
    <col min="4357" max="4357" width="44" style="442" customWidth="1"/>
    <col min="4358" max="4358" width="4.7109375" style="442" customWidth="1"/>
    <col min="4359" max="4359" width="7.7109375" style="442" customWidth="1"/>
    <col min="4360" max="4360" width="8.7109375" style="442" customWidth="1"/>
    <col min="4361" max="4361" width="10" style="442" customWidth="1"/>
    <col min="4362" max="4372" width="0" style="442" hidden="1" customWidth="1"/>
    <col min="4373" max="4608" width="9.140625" style="442"/>
    <col min="4609" max="4609" width="5.28515625" style="442" customWidth="1"/>
    <col min="4610" max="4610" width="6.140625" style="442" customWidth="1"/>
    <col min="4611" max="4611" width="4.7109375" style="442" customWidth="1"/>
    <col min="4612" max="4612" width="9.42578125" style="442" customWidth="1"/>
    <col min="4613" max="4613" width="44" style="442" customWidth="1"/>
    <col min="4614" max="4614" width="4.7109375" style="442" customWidth="1"/>
    <col min="4615" max="4615" width="7.7109375" style="442" customWidth="1"/>
    <col min="4616" max="4616" width="8.7109375" style="442" customWidth="1"/>
    <col min="4617" max="4617" width="10" style="442" customWidth="1"/>
    <col min="4618" max="4628" width="0" style="442" hidden="1" customWidth="1"/>
    <col min="4629" max="4864" width="9.140625" style="442"/>
    <col min="4865" max="4865" width="5.28515625" style="442" customWidth="1"/>
    <col min="4866" max="4866" width="6.140625" style="442" customWidth="1"/>
    <col min="4867" max="4867" width="4.7109375" style="442" customWidth="1"/>
    <col min="4868" max="4868" width="9.42578125" style="442" customWidth="1"/>
    <col min="4869" max="4869" width="44" style="442" customWidth="1"/>
    <col min="4870" max="4870" width="4.7109375" style="442" customWidth="1"/>
    <col min="4871" max="4871" width="7.7109375" style="442" customWidth="1"/>
    <col min="4872" max="4872" width="8.7109375" style="442" customWidth="1"/>
    <col min="4873" max="4873" width="10" style="442" customWidth="1"/>
    <col min="4874" max="4884" width="0" style="442" hidden="1" customWidth="1"/>
    <col min="4885" max="5120" width="9.140625" style="442"/>
    <col min="5121" max="5121" width="5.28515625" style="442" customWidth="1"/>
    <col min="5122" max="5122" width="6.140625" style="442" customWidth="1"/>
    <col min="5123" max="5123" width="4.7109375" style="442" customWidth="1"/>
    <col min="5124" max="5124" width="9.42578125" style="442" customWidth="1"/>
    <col min="5125" max="5125" width="44" style="442" customWidth="1"/>
    <col min="5126" max="5126" width="4.7109375" style="442" customWidth="1"/>
    <col min="5127" max="5127" width="7.7109375" style="442" customWidth="1"/>
    <col min="5128" max="5128" width="8.7109375" style="442" customWidth="1"/>
    <col min="5129" max="5129" width="10" style="442" customWidth="1"/>
    <col min="5130" max="5140" width="0" style="442" hidden="1" customWidth="1"/>
    <col min="5141" max="5376" width="9.140625" style="442"/>
    <col min="5377" max="5377" width="5.28515625" style="442" customWidth="1"/>
    <col min="5378" max="5378" width="6.140625" style="442" customWidth="1"/>
    <col min="5379" max="5379" width="4.7109375" style="442" customWidth="1"/>
    <col min="5380" max="5380" width="9.42578125" style="442" customWidth="1"/>
    <col min="5381" max="5381" width="44" style="442" customWidth="1"/>
    <col min="5382" max="5382" width="4.7109375" style="442" customWidth="1"/>
    <col min="5383" max="5383" width="7.7109375" style="442" customWidth="1"/>
    <col min="5384" max="5384" width="8.7109375" style="442" customWidth="1"/>
    <col min="5385" max="5385" width="10" style="442" customWidth="1"/>
    <col min="5386" max="5396" width="0" style="442" hidden="1" customWidth="1"/>
    <col min="5397" max="5632" width="9.140625" style="442"/>
    <col min="5633" max="5633" width="5.28515625" style="442" customWidth="1"/>
    <col min="5634" max="5634" width="6.140625" style="442" customWidth="1"/>
    <col min="5635" max="5635" width="4.7109375" style="442" customWidth="1"/>
    <col min="5636" max="5636" width="9.42578125" style="442" customWidth="1"/>
    <col min="5637" max="5637" width="44" style="442" customWidth="1"/>
    <col min="5638" max="5638" width="4.7109375" style="442" customWidth="1"/>
    <col min="5639" max="5639" width="7.7109375" style="442" customWidth="1"/>
    <col min="5640" max="5640" width="8.7109375" style="442" customWidth="1"/>
    <col min="5641" max="5641" width="10" style="442" customWidth="1"/>
    <col min="5642" max="5652" width="0" style="442" hidden="1" customWidth="1"/>
    <col min="5653" max="5888" width="9.140625" style="442"/>
    <col min="5889" max="5889" width="5.28515625" style="442" customWidth="1"/>
    <col min="5890" max="5890" width="6.140625" style="442" customWidth="1"/>
    <col min="5891" max="5891" width="4.7109375" style="442" customWidth="1"/>
    <col min="5892" max="5892" width="9.42578125" style="442" customWidth="1"/>
    <col min="5893" max="5893" width="44" style="442" customWidth="1"/>
    <col min="5894" max="5894" width="4.7109375" style="442" customWidth="1"/>
    <col min="5895" max="5895" width="7.7109375" style="442" customWidth="1"/>
    <col min="5896" max="5896" width="8.7109375" style="442" customWidth="1"/>
    <col min="5897" max="5897" width="10" style="442" customWidth="1"/>
    <col min="5898" max="5908" width="0" style="442" hidden="1" customWidth="1"/>
    <col min="5909" max="6144" width="9.140625" style="442"/>
    <col min="6145" max="6145" width="5.28515625" style="442" customWidth="1"/>
    <col min="6146" max="6146" width="6.140625" style="442" customWidth="1"/>
    <col min="6147" max="6147" width="4.7109375" style="442" customWidth="1"/>
    <col min="6148" max="6148" width="9.42578125" style="442" customWidth="1"/>
    <col min="6149" max="6149" width="44" style="442" customWidth="1"/>
    <col min="6150" max="6150" width="4.7109375" style="442" customWidth="1"/>
    <col min="6151" max="6151" width="7.7109375" style="442" customWidth="1"/>
    <col min="6152" max="6152" width="8.7109375" style="442" customWidth="1"/>
    <col min="6153" max="6153" width="10" style="442" customWidth="1"/>
    <col min="6154" max="6164" width="0" style="442" hidden="1" customWidth="1"/>
    <col min="6165" max="6400" width="9.140625" style="442"/>
    <col min="6401" max="6401" width="5.28515625" style="442" customWidth="1"/>
    <col min="6402" max="6402" width="6.140625" style="442" customWidth="1"/>
    <col min="6403" max="6403" width="4.7109375" style="442" customWidth="1"/>
    <col min="6404" max="6404" width="9.42578125" style="442" customWidth="1"/>
    <col min="6405" max="6405" width="44" style="442" customWidth="1"/>
    <col min="6406" max="6406" width="4.7109375" style="442" customWidth="1"/>
    <col min="6407" max="6407" width="7.7109375" style="442" customWidth="1"/>
    <col min="6408" max="6408" width="8.7109375" style="442" customWidth="1"/>
    <col min="6409" max="6409" width="10" style="442" customWidth="1"/>
    <col min="6410" max="6420" width="0" style="442" hidden="1" customWidth="1"/>
    <col min="6421" max="6656" width="9.140625" style="442"/>
    <col min="6657" max="6657" width="5.28515625" style="442" customWidth="1"/>
    <col min="6658" max="6658" width="6.140625" style="442" customWidth="1"/>
    <col min="6659" max="6659" width="4.7109375" style="442" customWidth="1"/>
    <col min="6660" max="6660" width="9.42578125" style="442" customWidth="1"/>
    <col min="6661" max="6661" width="44" style="442" customWidth="1"/>
    <col min="6662" max="6662" width="4.7109375" style="442" customWidth="1"/>
    <col min="6663" max="6663" width="7.7109375" style="442" customWidth="1"/>
    <col min="6664" max="6664" width="8.7109375" style="442" customWidth="1"/>
    <col min="6665" max="6665" width="10" style="442" customWidth="1"/>
    <col min="6666" max="6676" width="0" style="442" hidden="1" customWidth="1"/>
    <col min="6677" max="6912" width="9.140625" style="442"/>
    <col min="6913" max="6913" width="5.28515625" style="442" customWidth="1"/>
    <col min="6914" max="6914" width="6.140625" style="442" customWidth="1"/>
    <col min="6915" max="6915" width="4.7109375" style="442" customWidth="1"/>
    <col min="6916" max="6916" width="9.42578125" style="442" customWidth="1"/>
    <col min="6917" max="6917" width="44" style="442" customWidth="1"/>
    <col min="6918" max="6918" width="4.7109375" style="442" customWidth="1"/>
    <col min="6919" max="6919" width="7.7109375" style="442" customWidth="1"/>
    <col min="6920" max="6920" width="8.7109375" style="442" customWidth="1"/>
    <col min="6921" max="6921" width="10" style="442" customWidth="1"/>
    <col min="6922" max="6932" width="0" style="442" hidden="1" customWidth="1"/>
    <col min="6933" max="7168" width="9.140625" style="442"/>
    <col min="7169" max="7169" width="5.28515625" style="442" customWidth="1"/>
    <col min="7170" max="7170" width="6.140625" style="442" customWidth="1"/>
    <col min="7171" max="7171" width="4.7109375" style="442" customWidth="1"/>
    <col min="7172" max="7172" width="9.42578125" style="442" customWidth="1"/>
    <col min="7173" max="7173" width="44" style="442" customWidth="1"/>
    <col min="7174" max="7174" width="4.7109375" style="442" customWidth="1"/>
    <col min="7175" max="7175" width="7.7109375" style="442" customWidth="1"/>
    <col min="7176" max="7176" width="8.7109375" style="442" customWidth="1"/>
    <col min="7177" max="7177" width="10" style="442" customWidth="1"/>
    <col min="7178" max="7188" width="0" style="442" hidden="1" customWidth="1"/>
    <col min="7189" max="7424" width="9.140625" style="442"/>
    <col min="7425" max="7425" width="5.28515625" style="442" customWidth="1"/>
    <col min="7426" max="7426" width="6.140625" style="442" customWidth="1"/>
    <col min="7427" max="7427" width="4.7109375" style="442" customWidth="1"/>
    <col min="7428" max="7428" width="9.42578125" style="442" customWidth="1"/>
    <col min="7429" max="7429" width="44" style="442" customWidth="1"/>
    <col min="7430" max="7430" width="4.7109375" style="442" customWidth="1"/>
    <col min="7431" max="7431" width="7.7109375" style="442" customWidth="1"/>
    <col min="7432" max="7432" width="8.7109375" style="442" customWidth="1"/>
    <col min="7433" max="7433" width="10" style="442" customWidth="1"/>
    <col min="7434" max="7444" width="0" style="442" hidden="1" customWidth="1"/>
    <col min="7445" max="7680" width="9.140625" style="442"/>
    <col min="7681" max="7681" width="5.28515625" style="442" customWidth="1"/>
    <col min="7682" max="7682" width="6.140625" style="442" customWidth="1"/>
    <col min="7683" max="7683" width="4.7109375" style="442" customWidth="1"/>
    <col min="7684" max="7684" width="9.42578125" style="442" customWidth="1"/>
    <col min="7685" max="7685" width="44" style="442" customWidth="1"/>
    <col min="7686" max="7686" width="4.7109375" style="442" customWidth="1"/>
    <col min="7687" max="7687" width="7.7109375" style="442" customWidth="1"/>
    <col min="7688" max="7688" width="8.7109375" style="442" customWidth="1"/>
    <col min="7689" max="7689" width="10" style="442" customWidth="1"/>
    <col min="7690" max="7700" width="0" style="442" hidden="1" customWidth="1"/>
    <col min="7701" max="7936" width="9.140625" style="442"/>
    <col min="7937" max="7937" width="5.28515625" style="442" customWidth="1"/>
    <col min="7938" max="7938" width="6.140625" style="442" customWidth="1"/>
    <col min="7939" max="7939" width="4.7109375" style="442" customWidth="1"/>
    <col min="7940" max="7940" width="9.42578125" style="442" customWidth="1"/>
    <col min="7941" max="7941" width="44" style="442" customWidth="1"/>
    <col min="7942" max="7942" width="4.7109375" style="442" customWidth="1"/>
    <col min="7943" max="7943" width="7.7109375" style="442" customWidth="1"/>
    <col min="7944" max="7944" width="8.7109375" style="442" customWidth="1"/>
    <col min="7945" max="7945" width="10" style="442" customWidth="1"/>
    <col min="7946" max="7956" width="0" style="442" hidden="1" customWidth="1"/>
    <col min="7957" max="8192" width="9.140625" style="442"/>
    <col min="8193" max="8193" width="5.28515625" style="442" customWidth="1"/>
    <col min="8194" max="8194" width="6.140625" style="442" customWidth="1"/>
    <col min="8195" max="8195" width="4.7109375" style="442" customWidth="1"/>
    <col min="8196" max="8196" width="9.42578125" style="442" customWidth="1"/>
    <col min="8197" max="8197" width="44" style="442" customWidth="1"/>
    <col min="8198" max="8198" width="4.7109375" style="442" customWidth="1"/>
    <col min="8199" max="8199" width="7.7109375" style="442" customWidth="1"/>
    <col min="8200" max="8200" width="8.7109375" style="442" customWidth="1"/>
    <col min="8201" max="8201" width="10" style="442" customWidth="1"/>
    <col min="8202" max="8212" width="0" style="442" hidden="1" customWidth="1"/>
    <col min="8213" max="8448" width="9.140625" style="442"/>
    <col min="8449" max="8449" width="5.28515625" style="442" customWidth="1"/>
    <col min="8450" max="8450" width="6.140625" style="442" customWidth="1"/>
    <col min="8451" max="8451" width="4.7109375" style="442" customWidth="1"/>
    <col min="8452" max="8452" width="9.42578125" style="442" customWidth="1"/>
    <col min="8453" max="8453" width="44" style="442" customWidth="1"/>
    <col min="8454" max="8454" width="4.7109375" style="442" customWidth="1"/>
    <col min="8455" max="8455" width="7.7109375" style="442" customWidth="1"/>
    <col min="8456" max="8456" width="8.7109375" style="442" customWidth="1"/>
    <col min="8457" max="8457" width="10" style="442" customWidth="1"/>
    <col min="8458" max="8468" width="0" style="442" hidden="1" customWidth="1"/>
    <col min="8469" max="8704" width="9.140625" style="442"/>
    <col min="8705" max="8705" width="5.28515625" style="442" customWidth="1"/>
    <col min="8706" max="8706" width="6.140625" style="442" customWidth="1"/>
    <col min="8707" max="8707" width="4.7109375" style="442" customWidth="1"/>
    <col min="8708" max="8708" width="9.42578125" style="442" customWidth="1"/>
    <col min="8709" max="8709" width="44" style="442" customWidth="1"/>
    <col min="8710" max="8710" width="4.7109375" style="442" customWidth="1"/>
    <col min="8711" max="8711" width="7.7109375" style="442" customWidth="1"/>
    <col min="8712" max="8712" width="8.7109375" style="442" customWidth="1"/>
    <col min="8713" max="8713" width="10" style="442" customWidth="1"/>
    <col min="8714" max="8724" width="0" style="442" hidden="1" customWidth="1"/>
    <col min="8725" max="8960" width="9.140625" style="442"/>
    <col min="8961" max="8961" width="5.28515625" style="442" customWidth="1"/>
    <col min="8962" max="8962" width="6.140625" style="442" customWidth="1"/>
    <col min="8963" max="8963" width="4.7109375" style="442" customWidth="1"/>
    <col min="8964" max="8964" width="9.42578125" style="442" customWidth="1"/>
    <col min="8965" max="8965" width="44" style="442" customWidth="1"/>
    <col min="8966" max="8966" width="4.7109375" style="442" customWidth="1"/>
    <col min="8967" max="8967" width="7.7109375" style="442" customWidth="1"/>
    <col min="8968" max="8968" width="8.7109375" style="442" customWidth="1"/>
    <col min="8969" max="8969" width="10" style="442" customWidth="1"/>
    <col min="8970" max="8980" width="0" style="442" hidden="1" customWidth="1"/>
    <col min="8981" max="9216" width="9.140625" style="442"/>
    <col min="9217" max="9217" width="5.28515625" style="442" customWidth="1"/>
    <col min="9218" max="9218" width="6.140625" style="442" customWidth="1"/>
    <col min="9219" max="9219" width="4.7109375" style="442" customWidth="1"/>
    <col min="9220" max="9220" width="9.42578125" style="442" customWidth="1"/>
    <col min="9221" max="9221" width="44" style="442" customWidth="1"/>
    <col min="9222" max="9222" width="4.7109375" style="442" customWidth="1"/>
    <col min="9223" max="9223" width="7.7109375" style="442" customWidth="1"/>
    <col min="9224" max="9224" width="8.7109375" style="442" customWidth="1"/>
    <col min="9225" max="9225" width="10" style="442" customWidth="1"/>
    <col min="9226" max="9236" width="0" style="442" hidden="1" customWidth="1"/>
    <col min="9237" max="9472" width="9.140625" style="442"/>
    <col min="9473" max="9473" width="5.28515625" style="442" customWidth="1"/>
    <col min="9474" max="9474" width="6.140625" style="442" customWidth="1"/>
    <col min="9475" max="9475" width="4.7109375" style="442" customWidth="1"/>
    <col min="9476" max="9476" width="9.42578125" style="442" customWidth="1"/>
    <col min="9477" max="9477" width="44" style="442" customWidth="1"/>
    <col min="9478" max="9478" width="4.7109375" style="442" customWidth="1"/>
    <col min="9479" max="9479" width="7.7109375" style="442" customWidth="1"/>
    <col min="9480" max="9480" width="8.7109375" style="442" customWidth="1"/>
    <col min="9481" max="9481" width="10" style="442" customWidth="1"/>
    <col min="9482" max="9492" width="0" style="442" hidden="1" customWidth="1"/>
    <col min="9493" max="9728" width="9.140625" style="442"/>
    <col min="9729" max="9729" width="5.28515625" style="442" customWidth="1"/>
    <col min="9730" max="9730" width="6.140625" style="442" customWidth="1"/>
    <col min="9731" max="9731" width="4.7109375" style="442" customWidth="1"/>
    <col min="9732" max="9732" width="9.42578125" style="442" customWidth="1"/>
    <col min="9733" max="9733" width="44" style="442" customWidth="1"/>
    <col min="9734" max="9734" width="4.7109375" style="442" customWidth="1"/>
    <col min="9735" max="9735" width="7.7109375" style="442" customWidth="1"/>
    <col min="9736" max="9736" width="8.7109375" style="442" customWidth="1"/>
    <col min="9737" max="9737" width="10" style="442" customWidth="1"/>
    <col min="9738" max="9748" width="0" style="442" hidden="1" customWidth="1"/>
    <col min="9749" max="9984" width="9.140625" style="442"/>
    <col min="9985" max="9985" width="5.28515625" style="442" customWidth="1"/>
    <col min="9986" max="9986" width="6.140625" style="442" customWidth="1"/>
    <col min="9987" max="9987" width="4.7109375" style="442" customWidth="1"/>
    <col min="9988" max="9988" width="9.42578125" style="442" customWidth="1"/>
    <col min="9989" max="9989" width="44" style="442" customWidth="1"/>
    <col min="9990" max="9990" width="4.7109375" style="442" customWidth="1"/>
    <col min="9991" max="9991" width="7.7109375" style="442" customWidth="1"/>
    <col min="9992" max="9992" width="8.7109375" style="442" customWidth="1"/>
    <col min="9993" max="9993" width="10" style="442" customWidth="1"/>
    <col min="9994" max="10004" width="0" style="442" hidden="1" customWidth="1"/>
    <col min="10005" max="10240" width="9.140625" style="442"/>
    <col min="10241" max="10241" width="5.28515625" style="442" customWidth="1"/>
    <col min="10242" max="10242" width="6.140625" style="442" customWidth="1"/>
    <col min="10243" max="10243" width="4.7109375" style="442" customWidth="1"/>
    <col min="10244" max="10244" width="9.42578125" style="442" customWidth="1"/>
    <col min="10245" max="10245" width="44" style="442" customWidth="1"/>
    <col min="10246" max="10246" width="4.7109375" style="442" customWidth="1"/>
    <col min="10247" max="10247" width="7.7109375" style="442" customWidth="1"/>
    <col min="10248" max="10248" width="8.7109375" style="442" customWidth="1"/>
    <col min="10249" max="10249" width="10" style="442" customWidth="1"/>
    <col min="10250" max="10260" width="0" style="442" hidden="1" customWidth="1"/>
    <col min="10261" max="10496" width="9.140625" style="442"/>
    <col min="10497" max="10497" width="5.28515625" style="442" customWidth="1"/>
    <col min="10498" max="10498" width="6.140625" style="442" customWidth="1"/>
    <col min="10499" max="10499" width="4.7109375" style="442" customWidth="1"/>
    <col min="10500" max="10500" width="9.42578125" style="442" customWidth="1"/>
    <col min="10501" max="10501" width="44" style="442" customWidth="1"/>
    <col min="10502" max="10502" width="4.7109375" style="442" customWidth="1"/>
    <col min="10503" max="10503" width="7.7109375" style="442" customWidth="1"/>
    <col min="10504" max="10504" width="8.7109375" style="442" customWidth="1"/>
    <col min="10505" max="10505" width="10" style="442" customWidth="1"/>
    <col min="10506" max="10516" width="0" style="442" hidden="1" customWidth="1"/>
    <col min="10517" max="10752" width="9.140625" style="442"/>
    <col min="10753" max="10753" width="5.28515625" style="442" customWidth="1"/>
    <col min="10754" max="10754" width="6.140625" style="442" customWidth="1"/>
    <col min="10755" max="10755" width="4.7109375" style="442" customWidth="1"/>
    <col min="10756" max="10756" width="9.42578125" style="442" customWidth="1"/>
    <col min="10757" max="10757" width="44" style="442" customWidth="1"/>
    <col min="10758" max="10758" width="4.7109375" style="442" customWidth="1"/>
    <col min="10759" max="10759" width="7.7109375" style="442" customWidth="1"/>
    <col min="10760" max="10760" width="8.7109375" style="442" customWidth="1"/>
    <col min="10761" max="10761" width="10" style="442" customWidth="1"/>
    <col min="10762" max="10772" width="0" style="442" hidden="1" customWidth="1"/>
    <col min="10773" max="11008" width="9.140625" style="442"/>
    <col min="11009" max="11009" width="5.28515625" style="442" customWidth="1"/>
    <col min="11010" max="11010" width="6.140625" style="442" customWidth="1"/>
    <col min="11011" max="11011" width="4.7109375" style="442" customWidth="1"/>
    <col min="11012" max="11012" width="9.42578125" style="442" customWidth="1"/>
    <col min="11013" max="11013" width="44" style="442" customWidth="1"/>
    <col min="11014" max="11014" width="4.7109375" style="442" customWidth="1"/>
    <col min="11015" max="11015" width="7.7109375" style="442" customWidth="1"/>
    <col min="11016" max="11016" width="8.7109375" style="442" customWidth="1"/>
    <col min="11017" max="11017" width="10" style="442" customWidth="1"/>
    <col min="11018" max="11028" width="0" style="442" hidden="1" customWidth="1"/>
    <col min="11029" max="11264" width="9.140625" style="442"/>
    <col min="11265" max="11265" width="5.28515625" style="442" customWidth="1"/>
    <col min="11266" max="11266" width="6.140625" style="442" customWidth="1"/>
    <col min="11267" max="11267" width="4.7109375" style="442" customWidth="1"/>
    <col min="11268" max="11268" width="9.42578125" style="442" customWidth="1"/>
    <col min="11269" max="11269" width="44" style="442" customWidth="1"/>
    <col min="11270" max="11270" width="4.7109375" style="442" customWidth="1"/>
    <col min="11271" max="11271" width="7.7109375" style="442" customWidth="1"/>
    <col min="11272" max="11272" width="8.7109375" style="442" customWidth="1"/>
    <col min="11273" max="11273" width="10" style="442" customWidth="1"/>
    <col min="11274" max="11284" width="0" style="442" hidden="1" customWidth="1"/>
    <col min="11285" max="11520" width="9.140625" style="442"/>
    <col min="11521" max="11521" width="5.28515625" style="442" customWidth="1"/>
    <col min="11522" max="11522" width="6.140625" style="442" customWidth="1"/>
    <col min="11523" max="11523" width="4.7109375" style="442" customWidth="1"/>
    <col min="11524" max="11524" width="9.42578125" style="442" customWidth="1"/>
    <col min="11525" max="11525" width="44" style="442" customWidth="1"/>
    <col min="11526" max="11526" width="4.7109375" style="442" customWidth="1"/>
    <col min="11527" max="11527" width="7.7109375" style="442" customWidth="1"/>
    <col min="11528" max="11528" width="8.7109375" style="442" customWidth="1"/>
    <col min="11529" max="11529" width="10" style="442" customWidth="1"/>
    <col min="11530" max="11540" width="0" style="442" hidden="1" customWidth="1"/>
    <col min="11541" max="11776" width="9.140625" style="442"/>
    <col min="11777" max="11777" width="5.28515625" style="442" customWidth="1"/>
    <col min="11778" max="11778" width="6.140625" style="442" customWidth="1"/>
    <col min="11779" max="11779" width="4.7109375" style="442" customWidth="1"/>
    <col min="11780" max="11780" width="9.42578125" style="442" customWidth="1"/>
    <col min="11781" max="11781" width="44" style="442" customWidth="1"/>
    <col min="11782" max="11782" width="4.7109375" style="442" customWidth="1"/>
    <col min="11783" max="11783" width="7.7109375" style="442" customWidth="1"/>
    <col min="11784" max="11784" width="8.7109375" style="442" customWidth="1"/>
    <col min="11785" max="11785" width="10" style="442" customWidth="1"/>
    <col min="11786" max="11796" width="0" style="442" hidden="1" customWidth="1"/>
    <col min="11797" max="12032" width="9.140625" style="442"/>
    <col min="12033" max="12033" width="5.28515625" style="442" customWidth="1"/>
    <col min="12034" max="12034" width="6.140625" style="442" customWidth="1"/>
    <col min="12035" max="12035" width="4.7109375" style="442" customWidth="1"/>
    <col min="12036" max="12036" width="9.42578125" style="442" customWidth="1"/>
    <col min="12037" max="12037" width="44" style="442" customWidth="1"/>
    <col min="12038" max="12038" width="4.7109375" style="442" customWidth="1"/>
    <col min="12039" max="12039" width="7.7109375" style="442" customWidth="1"/>
    <col min="12040" max="12040" width="8.7109375" style="442" customWidth="1"/>
    <col min="12041" max="12041" width="10" style="442" customWidth="1"/>
    <col min="12042" max="12052" width="0" style="442" hidden="1" customWidth="1"/>
    <col min="12053" max="12288" width="9.140625" style="442"/>
    <col min="12289" max="12289" width="5.28515625" style="442" customWidth="1"/>
    <col min="12290" max="12290" width="6.140625" style="442" customWidth="1"/>
    <col min="12291" max="12291" width="4.7109375" style="442" customWidth="1"/>
    <col min="12292" max="12292" width="9.42578125" style="442" customWidth="1"/>
    <col min="12293" max="12293" width="44" style="442" customWidth="1"/>
    <col min="12294" max="12294" width="4.7109375" style="442" customWidth="1"/>
    <col min="12295" max="12295" width="7.7109375" style="442" customWidth="1"/>
    <col min="12296" max="12296" width="8.7109375" style="442" customWidth="1"/>
    <col min="12297" max="12297" width="10" style="442" customWidth="1"/>
    <col min="12298" max="12308" width="0" style="442" hidden="1" customWidth="1"/>
    <col min="12309" max="12544" width="9.140625" style="442"/>
    <col min="12545" max="12545" width="5.28515625" style="442" customWidth="1"/>
    <col min="12546" max="12546" width="6.140625" style="442" customWidth="1"/>
    <col min="12547" max="12547" width="4.7109375" style="442" customWidth="1"/>
    <col min="12548" max="12548" width="9.42578125" style="442" customWidth="1"/>
    <col min="12549" max="12549" width="44" style="442" customWidth="1"/>
    <col min="12550" max="12550" width="4.7109375" style="442" customWidth="1"/>
    <col min="12551" max="12551" width="7.7109375" style="442" customWidth="1"/>
    <col min="12552" max="12552" width="8.7109375" style="442" customWidth="1"/>
    <col min="12553" max="12553" width="10" style="442" customWidth="1"/>
    <col min="12554" max="12564" width="0" style="442" hidden="1" customWidth="1"/>
    <col min="12565" max="12800" width="9.140625" style="442"/>
    <col min="12801" max="12801" width="5.28515625" style="442" customWidth="1"/>
    <col min="12802" max="12802" width="6.140625" style="442" customWidth="1"/>
    <col min="12803" max="12803" width="4.7109375" style="442" customWidth="1"/>
    <col min="12804" max="12804" width="9.42578125" style="442" customWidth="1"/>
    <col min="12805" max="12805" width="44" style="442" customWidth="1"/>
    <col min="12806" max="12806" width="4.7109375" style="442" customWidth="1"/>
    <col min="12807" max="12807" width="7.7109375" style="442" customWidth="1"/>
    <col min="12808" max="12808" width="8.7109375" style="442" customWidth="1"/>
    <col min="12809" max="12809" width="10" style="442" customWidth="1"/>
    <col min="12810" max="12820" width="0" style="442" hidden="1" customWidth="1"/>
    <col min="12821" max="13056" width="9.140625" style="442"/>
    <col min="13057" max="13057" width="5.28515625" style="442" customWidth="1"/>
    <col min="13058" max="13058" width="6.140625" style="442" customWidth="1"/>
    <col min="13059" max="13059" width="4.7109375" style="442" customWidth="1"/>
    <col min="13060" max="13060" width="9.42578125" style="442" customWidth="1"/>
    <col min="13061" max="13061" width="44" style="442" customWidth="1"/>
    <col min="13062" max="13062" width="4.7109375" style="442" customWidth="1"/>
    <col min="13063" max="13063" width="7.7109375" style="442" customWidth="1"/>
    <col min="13064" max="13064" width="8.7109375" style="442" customWidth="1"/>
    <col min="13065" max="13065" width="10" style="442" customWidth="1"/>
    <col min="13066" max="13076" width="0" style="442" hidden="1" customWidth="1"/>
    <col min="13077" max="13312" width="9.140625" style="442"/>
    <col min="13313" max="13313" width="5.28515625" style="442" customWidth="1"/>
    <col min="13314" max="13314" width="6.140625" style="442" customWidth="1"/>
    <col min="13315" max="13315" width="4.7109375" style="442" customWidth="1"/>
    <col min="13316" max="13316" width="9.42578125" style="442" customWidth="1"/>
    <col min="13317" max="13317" width="44" style="442" customWidth="1"/>
    <col min="13318" max="13318" width="4.7109375" style="442" customWidth="1"/>
    <col min="13319" max="13319" width="7.7109375" style="442" customWidth="1"/>
    <col min="13320" max="13320" width="8.7109375" style="442" customWidth="1"/>
    <col min="13321" max="13321" width="10" style="442" customWidth="1"/>
    <col min="13322" max="13332" width="0" style="442" hidden="1" customWidth="1"/>
    <col min="13333" max="13568" width="9.140625" style="442"/>
    <col min="13569" max="13569" width="5.28515625" style="442" customWidth="1"/>
    <col min="13570" max="13570" width="6.140625" style="442" customWidth="1"/>
    <col min="13571" max="13571" width="4.7109375" style="442" customWidth="1"/>
    <col min="13572" max="13572" width="9.42578125" style="442" customWidth="1"/>
    <col min="13573" max="13573" width="44" style="442" customWidth="1"/>
    <col min="13574" max="13574" width="4.7109375" style="442" customWidth="1"/>
    <col min="13575" max="13575" width="7.7109375" style="442" customWidth="1"/>
    <col min="13576" max="13576" width="8.7109375" style="442" customWidth="1"/>
    <col min="13577" max="13577" width="10" style="442" customWidth="1"/>
    <col min="13578" max="13588" width="0" style="442" hidden="1" customWidth="1"/>
    <col min="13589" max="13824" width="9.140625" style="442"/>
    <col min="13825" max="13825" width="5.28515625" style="442" customWidth="1"/>
    <col min="13826" max="13826" width="6.140625" style="442" customWidth="1"/>
    <col min="13827" max="13827" width="4.7109375" style="442" customWidth="1"/>
    <col min="13828" max="13828" width="9.42578125" style="442" customWidth="1"/>
    <col min="13829" max="13829" width="44" style="442" customWidth="1"/>
    <col min="13830" max="13830" width="4.7109375" style="442" customWidth="1"/>
    <col min="13831" max="13831" width="7.7109375" style="442" customWidth="1"/>
    <col min="13832" max="13832" width="8.7109375" style="442" customWidth="1"/>
    <col min="13833" max="13833" width="10" style="442" customWidth="1"/>
    <col min="13834" max="13844" width="0" style="442" hidden="1" customWidth="1"/>
    <col min="13845" max="14080" width="9.140625" style="442"/>
    <col min="14081" max="14081" width="5.28515625" style="442" customWidth="1"/>
    <col min="14082" max="14082" width="6.140625" style="442" customWidth="1"/>
    <col min="14083" max="14083" width="4.7109375" style="442" customWidth="1"/>
    <col min="14084" max="14084" width="9.42578125" style="442" customWidth="1"/>
    <col min="14085" max="14085" width="44" style="442" customWidth="1"/>
    <col min="14086" max="14086" width="4.7109375" style="442" customWidth="1"/>
    <col min="14087" max="14087" width="7.7109375" style="442" customWidth="1"/>
    <col min="14088" max="14088" width="8.7109375" style="442" customWidth="1"/>
    <col min="14089" max="14089" width="10" style="442" customWidth="1"/>
    <col min="14090" max="14100" width="0" style="442" hidden="1" customWidth="1"/>
    <col min="14101" max="14336" width="9.140625" style="442"/>
    <col min="14337" max="14337" width="5.28515625" style="442" customWidth="1"/>
    <col min="14338" max="14338" width="6.140625" style="442" customWidth="1"/>
    <col min="14339" max="14339" width="4.7109375" style="442" customWidth="1"/>
    <col min="14340" max="14340" width="9.42578125" style="442" customWidth="1"/>
    <col min="14341" max="14341" width="44" style="442" customWidth="1"/>
    <col min="14342" max="14342" width="4.7109375" style="442" customWidth="1"/>
    <col min="14343" max="14343" width="7.7109375" style="442" customWidth="1"/>
    <col min="14344" max="14344" width="8.7109375" style="442" customWidth="1"/>
    <col min="14345" max="14345" width="10" style="442" customWidth="1"/>
    <col min="14346" max="14356" width="0" style="442" hidden="1" customWidth="1"/>
    <col min="14357" max="14592" width="9.140625" style="442"/>
    <col min="14593" max="14593" width="5.28515625" style="442" customWidth="1"/>
    <col min="14594" max="14594" width="6.140625" style="442" customWidth="1"/>
    <col min="14595" max="14595" width="4.7109375" style="442" customWidth="1"/>
    <col min="14596" max="14596" width="9.42578125" style="442" customWidth="1"/>
    <col min="14597" max="14597" width="44" style="442" customWidth="1"/>
    <col min="14598" max="14598" width="4.7109375" style="442" customWidth="1"/>
    <col min="14599" max="14599" width="7.7109375" style="442" customWidth="1"/>
    <col min="14600" max="14600" width="8.7109375" style="442" customWidth="1"/>
    <col min="14601" max="14601" width="10" style="442" customWidth="1"/>
    <col min="14602" max="14612" width="0" style="442" hidden="1" customWidth="1"/>
    <col min="14613" max="14848" width="9.140625" style="442"/>
    <col min="14849" max="14849" width="5.28515625" style="442" customWidth="1"/>
    <col min="14850" max="14850" width="6.140625" style="442" customWidth="1"/>
    <col min="14851" max="14851" width="4.7109375" style="442" customWidth="1"/>
    <col min="14852" max="14852" width="9.42578125" style="442" customWidth="1"/>
    <col min="14853" max="14853" width="44" style="442" customWidth="1"/>
    <col min="14854" max="14854" width="4.7109375" style="442" customWidth="1"/>
    <col min="14855" max="14855" width="7.7109375" style="442" customWidth="1"/>
    <col min="14856" max="14856" width="8.7109375" style="442" customWidth="1"/>
    <col min="14857" max="14857" width="10" style="442" customWidth="1"/>
    <col min="14858" max="14868" width="0" style="442" hidden="1" customWidth="1"/>
    <col min="14869" max="15104" width="9.140625" style="442"/>
    <col min="15105" max="15105" width="5.28515625" style="442" customWidth="1"/>
    <col min="15106" max="15106" width="6.140625" style="442" customWidth="1"/>
    <col min="15107" max="15107" width="4.7109375" style="442" customWidth="1"/>
    <col min="15108" max="15108" width="9.42578125" style="442" customWidth="1"/>
    <col min="15109" max="15109" width="44" style="442" customWidth="1"/>
    <col min="15110" max="15110" width="4.7109375" style="442" customWidth="1"/>
    <col min="15111" max="15111" width="7.7109375" style="442" customWidth="1"/>
    <col min="15112" max="15112" width="8.7109375" style="442" customWidth="1"/>
    <col min="15113" max="15113" width="10" style="442" customWidth="1"/>
    <col min="15114" max="15124" width="0" style="442" hidden="1" customWidth="1"/>
    <col min="15125" max="15360" width="9.140625" style="442"/>
    <col min="15361" max="15361" width="5.28515625" style="442" customWidth="1"/>
    <col min="15362" max="15362" width="6.140625" style="442" customWidth="1"/>
    <col min="15363" max="15363" width="4.7109375" style="442" customWidth="1"/>
    <col min="15364" max="15364" width="9.42578125" style="442" customWidth="1"/>
    <col min="15365" max="15365" width="44" style="442" customWidth="1"/>
    <col min="15366" max="15366" width="4.7109375" style="442" customWidth="1"/>
    <col min="15367" max="15367" width="7.7109375" style="442" customWidth="1"/>
    <col min="15368" max="15368" width="8.7109375" style="442" customWidth="1"/>
    <col min="15369" max="15369" width="10" style="442" customWidth="1"/>
    <col min="15370" max="15380" width="0" style="442" hidden="1" customWidth="1"/>
    <col min="15381" max="15616" width="9.140625" style="442"/>
    <col min="15617" max="15617" width="5.28515625" style="442" customWidth="1"/>
    <col min="15618" max="15618" width="6.140625" style="442" customWidth="1"/>
    <col min="15619" max="15619" width="4.7109375" style="442" customWidth="1"/>
    <col min="15620" max="15620" width="9.42578125" style="442" customWidth="1"/>
    <col min="15621" max="15621" width="44" style="442" customWidth="1"/>
    <col min="15622" max="15622" width="4.7109375" style="442" customWidth="1"/>
    <col min="15623" max="15623" width="7.7109375" style="442" customWidth="1"/>
    <col min="15624" max="15624" width="8.7109375" style="442" customWidth="1"/>
    <col min="15625" max="15625" width="10" style="442" customWidth="1"/>
    <col min="15626" max="15636" width="0" style="442" hidden="1" customWidth="1"/>
    <col min="15637" max="15872" width="9.140625" style="442"/>
    <col min="15873" max="15873" width="5.28515625" style="442" customWidth="1"/>
    <col min="15874" max="15874" width="6.140625" style="442" customWidth="1"/>
    <col min="15875" max="15875" width="4.7109375" style="442" customWidth="1"/>
    <col min="15876" max="15876" width="9.42578125" style="442" customWidth="1"/>
    <col min="15877" max="15877" width="44" style="442" customWidth="1"/>
    <col min="15878" max="15878" width="4.7109375" style="442" customWidth="1"/>
    <col min="15879" max="15879" width="7.7109375" style="442" customWidth="1"/>
    <col min="15880" max="15880" width="8.7109375" style="442" customWidth="1"/>
    <col min="15881" max="15881" width="10" style="442" customWidth="1"/>
    <col min="15882" max="15892" width="0" style="442" hidden="1" customWidth="1"/>
    <col min="15893" max="16128" width="9.140625" style="442"/>
    <col min="16129" max="16129" width="5.28515625" style="442" customWidth="1"/>
    <col min="16130" max="16130" width="6.140625" style="442" customWidth="1"/>
    <col min="16131" max="16131" width="4.7109375" style="442" customWidth="1"/>
    <col min="16132" max="16132" width="9.42578125" style="442" customWidth="1"/>
    <col min="16133" max="16133" width="44" style="442" customWidth="1"/>
    <col min="16134" max="16134" width="4.7109375" style="442" customWidth="1"/>
    <col min="16135" max="16135" width="7.7109375" style="442" customWidth="1"/>
    <col min="16136" max="16136" width="8.7109375" style="442" customWidth="1"/>
    <col min="16137" max="16137" width="10" style="442" customWidth="1"/>
    <col min="16138" max="16148" width="0" style="442" hidden="1" customWidth="1"/>
    <col min="16149" max="16384" width="9.140625" style="442"/>
  </cols>
  <sheetData>
    <row r="1" spans="1:22" ht="18">
      <c r="A1" s="1110" t="s">
        <v>662</v>
      </c>
      <c r="B1" s="1110"/>
      <c r="C1" s="1110"/>
      <c r="D1" s="1110"/>
      <c r="E1" s="1110"/>
      <c r="F1" s="1110"/>
      <c r="G1" s="1110"/>
      <c r="H1" s="1110"/>
      <c r="I1" s="589"/>
      <c r="J1" s="435"/>
      <c r="K1" s="435"/>
      <c r="L1" s="435"/>
      <c r="M1" s="435"/>
      <c r="N1" s="435"/>
      <c r="O1" s="590"/>
      <c r="P1" s="590"/>
      <c r="Q1" s="435"/>
      <c r="R1" s="435"/>
      <c r="S1" s="435"/>
      <c r="T1" s="435"/>
    </row>
    <row r="2" spans="1:22">
      <c r="A2" s="445" t="s">
        <v>504</v>
      </c>
      <c r="B2" s="436"/>
      <c r="C2" s="443" t="s">
        <v>1041</v>
      </c>
      <c r="D2" s="442"/>
      <c r="E2" s="443"/>
      <c r="F2" s="438"/>
      <c r="G2" s="588"/>
      <c r="H2" s="589"/>
      <c r="I2" s="589"/>
      <c r="J2" s="444"/>
      <c r="K2" s="444"/>
      <c r="L2" s="435"/>
      <c r="M2" s="435"/>
      <c r="N2" s="435"/>
      <c r="O2" s="590"/>
      <c r="P2" s="590"/>
      <c r="Q2" s="435"/>
      <c r="R2" s="435"/>
      <c r="S2" s="435"/>
      <c r="T2" s="435"/>
    </row>
    <row r="3" spans="1:22">
      <c r="A3" s="445" t="s">
        <v>65</v>
      </c>
      <c r="B3" s="436"/>
      <c r="C3" s="443" t="s">
        <v>1042</v>
      </c>
      <c r="D3" s="442"/>
      <c r="E3" s="443"/>
      <c r="F3" s="438"/>
      <c r="G3" s="588"/>
      <c r="H3" s="589"/>
      <c r="I3" s="589"/>
      <c r="J3" s="444"/>
      <c r="K3" s="444"/>
      <c r="L3" s="435"/>
      <c r="M3" s="435"/>
      <c r="N3" s="435"/>
      <c r="O3" s="590"/>
      <c r="P3" s="590"/>
      <c r="Q3" s="435"/>
      <c r="R3" s="435"/>
      <c r="S3" s="435"/>
      <c r="T3" s="435"/>
    </row>
    <row r="4" spans="1:22" ht="6" customHeight="1">
      <c r="A4" s="443"/>
      <c r="B4" s="436"/>
      <c r="C4" s="445"/>
      <c r="D4" s="436"/>
      <c r="E4" s="444"/>
      <c r="F4" s="438"/>
      <c r="G4" s="588"/>
      <c r="H4" s="589"/>
      <c r="I4" s="589"/>
      <c r="J4" s="444"/>
      <c r="K4" s="444"/>
      <c r="L4" s="435"/>
      <c r="M4" s="435"/>
      <c r="N4" s="435"/>
      <c r="O4" s="590"/>
      <c r="P4" s="590"/>
      <c r="Q4" s="435"/>
      <c r="R4" s="435"/>
      <c r="S4" s="435"/>
      <c r="T4" s="435"/>
    </row>
    <row r="5" spans="1:22" hidden="1">
      <c r="A5" s="444" t="s">
        <v>774</v>
      </c>
      <c r="B5" s="436"/>
      <c r="C5" s="436" t="str">
        <f>'[3]Krycí list'!P5</f>
        <v/>
      </c>
      <c r="D5" s="436"/>
      <c r="E5" s="444"/>
      <c r="F5" s="438"/>
      <c r="G5" s="588"/>
      <c r="H5" s="589"/>
      <c r="I5" s="589"/>
      <c r="J5" s="444"/>
      <c r="K5" s="444"/>
      <c r="L5" s="435"/>
      <c r="M5" s="435"/>
      <c r="N5" s="435"/>
      <c r="O5" s="590"/>
      <c r="P5" s="590"/>
      <c r="Q5" s="435"/>
      <c r="R5" s="435"/>
      <c r="S5" s="435"/>
      <c r="T5" s="435"/>
    </row>
    <row r="6" spans="1:22" hidden="1">
      <c r="A6" s="444"/>
      <c r="B6" s="436"/>
      <c r="C6" s="436"/>
      <c r="D6" s="436"/>
      <c r="E6" s="444"/>
      <c r="F6" s="438"/>
      <c r="G6" s="588"/>
      <c r="H6" s="589"/>
      <c r="I6" s="589"/>
      <c r="J6" s="444"/>
      <c r="K6" s="444"/>
      <c r="L6" s="435"/>
      <c r="M6" s="435"/>
      <c r="N6" s="435"/>
      <c r="O6" s="590"/>
      <c r="P6" s="590"/>
      <c r="Q6" s="435"/>
      <c r="R6" s="435"/>
      <c r="S6" s="435"/>
      <c r="T6" s="435"/>
    </row>
    <row r="7" spans="1:22">
      <c r="A7" s="444" t="s">
        <v>775</v>
      </c>
      <c r="B7" s="436"/>
      <c r="C7" s="436"/>
      <c r="D7" s="436" t="str">
        <f>'[3]Krycí list'!E26</f>
        <v xml:space="preserve">Mesto Hlavná 1, 91771 Trnava </v>
      </c>
      <c r="E7" s="444"/>
      <c r="F7" s="438"/>
      <c r="G7" s="588"/>
      <c r="H7" s="589"/>
      <c r="I7" s="589"/>
      <c r="J7" s="444"/>
      <c r="K7" s="444"/>
      <c r="L7" s="435"/>
      <c r="M7" s="435"/>
      <c r="N7" s="435"/>
      <c r="O7" s="590"/>
      <c r="P7" s="590"/>
      <c r="Q7" s="435"/>
      <c r="R7" s="435"/>
      <c r="S7" s="435"/>
      <c r="T7" s="435"/>
    </row>
    <row r="8" spans="1:22">
      <c r="A8" s="444" t="s">
        <v>506</v>
      </c>
      <c r="B8" s="436"/>
      <c r="C8" s="436"/>
      <c r="D8" s="436"/>
      <c r="E8" s="444"/>
      <c r="F8" s="438"/>
      <c r="G8" s="588"/>
      <c r="H8" s="589"/>
      <c r="I8" s="589"/>
      <c r="J8" s="444"/>
      <c r="K8" s="444"/>
      <c r="L8" s="435"/>
      <c r="M8" s="435"/>
      <c r="N8" s="435"/>
      <c r="O8" s="590"/>
      <c r="P8" s="590"/>
      <c r="Q8" s="435"/>
      <c r="R8" s="435"/>
      <c r="S8" s="435"/>
      <c r="T8" s="435"/>
    </row>
    <row r="9" spans="1:22">
      <c r="A9" s="444"/>
      <c r="B9" s="436"/>
      <c r="C9" s="436"/>
      <c r="D9" s="436"/>
      <c r="E9" s="444"/>
      <c r="F9" s="438"/>
      <c r="G9" s="588"/>
      <c r="H9" s="589"/>
      <c r="I9" s="589"/>
      <c r="J9" s="444"/>
      <c r="K9" s="444"/>
      <c r="L9" s="435"/>
      <c r="M9" s="435"/>
      <c r="N9" s="435"/>
      <c r="O9" s="590"/>
      <c r="P9" s="590"/>
      <c r="Q9" s="435"/>
      <c r="R9" s="435"/>
      <c r="S9" s="435"/>
      <c r="T9" s="435"/>
    </row>
    <row r="10" spans="1:22" ht="22.5">
      <c r="A10" s="450" t="s">
        <v>3</v>
      </c>
      <c r="B10" s="451" t="s">
        <v>776</v>
      </c>
      <c r="C10" s="451" t="s">
        <v>4</v>
      </c>
      <c r="D10" s="451" t="s">
        <v>5</v>
      </c>
      <c r="E10" s="451" t="s">
        <v>777</v>
      </c>
      <c r="F10" s="452" t="s">
        <v>7</v>
      </c>
      <c r="G10" s="591" t="s">
        <v>778</v>
      </c>
      <c r="H10" s="454" t="s">
        <v>9</v>
      </c>
      <c r="I10" s="454" t="s">
        <v>10</v>
      </c>
      <c r="J10" s="451" t="s">
        <v>779</v>
      </c>
      <c r="K10" s="451" t="s">
        <v>780</v>
      </c>
      <c r="L10" s="451" t="s">
        <v>781</v>
      </c>
      <c r="M10" s="451" t="s">
        <v>782</v>
      </c>
      <c r="N10" s="451" t="s">
        <v>783</v>
      </c>
      <c r="O10" s="592" t="s">
        <v>784</v>
      </c>
      <c r="P10" s="592" t="s">
        <v>785</v>
      </c>
      <c r="Q10" s="451"/>
      <c r="R10" s="451"/>
      <c r="S10" s="451"/>
      <c r="T10" s="456" t="s">
        <v>786</v>
      </c>
      <c r="U10" s="593"/>
    </row>
    <row r="11" spans="1:22">
      <c r="A11" s="435"/>
      <c r="B11" s="436"/>
      <c r="C11" s="436"/>
      <c r="D11" s="436"/>
      <c r="E11" s="435"/>
      <c r="F11" s="438"/>
      <c r="G11" s="588"/>
      <c r="H11" s="589"/>
      <c r="I11" s="589"/>
      <c r="J11" s="435"/>
      <c r="K11" s="435"/>
      <c r="L11" s="435"/>
      <c r="M11" s="435"/>
      <c r="N11" s="457"/>
      <c r="O11" s="594"/>
      <c r="P11" s="595"/>
      <c r="Q11" s="457"/>
      <c r="R11" s="457"/>
      <c r="S11" s="457"/>
      <c r="T11" s="457"/>
    </row>
    <row r="12" spans="1:22" s="468" customFormat="1" ht="12" thickBot="1">
      <c r="A12" s="596"/>
      <c r="B12" s="597" t="s">
        <v>491</v>
      </c>
      <c r="C12" s="597"/>
      <c r="D12" s="597" t="s">
        <v>83</v>
      </c>
      <c r="E12" s="596" t="s">
        <v>787</v>
      </c>
      <c r="F12" s="463"/>
      <c r="G12" s="598"/>
      <c r="H12" s="466"/>
      <c r="I12" s="466">
        <f>I15+I37+I57</f>
        <v>0</v>
      </c>
      <c r="J12" s="460"/>
      <c r="K12" s="467" t="e">
        <f>K15+#REF!</f>
        <v>#REF!</v>
      </c>
      <c r="L12" s="460"/>
      <c r="M12" s="467" t="e">
        <f>M15+#REF!</f>
        <v>#REF!</v>
      </c>
      <c r="N12" s="460"/>
      <c r="P12" s="469" t="s">
        <v>788</v>
      </c>
    </row>
    <row r="13" spans="1:22" s="468" customFormat="1" ht="12" thickTop="1">
      <c r="A13" s="470"/>
      <c r="B13" s="471"/>
      <c r="C13" s="471"/>
      <c r="D13" s="471"/>
      <c r="E13" s="470"/>
      <c r="F13" s="473"/>
      <c r="G13" s="599"/>
      <c r="H13" s="476"/>
      <c r="I13" s="476"/>
      <c r="J13" s="470"/>
      <c r="K13" s="477"/>
      <c r="L13" s="470"/>
      <c r="M13" s="477"/>
      <c r="N13" s="470"/>
      <c r="P13" s="469"/>
    </row>
    <row r="14" spans="1:22" s="468" customFormat="1" ht="11.25">
      <c r="A14" s="470"/>
      <c r="B14" s="471"/>
      <c r="C14" s="471"/>
      <c r="D14" s="471"/>
      <c r="E14" s="470"/>
      <c r="F14" s="473"/>
      <c r="G14" s="599"/>
      <c r="H14" s="476"/>
      <c r="I14" s="476"/>
      <c r="J14" s="470"/>
      <c r="K14" s="477"/>
      <c r="L14" s="470"/>
      <c r="M14" s="477"/>
      <c r="N14" s="470"/>
      <c r="P14" s="469"/>
    </row>
    <row r="15" spans="1:22" s="468" customFormat="1" ht="11.25">
      <c r="A15" s="600"/>
      <c r="B15" s="601" t="s">
        <v>491</v>
      </c>
      <c r="C15" s="602"/>
      <c r="D15" s="601" t="s">
        <v>789</v>
      </c>
      <c r="E15" s="603" t="s">
        <v>980</v>
      </c>
      <c r="F15" s="604"/>
      <c r="G15" s="605"/>
      <c r="H15" s="606"/>
      <c r="I15" s="607">
        <f>SUM(I16:I34)</f>
        <v>0</v>
      </c>
      <c r="K15" s="484" t="e">
        <f>SUM(K16:K28)</f>
        <v>#REF!</v>
      </c>
      <c r="M15" s="484" t="e">
        <f>SUM(M16:M28)</f>
        <v>#REF!</v>
      </c>
      <c r="P15" s="485" t="s">
        <v>791</v>
      </c>
    </row>
    <row r="16" spans="1:22" s="617" customFormat="1" ht="12.6" customHeight="1">
      <c r="A16" s="608" t="s">
        <v>791</v>
      </c>
      <c r="B16" s="608" t="s">
        <v>29</v>
      </c>
      <c r="C16" s="608" t="s">
        <v>792</v>
      </c>
      <c r="D16" s="609" t="s">
        <v>981</v>
      </c>
      <c r="E16" s="564" t="s">
        <v>982</v>
      </c>
      <c r="F16" s="610" t="s">
        <v>19</v>
      </c>
      <c r="G16" s="611">
        <v>12</v>
      </c>
      <c r="H16" s="612"/>
      <c r="I16" s="612">
        <f t="shared" ref="I16:I34" si="0">ROUND(G16*H16,3)</f>
        <v>0</v>
      </c>
      <c r="J16" s="613">
        <v>0</v>
      </c>
      <c r="K16" s="614">
        <f>G16*J16</f>
        <v>0</v>
      </c>
      <c r="L16" s="613">
        <v>0</v>
      </c>
      <c r="M16" s="614">
        <f>G16*L16</f>
        <v>0</v>
      </c>
      <c r="N16" s="615">
        <v>20</v>
      </c>
      <c r="O16" s="616">
        <v>64</v>
      </c>
      <c r="P16" s="617" t="s">
        <v>795</v>
      </c>
      <c r="U16" s="618"/>
      <c r="V16" s="618"/>
    </row>
    <row r="17" spans="1:22" s="617" customFormat="1" ht="12.6" customHeight="1">
      <c r="A17" s="608" t="s">
        <v>795</v>
      </c>
      <c r="B17" s="608" t="s">
        <v>29</v>
      </c>
      <c r="C17" s="608" t="s">
        <v>792</v>
      </c>
      <c r="D17" s="609" t="s">
        <v>983</v>
      </c>
      <c r="E17" s="564" t="s">
        <v>984</v>
      </c>
      <c r="F17" s="610" t="s">
        <v>19</v>
      </c>
      <c r="G17" s="611">
        <v>12</v>
      </c>
      <c r="H17" s="612"/>
      <c r="I17" s="612">
        <f t="shared" si="0"/>
        <v>0</v>
      </c>
      <c r="J17" s="613"/>
      <c r="K17" s="614"/>
      <c r="L17" s="613"/>
      <c r="M17" s="614"/>
      <c r="N17" s="615"/>
      <c r="O17" s="616"/>
      <c r="U17" s="618"/>
      <c r="V17" s="618"/>
    </row>
    <row r="18" spans="1:22" s="617" customFormat="1" ht="12.6" customHeight="1">
      <c r="A18" s="608">
        <v>3</v>
      </c>
      <c r="B18" s="608" t="s">
        <v>29</v>
      </c>
      <c r="C18" s="608" t="s">
        <v>792</v>
      </c>
      <c r="D18" s="609" t="s">
        <v>985</v>
      </c>
      <c r="E18" s="564" t="s">
        <v>986</v>
      </c>
      <c r="F18" s="610" t="s">
        <v>19</v>
      </c>
      <c r="G18" s="611">
        <v>12</v>
      </c>
      <c r="H18" s="612"/>
      <c r="I18" s="612">
        <f t="shared" si="0"/>
        <v>0</v>
      </c>
      <c r="J18" s="613"/>
      <c r="K18" s="614"/>
      <c r="L18" s="613"/>
      <c r="M18" s="614"/>
      <c r="N18" s="615"/>
      <c r="O18" s="616"/>
      <c r="U18" s="618"/>
      <c r="V18" s="618"/>
    </row>
    <row r="19" spans="1:22" s="617" customFormat="1" ht="26.45" customHeight="1">
      <c r="A19" s="608" t="s">
        <v>987</v>
      </c>
      <c r="B19" s="608" t="s">
        <v>29</v>
      </c>
      <c r="C19" s="608" t="s">
        <v>792</v>
      </c>
      <c r="D19" s="560" t="s">
        <v>988</v>
      </c>
      <c r="E19" s="500" t="s">
        <v>989</v>
      </c>
      <c r="F19" s="499" t="s">
        <v>14</v>
      </c>
      <c r="G19" s="611">
        <v>380</v>
      </c>
      <c r="H19" s="612"/>
      <c r="I19" s="612">
        <f t="shared" si="0"/>
        <v>0</v>
      </c>
      <c r="J19" s="613"/>
      <c r="K19" s="614"/>
      <c r="L19" s="613"/>
      <c r="M19" s="614"/>
      <c r="N19" s="615"/>
      <c r="O19" s="616"/>
      <c r="U19" s="618"/>
      <c r="V19" s="618"/>
    </row>
    <row r="20" spans="1:22" s="617" customFormat="1" ht="22.5">
      <c r="A20" s="608">
        <v>4</v>
      </c>
      <c r="B20" s="608" t="s">
        <v>29</v>
      </c>
      <c r="C20" s="608" t="s">
        <v>792</v>
      </c>
      <c r="D20" s="609" t="s">
        <v>990</v>
      </c>
      <c r="E20" s="564" t="s">
        <v>991</v>
      </c>
      <c r="F20" s="610" t="s">
        <v>14</v>
      </c>
      <c r="G20" s="611">
        <v>50</v>
      </c>
      <c r="H20" s="612"/>
      <c r="I20" s="612">
        <f t="shared" si="0"/>
        <v>0</v>
      </c>
      <c r="J20" s="613">
        <v>0</v>
      </c>
      <c r="K20" s="614">
        <f>G20*J20</f>
        <v>0</v>
      </c>
      <c r="L20" s="613">
        <v>0</v>
      </c>
      <c r="M20" s="614">
        <f>G20*L20</f>
        <v>0</v>
      </c>
      <c r="N20" s="615">
        <v>20</v>
      </c>
      <c r="O20" s="616">
        <v>64</v>
      </c>
      <c r="P20" s="617" t="s">
        <v>795</v>
      </c>
      <c r="U20" s="618"/>
      <c r="V20" s="618"/>
    </row>
    <row r="21" spans="1:22" s="617" customFormat="1" ht="22.5">
      <c r="A21" s="608">
        <v>5</v>
      </c>
      <c r="B21" s="608" t="s">
        <v>29</v>
      </c>
      <c r="C21" s="608" t="s">
        <v>792</v>
      </c>
      <c r="D21" s="609" t="s">
        <v>992</v>
      </c>
      <c r="E21" s="564" t="s">
        <v>993</v>
      </c>
      <c r="F21" s="499" t="s">
        <v>14</v>
      </c>
      <c r="G21" s="561">
        <v>105</v>
      </c>
      <c r="H21" s="568"/>
      <c r="I21" s="612">
        <f t="shared" si="0"/>
        <v>0</v>
      </c>
      <c r="J21" s="613">
        <v>0</v>
      </c>
      <c r="K21" s="614">
        <f>G25*J21</f>
        <v>0</v>
      </c>
      <c r="L21" s="613">
        <v>0</v>
      </c>
      <c r="M21" s="614">
        <f>G25*L21</f>
        <v>0</v>
      </c>
      <c r="N21" s="615">
        <v>20</v>
      </c>
      <c r="O21" s="616">
        <v>64</v>
      </c>
      <c r="P21" s="617" t="s">
        <v>795</v>
      </c>
      <c r="U21" s="618"/>
      <c r="V21" s="618"/>
    </row>
    <row r="22" spans="1:22" s="617" customFormat="1" ht="11.25">
      <c r="A22" s="608">
        <v>6</v>
      </c>
      <c r="B22" s="608" t="s">
        <v>29</v>
      </c>
      <c r="C22" s="608" t="s">
        <v>792</v>
      </c>
      <c r="D22" s="560">
        <v>210950202</v>
      </c>
      <c r="E22" s="500" t="s">
        <v>994</v>
      </c>
      <c r="F22" s="499" t="s">
        <v>14</v>
      </c>
      <c r="G22" s="561">
        <v>35</v>
      </c>
      <c r="H22" s="568"/>
      <c r="I22" s="612">
        <f t="shared" si="0"/>
        <v>0</v>
      </c>
      <c r="J22" s="613"/>
      <c r="K22" s="614"/>
      <c r="L22" s="613"/>
      <c r="M22" s="614"/>
      <c r="N22" s="615"/>
      <c r="O22" s="616"/>
      <c r="U22" s="618"/>
      <c r="V22" s="618"/>
    </row>
    <row r="23" spans="1:22" s="617" customFormat="1" ht="22.5">
      <c r="A23" s="608">
        <v>7</v>
      </c>
      <c r="B23" s="608" t="s">
        <v>29</v>
      </c>
      <c r="C23" s="608" t="s">
        <v>792</v>
      </c>
      <c r="D23" s="619">
        <v>210100252</v>
      </c>
      <c r="E23" s="498" t="s">
        <v>995</v>
      </c>
      <c r="F23" s="502" t="s">
        <v>19</v>
      </c>
      <c r="G23" s="620">
        <v>26</v>
      </c>
      <c r="H23" s="621"/>
      <c r="I23" s="612">
        <f t="shared" si="0"/>
        <v>0</v>
      </c>
      <c r="J23" s="613">
        <v>0</v>
      </c>
      <c r="K23" s="614" t="e">
        <f>#REF!*J23</f>
        <v>#REF!</v>
      </c>
      <c r="L23" s="613">
        <v>0</v>
      </c>
      <c r="M23" s="614" t="e">
        <f>#REF!*L23</f>
        <v>#REF!</v>
      </c>
      <c r="N23" s="615">
        <v>20</v>
      </c>
      <c r="O23" s="616">
        <v>64</v>
      </c>
      <c r="P23" s="617" t="s">
        <v>795</v>
      </c>
      <c r="U23" s="618"/>
      <c r="V23" s="618"/>
    </row>
    <row r="24" spans="1:22" s="617" customFormat="1" ht="22.5">
      <c r="A24" s="608">
        <v>8</v>
      </c>
      <c r="B24" s="608" t="s">
        <v>29</v>
      </c>
      <c r="C24" s="608" t="s">
        <v>792</v>
      </c>
      <c r="D24" s="560" t="s">
        <v>996</v>
      </c>
      <c r="E24" s="500" t="s">
        <v>997</v>
      </c>
      <c r="F24" s="499" t="s">
        <v>19</v>
      </c>
      <c r="G24" s="561">
        <v>1</v>
      </c>
      <c r="H24" s="568"/>
      <c r="I24" s="612">
        <f t="shared" si="0"/>
        <v>0</v>
      </c>
      <c r="J24" s="613"/>
      <c r="K24" s="614"/>
      <c r="L24" s="613"/>
      <c r="M24" s="614"/>
      <c r="N24" s="615"/>
      <c r="O24" s="616"/>
      <c r="U24" s="618"/>
      <c r="V24" s="618"/>
    </row>
    <row r="25" spans="1:22" s="617" customFormat="1" ht="22.5">
      <c r="A25" s="608">
        <v>9</v>
      </c>
      <c r="B25" s="608" t="s">
        <v>29</v>
      </c>
      <c r="C25" s="608" t="s">
        <v>792</v>
      </c>
      <c r="D25" s="609" t="s">
        <v>909</v>
      </c>
      <c r="E25" s="564" t="s">
        <v>910</v>
      </c>
      <c r="F25" s="610" t="s">
        <v>14</v>
      </c>
      <c r="G25" s="611">
        <v>30</v>
      </c>
      <c r="H25" s="612"/>
      <c r="I25" s="612">
        <f t="shared" si="0"/>
        <v>0</v>
      </c>
      <c r="J25" s="613">
        <v>0</v>
      </c>
      <c r="K25" s="614" t="e">
        <f>#REF!*J25</f>
        <v>#REF!</v>
      </c>
      <c r="L25" s="613">
        <v>0</v>
      </c>
      <c r="M25" s="614" t="e">
        <f>#REF!*L25</f>
        <v>#REF!</v>
      </c>
      <c r="N25" s="615">
        <v>20</v>
      </c>
      <c r="O25" s="616">
        <v>64</v>
      </c>
      <c r="P25" s="617" t="s">
        <v>795</v>
      </c>
      <c r="U25" s="618"/>
      <c r="V25" s="618"/>
    </row>
    <row r="26" spans="1:22" s="617" customFormat="1" ht="22.9" customHeight="1">
      <c r="A26" s="608">
        <v>10</v>
      </c>
      <c r="B26" s="608" t="s">
        <v>29</v>
      </c>
      <c r="C26" s="608" t="s">
        <v>792</v>
      </c>
      <c r="D26" s="609" t="s">
        <v>911</v>
      </c>
      <c r="E26" s="564" t="s">
        <v>998</v>
      </c>
      <c r="F26" s="610" t="s">
        <v>14</v>
      </c>
      <c r="G26" s="611">
        <v>320</v>
      </c>
      <c r="H26" s="612"/>
      <c r="I26" s="612">
        <f t="shared" si="0"/>
        <v>0</v>
      </c>
      <c r="J26" s="613"/>
      <c r="K26" s="614"/>
      <c r="L26" s="613"/>
      <c r="M26" s="614"/>
      <c r="N26" s="615"/>
      <c r="O26" s="616"/>
      <c r="U26" s="618"/>
      <c r="V26" s="618"/>
    </row>
    <row r="27" spans="1:22" s="617" customFormat="1" ht="12" customHeight="1">
      <c r="A27" s="608">
        <v>11</v>
      </c>
      <c r="B27" s="608" t="s">
        <v>29</v>
      </c>
      <c r="C27" s="608" t="s">
        <v>792</v>
      </c>
      <c r="D27" s="609" t="s">
        <v>915</v>
      </c>
      <c r="E27" s="564" t="s">
        <v>999</v>
      </c>
      <c r="F27" s="610" t="s">
        <v>19</v>
      </c>
      <c r="G27" s="611">
        <v>12</v>
      </c>
      <c r="H27" s="612"/>
      <c r="I27" s="612">
        <f t="shared" si="0"/>
        <v>0</v>
      </c>
      <c r="J27" s="613"/>
      <c r="K27" s="614"/>
      <c r="L27" s="613"/>
      <c r="M27" s="614"/>
      <c r="N27" s="615"/>
      <c r="O27" s="616"/>
      <c r="U27" s="618"/>
      <c r="V27" s="618"/>
    </row>
    <row r="28" spans="1:22" s="617" customFormat="1" ht="12" customHeight="1">
      <c r="A28" s="608">
        <v>12</v>
      </c>
      <c r="B28" s="608" t="s">
        <v>29</v>
      </c>
      <c r="C28" s="608" t="s">
        <v>792</v>
      </c>
      <c r="D28" s="609" t="s">
        <v>917</v>
      </c>
      <c r="E28" s="564" t="s">
        <v>1000</v>
      </c>
      <c r="F28" s="610" t="s">
        <v>19</v>
      </c>
      <c r="G28" s="611">
        <v>16</v>
      </c>
      <c r="H28" s="612"/>
      <c r="I28" s="612">
        <f t="shared" si="0"/>
        <v>0</v>
      </c>
      <c r="J28" s="613"/>
      <c r="K28" s="614"/>
      <c r="L28" s="613"/>
      <c r="M28" s="614"/>
      <c r="N28" s="615"/>
      <c r="O28" s="616"/>
      <c r="U28" s="618"/>
      <c r="V28" s="618"/>
    </row>
    <row r="29" spans="1:22" s="617" customFormat="1" ht="12" customHeight="1">
      <c r="A29" s="608">
        <v>13</v>
      </c>
      <c r="B29" s="608" t="s">
        <v>29</v>
      </c>
      <c r="C29" s="608" t="s">
        <v>792</v>
      </c>
      <c r="D29" s="609" t="s">
        <v>1001</v>
      </c>
      <c r="E29" s="564" t="s">
        <v>1002</v>
      </c>
      <c r="F29" s="610" t="s">
        <v>19</v>
      </c>
      <c r="G29" s="611">
        <v>2</v>
      </c>
      <c r="H29" s="612"/>
      <c r="I29" s="612">
        <f t="shared" si="0"/>
        <v>0</v>
      </c>
      <c r="J29" s="613"/>
      <c r="K29" s="614"/>
      <c r="L29" s="613"/>
      <c r="M29" s="614"/>
      <c r="N29" s="615"/>
      <c r="O29" s="616"/>
      <c r="U29" s="618"/>
      <c r="V29" s="618"/>
    </row>
    <row r="30" spans="1:22" s="617" customFormat="1" ht="12" customHeight="1">
      <c r="A30" s="608">
        <v>14</v>
      </c>
      <c r="B30" s="608" t="s">
        <v>29</v>
      </c>
      <c r="C30" s="608" t="s">
        <v>792</v>
      </c>
      <c r="D30" s="609" t="s">
        <v>1001</v>
      </c>
      <c r="E30" s="564" t="s">
        <v>1003</v>
      </c>
      <c r="F30" s="610" t="s">
        <v>19</v>
      </c>
      <c r="G30" s="611">
        <v>2</v>
      </c>
      <c r="H30" s="612"/>
      <c r="I30" s="612">
        <f t="shared" si="0"/>
        <v>0</v>
      </c>
      <c r="J30" s="613"/>
      <c r="K30" s="614"/>
      <c r="L30" s="613"/>
      <c r="M30" s="614"/>
      <c r="N30" s="615"/>
      <c r="O30" s="616"/>
      <c r="U30" s="618"/>
      <c r="V30" s="618"/>
    </row>
    <row r="31" spans="1:22" s="617" customFormat="1" ht="12" customHeight="1">
      <c r="A31" s="608">
        <v>15</v>
      </c>
      <c r="B31" s="608" t="s">
        <v>29</v>
      </c>
      <c r="C31" s="608" t="s">
        <v>792</v>
      </c>
      <c r="D31" s="609" t="s">
        <v>1004</v>
      </c>
      <c r="E31" s="564" t="s">
        <v>1005</v>
      </c>
      <c r="F31" s="610" t="s">
        <v>850</v>
      </c>
      <c r="G31" s="611">
        <v>1</v>
      </c>
      <c r="H31" s="612"/>
      <c r="I31" s="612">
        <f t="shared" si="0"/>
        <v>0</v>
      </c>
      <c r="J31" s="613"/>
      <c r="K31" s="614"/>
      <c r="L31" s="613"/>
      <c r="M31" s="614"/>
      <c r="N31" s="615"/>
      <c r="O31" s="616"/>
      <c r="U31" s="618"/>
      <c r="V31" s="618"/>
    </row>
    <row r="32" spans="1:22" s="617" customFormat="1" ht="12" customHeight="1">
      <c r="A32" s="608">
        <v>16</v>
      </c>
      <c r="B32" s="608" t="s">
        <v>29</v>
      </c>
      <c r="C32" s="608" t="s">
        <v>792</v>
      </c>
      <c r="D32" s="609" t="s">
        <v>1006</v>
      </c>
      <c r="E32" s="564" t="s">
        <v>849</v>
      </c>
      <c r="F32" s="610" t="s">
        <v>850</v>
      </c>
      <c r="G32" s="611">
        <v>1</v>
      </c>
      <c r="H32" s="612"/>
      <c r="I32" s="612">
        <f t="shared" si="0"/>
        <v>0</v>
      </c>
      <c r="J32" s="526"/>
      <c r="K32" s="527"/>
      <c r="L32" s="526"/>
      <c r="M32" s="527"/>
      <c r="N32" s="528"/>
      <c r="O32" s="529"/>
      <c r="P32" s="530"/>
      <c r="U32" s="618"/>
      <c r="V32" s="618"/>
    </row>
    <row r="33" spans="1:22" s="617" customFormat="1" ht="12" customHeight="1">
      <c r="A33" s="608">
        <v>17</v>
      </c>
      <c r="B33" s="608" t="s">
        <v>29</v>
      </c>
      <c r="C33" s="608" t="s">
        <v>792</v>
      </c>
      <c r="D33" s="609" t="s">
        <v>1007</v>
      </c>
      <c r="E33" s="564" t="s">
        <v>1008</v>
      </c>
      <c r="F33" s="610" t="s">
        <v>850</v>
      </c>
      <c r="G33" s="611">
        <v>1</v>
      </c>
      <c r="H33" s="612"/>
      <c r="I33" s="612">
        <f t="shared" si="0"/>
        <v>0</v>
      </c>
      <c r="J33" s="526">
        <v>0</v>
      </c>
      <c r="K33" s="527">
        <f>G33*J33</f>
        <v>0</v>
      </c>
      <c r="L33" s="526">
        <v>0</v>
      </c>
      <c r="M33" s="527">
        <f>G33*L33</f>
        <v>0</v>
      </c>
      <c r="N33" s="528">
        <v>20</v>
      </c>
      <c r="O33" s="529">
        <v>256</v>
      </c>
      <c r="P33" s="530" t="s">
        <v>795</v>
      </c>
      <c r="U33" s="618"/>
      <c r="V33" s="618"/>
    </row>
    <row r="34" spans="1:22" s="617" customFormat="1" ht="12" customHeight="1">
      <c r="A34" s="608">
        <v>18</v>
      </c>
      <c r="B34" s="608" t="s">
        <v>29</v>
      </c>
      <c r="C34" s="608">
        <v>921</v>
      </c>
      <c r="D34" s="609" t="s">
        <v>847</v>
      </c>
      <c r="E34" s="564" t="s">
        <v>847</v>
      </c>
      <c r="F34" s="610" t="s">
        <v>475</v>
      </c>
      <c r="G34" s="611">
        <v>3</v>
      </c>
      <c r="H34" s="612"/>
      <c r="I34" s="612">
        <f t="shared" si="0"/>
        <v>0</v>
      </c>
      <c r="J34" s="526">
        <v>0</v>
      </c>
      <c r="K34" s="527">
        <f>G34*J34</f>
        <v>0</v>
      </c>
      <c r="L34" s="526">
        <v>0</v>
      </c>
      <c r="M34" s="527">
        <f>G34*L34</f>
        <v>0</v>
      </c>
      <c r="N34" s="528">
        <v>20</v>
      </c>
      <c r="O34" s="529">
        <v>256</v>
      </c>
      <c r="P34" s="530" t="s">
        <v>795</v>
      </c>
    </row>
    <row r="35" spans="1:22" s="617" customFormat="1" ht="11.25">
      <c r="A35" s="622"/>
      <c r="B35" s="622"/>
      <c r="C35" s="622"/>
      <c r="D35" s="623"/>
      <c r="E35" s="624"/>
      <c r="F35" s="625"/>
      <c r="G35" s="626"/>
      <c r="H35" s="627"/>
      <c r="I35" s="627"/>
      <c r="J35" s="526"/>
      <c r="K35" s="527"/>
      <c r="L35" s="526"/>
      <c r="M35" s="527"/>
      <c r="N35" s="528"/>
      <c r="O35" s="529"/>
      <c r="P35" s="530"/>
    </row>
    <row r="36" spans="1:22" s="617" customFormat="1" ht="11.25">
      <c r="A36" s="622"/>
      <c r="B36" s="622"/>
      <c r="C36" s="622"/>
      <c r="D36" s="623"/>
      <c r="E36" s="624"/>
      <c r="F36" s="625"/>
      <c r="G36" s="626"/>
      <c r="H36" s="627"/>
      <c r="I36" s="627"/>
      <c r="J36" s="526"/>
      <c r="K36" s="527"/>
      <c r="L36" s="526"/>
      <c r="M36" s="527"/>
      <c r="N36" s="528"/>
      <c r="O36" s="529"/>
      <c r="P36" s="530"/>
    </row>
    <row r="37" spans="1:22" s="617" customFormat="1" ht="11.25">
      <c r="A37" s="600"/>
      <c r="B37" s="601" t="s">
        <v>491</v>
      </c>
      <c r="C37" s="602"/>
      <c r="D37" s="601" t="s">
        <v>1009</v>
      </c>
      <c r="E37" s="603" t="s">
        <v>1010</v>
      </c>
      <c r="F37" s="604"/>
      <c r="G37" s="605"/>
      <c r="H37" s="606"/>
      <c r="I37" s="607">
        <f>SUM(I38:I54)</f>
        <v>0</v>
      </c>
      <c r="J37" s="526"/>
      <c r="K37" s="527"/>
      <c r="L37" s="526"/>
      <c r="M37" s="527"/>
      <c r="N37" s="528"/>
      <c r="O37" s="529"/>
      <c r="P37" s="530"/>
    </row>
    <row r="38" spans="1:22" s="617" customFormat="1" ht="15" customHeight="1">
      <c r="A38" s="575">
        <v>19</v>
      </c>
      <c r="B38" s="575" t="s">
        <v>83</v>
      </c>
      <c r="C38" s="575" t="s">
        <v>45</v>
      </c>
      <c r="D38" s="576" t="s">
        <v>1011</v>
      </c>
      <c r="E38" s="577" t="s">
        <v>1012</v>
      </c>
      <c r="F38" s="578" t="s">
        <v>19</v>
      </c>
      <c r="G38" s="579">
        <v>12</v>
      </c>
      <c r="H38" s="580"/>
      <c r="I38" s="580">
        <f>ROUND(G38*H38,3)</f>
        <v>0</v>
      </c>
      <c r="J38" s="526"/>
      <c r="K38" s="527"/>
      <c r="L38" s="526"/>
      <c r="M38" s="527"/>
      <c r="N38" s="528"/>
      <c r="O38" s="529"/>
      <c r="P38" s="530"/>
    </row>
    <row r="39" spans="1:22" s="617" customFormat="1" ht="15" customHeight="1">
      <c r="A39" s="575">
        <v>20</v>
      </c>
      <c r="B39" s="575" t="s">
        <v>83</v>
      </c>
      <c r="C39" s="575" t="s">
        <v>45</v>
      </c>
      <c r="D39" s="576" t="s">
        <v>1013</v>
      </c>
      <c r="E39" s="577" t="s">
        <v>1014</v>
      </c>
      <c r="F39" s="578" t="s">
        <v>19</v>
      </c>
      <c r="G39" s="579">
        <v>12</v>
      </c>
      <c r="H39" s="580"/>
      <c r="I39" s="580">
        <f t="shared" ref="I39:I54" si="1">ROUND(G39*H39,3)</f>
        <v>0</v>
      </c>
      <c r="J39" s="526">
        <v>1.1E-4</v>
      </c>
      <c r="K39" s="527">
        <f>G39*J39</f>
        <v>1.32E-3</v>
      </c>
      <c r="L39" s="526">
        <v>0</v>
      </c>
      <c r="M39" s="527">
        <f>G39*L39</f>
        <v>0</v>
      </c>
      <c r="N39" s="528">
        <v>20</v>
      </c>
      <c r="O39" s="529">
        <v>256</v>
      </c>
      <c r="P39" s="530" t="s">
        <v>795</v>
      </c>
    </row>
    <row r="40" spans="1:22" s="617" customFormat="1" ht="16.899999999999999" customHeight="1">
      <c r="A40" s="575">
        <v>21</v>
      </c>
      <c r="B40" s="575" t="s">
        <v>83</v>
      </c>
      <c r="C40" s="575" t="s">
        <v>45</v>
      </c>
      <c r="D40" s="576" t="s">
        <v>1015</v>
      </c>
      <c r="E40" s="577" t="s">
        <v>1016</v>
      </c>
      <c r="F40" s="578" t="s">
        <v>19</v>
      </c>
      <c r="G40" s="579">
        <v>12</v>
      </c>
      <c r="H40" s="580"/>
      <c r="I40" s="580">
        <f t="shared" si="1"/>
        <v>0</v>
      </c>
      <c r="J40" s="526"/>
      <c r="K40" s="527"/>
      <c r="L40" s="526"/>
      <c r="M40" s="527"/>
      <c r="N40" s="528"/>
      <c r="O40" s="529"/>
      <c r="P40" s="530"/>
    </row>
    <row r="41" spans="1:22" s="617" customFormat="1" ht="15" customHeight="1">
      <c r="A41" s="575">
        <v>22</v>
      </c>
      <c r="B41" s="575" t="s">
        <v>83</v>
      </c>
      <c r="C41" s="575" t="s">
        <v>45</v>
      </c>
      <c r="D41" s="576" t="s">
        <v>867</v>
      </c>
      <c r="E41" s="577" t="s">
        <v>1017</v>
      </c>
      <c r="F41" s="578" t="s">
        <v>14</v>
      </c>
      <c r="G41" s="579">
        <v>50</v>
      </c>
      <c r="H41" s="580"/>
      <c r="I41" s="580">
        <f t="shared" si="1"/>
        <v>0</v>
      </c>
      <c r="J41" s="526"/>
      <c r="K41" s="527"/>
      <c r="L41" s="526"/>
      <c r="M41" s="527"/>
      <c r="N41" s="528"/>
      <c r="O41" s="529"/>
      <c r="P41" s="530"/>
    </row>
    <row r="42" spans="1:22" s="617" customFormat="1" ht="15" customHeight="1">
      <c r="A42" s="575">
        <v>23</v>
      </c>
      <c r="B42" s="575" t="s">
        <v>83</v>
      </c>
      <c r="C42" s="575" t="s">
        <v>45</v>
      </c>
      <c r="D42" s="576" t="s">
        <v>1018</v>
      </c>
      <c r="E42" s="577" t="s">
        <v>1019</v>
      </c>
      <c r="F42" s="578" t="s">
        <v>14</v>
      </c>
      <c r="G42" s="579">
        <v>105</v>
      </c>
      <c r="H42" s="580"/>
      <c r="I42" s="580">
        <f>ROUND(G42*H42,3)</f>
        <v>0</v>
      </c>
      <c r="J42" s="526"/>
      <c r="K42" s="527"/>
      <c r="L42" s="526"/>
      <c r="M42" s="527"/>
      <c r="N42" s="528"/>
      <c r="O42" s="529"/>
      <c r="P42" s="530"/>
    </row>
    <row r="43" spans="1:22" s="617" customFormat="1" ht="15" customHeight="1">
      <c r="A43" s="575">
        <v>24</v>
      </c>
      <c r="B43" s="575" t="s">
        <v>83</v>
      </c>
      <c r="C43" s="575" t="s">
        <v>45</v>
      </c>
      <c r="D43" s="576" t="s">
        <v>1020</v>
      </c>
      <c r="E43" s="577" t="s">
        <v>1021</v>
      </c>
      <c r="F43" s="578" t="s">
        <v>14</v>
      </c>
      <c r="G43" s="579">
        <v>380</v>
      </c>
      <c r="H43" s="580"/>
      <c r="I43" s="580">
        <f t="shared" si="1"/>
        <v>0</v>
      </c>
      <c r="J43" s="526">
        <v>0</v>
      </c>
      <c r="K43" s="527">
        <f>G43*J43</f>
        <v>0</v>
      </c>
      <c r="L43" s="526">
        <v>0</v>
      </c>
      <c r="M43" s="527">
        <f>G43*L43</f>
        <v>0</v>
      </c>
      <c r="N43" s="528">
        <v>20</v>
      </c>
      <c r="O43" s="529">
        <v>256</v>
      </c>
      <c r="P43" s="530" t="s">
        <v>795</v>
      </c>
    </row>
    <row r="44" spans="1:22" s="617" customFormat="1" ht="15" customHeight="1">
      <c r="A44" s="575">
        <v>25</v>
      </c>
      <c r="B44" s="575" t="s">
        <v>83</v>
      </c>
      <c r="C44" s="575" t="s">
        <v>45</v>
      </c>
      <c r="D44" s="576" t="s">
        <v>1022</v>
      </c>
      <c r="E44" s="577" t="s">
        <v>1023</v>
      </c>
      <c r="F44" s="578" t="s">
        <v>19</v>
      </c>
      <c r="G44" s="579">
        <v>1</v>
      </c>
      <c r="H44" s="580"/>
      <c r="I44" s="580">
        <f t="shared" si="1"/>
        <v>0</v>
      </c>
      <c r="J44" s="526"/>
      <c r="K44" s="527"/>
      <c r="L44" s="526"/>
      <c r="M44" s="527"/>
      <c r="N44" s="528"/>
      <c r="O44" s="529"/>
      <c r="P44" s="530"/>
    </row>
    <row r="45" spans="1:22" s="617" customFormat="1" ht="15" customHeight="1">
      <c r="A45" s="575">
        <v>26</v>
      </c>
      <c r="B45" s="575" t="s">
        <v>83</v>
      </c>
      <c r="C45" s="575" t="s">
        <v>45</v>
      </c>
      <c r="D45" s="576" t="s">
        <v>1024</v>
      </c>
      <c r="E45" s="577" t="s">
        <v>1025</v>
      </c>
      <c r="F45" s="578" t="s">
        <v>20</v>
      </c>
      <c r="G45" s="579">
        <v>22.5</v>
      </c>
      <c r="H45" s="580"/>
      <c r="I45" s="580">
        <f t="shared" si="1"/>
        <v>0</v>
      </c>
      <c r="J45" s="526">
        <v>0</v>
      </c>
      <c r="K45" s="527">
        <f>G45*J45</f>
        <v>0</v>
      </c>
      <c r="L45" s="526">
        <v>0</v>
      </c>
      <c r="M45" s="527">
        <f>G45*L45</f>
        <v>0</v>
      </c>
      <c r="N45" s="528">
        <v>20</v>
      </c>
      <c r="O45" s="529">
        <v>256</v>
      </c>
      <c r="P45" s="530" t="s">
        <v>795</v>
      </c>
    </row>
    <row r="46" spans="1:22" s="617" customFormat="1" ht="15" customHeight="1">
      <c r="A46" s="575">
        <v>27</v>
      </c>
      <c r="B46" s="575" t="s">
        <v>83</v>
      </c>
      <c r="C46" s="575" t="s">
        <v>45</v>
      </c>
      <c r="D46" s="576" t="s">
        <v>1026</v>
      </c>
      <c r="E46" s="577" t="s">
        <v>1027</v>
      </c>
      <c r="F46" s="578" t="s">
        <v>20</v>
      </c>
      <c r="G46" s="579">
        <v>320</v>
      </c>
      <c r="H46" s="580"/>
      <c r="I46" s="580">
        <f t="shared" si="1"/>
        <v>0</v>
      </c>
      <c r="J46" s="526">
        <v>0</v>
      </c>
      <c r="K46" s="527">
        <f>G46*J46</f>
        <v>0</v>
      </c>
      <c r="L46" s="526">
        <v>0</v>
      </c>
      <c r="M46" s="527">
        <f>G46*L46</f>
        <v>0</v>
      </c>
      <c r="N46" s="528">
        <v>20</v>
      </c>
      <c r="O46" s="529">
        <v>256</v>
      </c>
      <c r="P46" s="530" t="s">
        <v>795</v>
      </c>
    </row>
    <row r="47" spans="1:22" s="617" customFormat="1" ht="15" customHeight="1">
      <c r="A47" s="575">
        <v>28</v>
      </c>
      <c r="B47" s="575" t="s">
        <v>83</v>
      </c>
      <c r="C47" s="575" t="s">
        <v>45</v>
      </c>
      <c r="D47" s="576" t="s">
        <v>1028</v>
      </c>
      <c r="E47" s="577" t="s">
        <v>1029</v>
      </c>
      <c r="F47" s="578" t="s">
        <v>19</v>
      </c>
      <c r="G47" s="579">
        <v>12</v>
      </c>
      <c r="H47" s="580"/>
      <c r="I47" s="580">
        <f t="shared" si="1"/>
        <v>0</v>
      </c>
      <c r="J47" s="526">
        <v>0</v>
      </c>
      <c r="K47" s="527">
        <f>G47*J47</f>
        <v>0</v>
      </c>
      <c r="L47" s="526">
        <v>0</v>
      </c>
      <c r="M47" s="527">
        <f>G47*L47</f>
        <v>0</v>
      </c>
      <c r="N47" s="528">
        <v>20</v>
      </c>
      <c r="O47" s="529">
        <v>256</v>
      </c>
      <c r="P47" s="530" t="s">
        <v>795</v>
      </c>
    </row>
    <row r="48" spans="1:22" s="617" customFormat="1" ht="15" customHeight="1">
      <c r="A48" s="575">
        <v>29</v>
      </c>
      <c r="B48" s="575" t="s">
        <v>83</v>
      </c>
      <c r="C48" s="575" t="s">
        <v>45</v>
      </c>
      <c r="D48" s="576" t="s">
        <v>1030</v>
      </c>
      <c r="E48" s="577" t="s">
        <v>1031</v>
      </c>
      <c r="F48" s="578" t="s">
        <v>19</v>
      </c>
      <c r="G48" s="579">
        <v>16</v>
      </c>
      <c r="H48" s="580"/>
      <c r="I48" s="580">
        <f t="shared" si="1"/>
        <v>0</v>
      </c>
      <c r="J48" s="526"/>
      <c r="K48" s="527"/>
      <c r="L48" s="526"/>
      <c r="M48" s="527"/>
      <c r="N48" s="528"/>
      <c r="O48" s="529"/>
      <c r="P48" s="530"/>
    </row>
    <row r="49" spans="1:9" ht="15" customHeight="1">
      <c r="A49" s="575">
        <v>30</v>
      </c>
      <c r="B49" s="575" t="s">
        <v>83</v>
      </c>
      <c r="C49" s="575" t="s">
        <v>45</v>
      </c>
      <c r="D49" s="576" t="s">
        <v>1032</v>
      </c>
      <c r="E49" s="577" t="s">
        <v>1033</v>
      </c>
      <c r="F49" s="578" t="s">
        <v>19</v>
      </c>
      <c r="G49" s="579">
        <v>12</v>
      </c>
      <c r="H49" s="580"/>
      <c r="I49" s="580">
        <f t="shared" si="1"/>
        <v>0</v>
      </c>
    </row>
    <row r="50" spans="1:9" ht="15" customHeight="1">
      <c r="A50" s="575">
        <v>31</v>
      </c>
      <c r="B50" s="575" t="s">
        <v>83</v>
      </c>
      <c r="C50" s="575" t="s">
        <v>45</v>
      </c>
      <c r="D50" s="576" t="s">
        <v>973</v>
      </c>
      <c r="E50" s="577" t="s">
        <v>974</v>
      </c>
      <c r="F50" s="578" t="s">
        <v>14</v>
      </c>
      <c r="G50" s="579">
        <v>320</v>
      </c>
      <c r="H50" s="580"/>
      <c r="I50" s="580">
        <f t="shared" si="1"/>
        <v>0</v>
      </c>
    </row>
    <row r="51" spans="1:9" ht="15" customHeight="1">
      <c r="A51" s="575">
        <v>32</v>
      </c>
      <c r="B51" s="581" t="s">
        <v>83</v>
      </c>
      <c r="C51" s="581" t="s">
        <v>45</v>
      </c>
      <c r="D51" s="581" t="s">
        <v>975</v>
      </c>
      <c r="E51" s="582" t="s">
        <v>976</v>
      </c>
      <c r="F51" s="583" t="s">
        <v>14</v>
      </c>
      <c r="G51" s="584">
        <v>32</v>
      </c>
      <c r="H51" s="585"/>
      <c r="I51" s="580">
        <f t="shared" si="1"/>
        <v>0</v>
      </c>
    </row>
    <row r="52" spans="1:9" ht="15" customHeight="1">
      <c r="A52" s="575">
        <v>33</v>
      </c>
      <c r="B52" s="575" t="s">
        <v>83</v>
      </c>
      <c r="C52" s="575" t="s">
        <v>45</v>
      </c>
      <c r="D52" s="576" t="s">
        <v>977</v>
      </c>
      <c r="E52" s="582" t="s">
        <v>978</v>
      </c>
      <c r="F52" s="583" t="s">
        <v>19</v>
      </c>
      <c r="G52" s="584">
        <v>285</v>
      </c>
      <c r="H52" s="585"/>
      <c r="I52" s="580">
        <f t="shared" si="1"/>
        <v>0</v>
      </c>
    </row>
    <row r="53" spans="1:9" ht="15" customHeight="1">
      <c r="A53" s="575">
        <v>34</v>
      </c>
      <c r="B53" s="581" t="s">
        <v>83</v>
      </c>
      <c r="C53" s="581" t="s">
        <v>45</v>
      </c>
      <c r="D53" s="581">
        <v>5832645155</v>
      </c>
      <c r="E53" s="582" t="s">
        <v>979</v>
      </c>
      <c r="F53" s="583" t="s">
        <v>12</v>
      </c>
      <c r="G53" s="584">
        <v>20</v>
      </c>
      <c r="H53" s="585"/>
      <c r="I53" s="580">
        <f t="shared" si="1"/>
        <v>0</v>
      </c>
    </row>
    <row r="54" spans="1:9" ht="15" customHeight="1">
      <c r="A54" s="575">
        <v>35</v>
      </c>
      <c r="B54" s="575" t="s">
        <v>83</v>
      </c>
      <c r="C54" s="575" t="s">
        <v>45</v>
      </c>
      <c r="D54" s="576" t="s">
        <v>1034</v>
      </c>
      <c r="E54" s="577" t="s">
        <v>904</v>
      </c>
      <c r="F54" s="578" t="s">
        <v>475</v>
      </c>
      <c r="G54" s="579">
        <v>3</v>
      </c>
      <c r="H54" s="580"/>
      <c r="I54" s="580">
        <f t="shared" si="1"/>
        <v>0</v>
      </c>
    </row>
    <row r="57" spans="1:9">
      <c r="A57" s="468"/>
      <c r="B57" s="478" t="s">
        <v>491</v>
      </c>
      <c r="C57" s="557"/>
      <c r="D57" s="478" t="s">
        <v>954</v>
      </c>
      <c r="E57" s="485" t="s">
        <v>30</v>
      </c>
      <c r="F57" s="480"/>
      <c r="G57" s="558"/>
      <c r="H57" s="559"/>
      <c r="I57" s="483">
        <f>SUM(I58:I67)</f>
        <v>0</v>
      </c>
    </row>
    <row r="58" spans="1:9">
      <c r="A58" s="619">
        <v>36</v>
      </c>
      <c r="B58" s="619" t="s">
        <v>29</v>
      </c>
      <c r="C58" s="619" t="s">
        <v>956</v>
      </c>
      <c r="D58" s="497" t="s">
        <v>957</v>
      </c>
      <c r="E58" s="498" t="s">
        <v>958</v>
      </c>
      <c r="F58" s="502" t="s">
        <v>14</v>
      </c>
      <c r="G58" s="620">
        <v>285</v>
      </c>
      <c r="H58" s="621"/>
      <c r="I58" s="621">
        <f t="shared" ref="I58:I67" si="2">ROUND(G58*H58,3)</f>
        <v>0</v>
      </c>
    </row>
    <row r="59" spans="1:9">
      <c r="A59" s="619">
        <v>37</v>
      </c>
      <c r="B59" s="619" t="s">
        <v>29</v>
      </c>
      <c r="C59" s="619">
        <v>946</v>
      </c>
      <c r="D59" s="560" t="s">
        <v>959</v>
      </c>
      <c r="E59" s="500" t="s">
        <v>960</v>
      </c>
      <c r="F59" s="499" t="s">
        <v>14</v>
      </c>
      <c r="G59" s="561">
        <v>35</v>
      </c>
      <c r="H59" s="621"/>
      <c r="I59" s="621">
        <f t="shared" si="2"/>
        <v>0</v>
      </c>
    </row>
    <row r="60" spans="1:9">
      <c r="A60" s="619">
        <v>38</v>
      </c>
      <c r="B60" s="619" t="s">
        <v>29</v>
      </c>
      <c r="C60" s="619" t="s">
        <v>956</v>
      </c>
      <c r="D60" s="497" t="s">
        <v>961</v>
      </c>
      <c r="E60" s="498" t="s">
        <v>962</v>
      </c>
      <c r="F60" s="502" t="s">
        <v>14</v>
      </c>
      <c r="G60" s="620">
        <v>285</v>
      </c>
      <c r="H60" s="621"/>
      <c r="I60" s="621">
        <f t="shared" si="2"/>
        <v>0</v>
      </c>
    </row>
    <row r="61" spans="1:9">
      <c r="A61" s="619">
        <v>39</v>
      </c>
      <c r="B61" s="619" t="s">
        <v>29</v>
      </c>
      <c r="C61" s="619">
        <v>946</v>
      </c>
      <c r="D61" s="560">
        <v>460560283</v>
      </c>
      <c r="E61" s="500" t="s">
        <v>963</v>
      </c>
      <c r="F61" s="499" t="s">
        <v>14</v>
      </c>
      <c r="G61" s="561">
        <v>35</v>
      </c>
      <c r="H61" s="621"/>
      <c r="I61" s="621">
        <f t="shared" si="2"/>
        <v>0</v>
      </c>
    </row>
    <row r="62" spans="1:9">
      <c r="A62" s="619">
        <v>40</v>
      </c>
      <c r="B62" s="619" t="s">
        <v>29</v>
      </c>
      <c r="C62" s="608" t="s">
        <v>956</v>
      </c>
      <c r="D62" s="609" t="s">
        <v>964</v>
      </c>
      <c r="E62" s="564" t="s">
        <v>965</v>
      </c>
      <c r="F62" s="610" t="s">
        <v>14</v>
      </c>
      <c r="G62" s="611">
        <v>35</v>
      </c>
      <c r="H62" s="612"/>
      <c r="I62" s="621">
        <f t="shared" si="2"/>
        <v>0</v>
      </c>
    </row>
    <row r="63" spans="1:9" ht="22.5">
      <c r="A63" s="619">
        <v>41</v>
      </c>
      <c r="B63" s="619" t="s">
        <v>29</v>
      </c>
      <c r="C63" s="608" t="s">
        <v>956</v>
      </c>
      <c r="D63" s="560" t="s">
        <v>966</v>
      </c>
      <c r="E63" s="500" t="s">
        <v>967</v>
      </c>
      <c r="F63" s="499" t="s">
        <v>14</v>
      </c>
      <c r="G63" s="561">
        <v>285</v>
      </c>
      <c r="H63" s="568"/>
      <c r="I63" s="621">
        <f t="shared" si="2"/>
        <v>0</v>
      </c>
    </row>
    <row r="64" spans="1:9" ht="22.5">
      <c r="A64" s="619">
        <v>42</v>
      </c>
      <c r="B64" s="619" t="s">
        <v>29</v>
      </c>
      <c r="C64" s="619" t="s">
        <v>956</v>
      </c>
      <c r="D64" s="497" t="s">
        <v>968</v>
      </c>
      <c r="E64" s="498" t="s">
        <v>969</v>
      </c>
      <c r="F64" s="502" t="s">
        <v>14</v>
      </c>
      <c r="G64" s="620">
        <v>320</v>
      </c>
      <c r="H64" s="621"/>
      <c r="I64" s="621">
        <f t="shared" si="2"/>
        <v>0</v>
      </c>
    </row>
    <row r="65" spans="1:9" ht="22.5">
      <c r="A65" s="619">
        <v>43</v>
      </c>
      <c r="B65" s="619" t="s">
        <v>29</v>
      </c>
      <c r="C65" s="608" t="s">
        <v>956</v>
      </c>
      <c r="D65" s="560" t="s">
        <v>1035</v>
      </c>
      <c r="E65" s="500" t="s">
        <v>1036</v>
      </c>
      <c r="F65" s="499" t="s">
        <v>19</v>
      </c>
      <c r="G65" s="561">
        <v>1</v>
      </c>
      <c r="H65" s="568"/>
      <c r="I65" s="621">
        <f t="shared" si="2"/>
        <v>0</v>
      </c>
    </row>
    <row r="66" spans="1:9" ht="22.5">
      <c r="A66" s="619">
        <v>44</v>
      </c>
      <c r="B66" s="619" t="s">
        <v>29</v>
      </c>
      <c r="C66" s="619" t="s">
        <v>956</v>
      </c>
      <c r="D66" s="609" t="s">
        <v>1037</v>
      </c>
      <c r="E66" s="564" t="s">
        <v>1038</v>
      </c>
      <c r="F66" s="610" t="s">
        <v>19</v>
      </c>
      <c r="G66" s="611">
        <v>12</v>
      </c>
      <c r="H66" s="612"/>
      <c r="I66" s="621">
        <f t="shared" si="2"/>
        <v>0</v>
      </c>
    </row>
    <row r="67" spans="1:9">
      <c r="A67" s="619">
        <v>45</v>
      </c>
      <c r="B67" s="608" t="s">
        <v>29</v>
      </c>
      <c r="C67" s="608">
        <v>946</v>
      </c>
      <c r="D67" s="609" t="s">
        <v>1039</v>
      </c>
      <c r="E67" s="564" t="s">
        <v>1040</v>
      </c>
      <c r="F67" s="610" t="s">
        <v>19</v>
      </c>
      <c r="G67" s="611">
        <v>12</v>
      </c>
      <c r="H67" s="612"/>
      <c r="I67" s="621">
        <f t="shared" si="2"/>
        <v>0</v>
      </c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84" fitToHeight="0" orientation="portrait" horizontalDpi="4294967295" verticalDpi="4294967295" r:id="rId1"/>
  <headerFooter>
    <oddFooter>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55"/>
  <sheetViews>
    <sheetView topLeftCell="A34" workbookViewId="0">
      <selection activeCell="C53" sqref="C53"/>
    </sheetView>
  </sheetViews>
  <sheetFormatPr defaultColWidth="9" defaultRowHeight="15"/>
  <cols>
    <col min="1" max="1" width="7.28515625" style="855" customWidth="1"/>
    <col min="2" max="2" width="14" style="857" customWidth="1"/>
    <col min="3" max="3" width="51.7109375" style="857" customWidth="1"/>
    <col min="4" max="4" width="4.42578125" style="857" customWidth="1"/>
    <col min="5" max="5" width="8.42578125" style="858" customWidth="1"/>
    <col min="6" max="6" width="8.42578125" style="859" customWidth="1"/>
    <col min="7" max="7" width="12.140625" style="859" customWidth="1"/>
    <col min="8" max="8" width="13.28515625" style="859" customWidth="1"/>
    <col min="9" max="9" width="14.8554687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27.75" customHeight="1">
      <c r="A1" s="1110" t="s">
        <v>662</v>
      </c>
      <c r="B1" s="1110"/>
      <c r="C1" s="1110"/>
      <c r="D1" s="1110"/>
      <c r="E1" s="1110"/>
      <c r="F1" s="1110"/>
      <c r="G1" s="1110"/>
      <c r="H1" s="1110"/>
      <c r="I1" s="909"/>
      <c r="J1" s="909"/>
      <c r="K1" s="909"/>
    </row>
    <row r="2" spans="1:11" s="374" customFormat="1" ht="12.75" customHeight="1">
      <c r="A2" s="875" t="s">
        <v>77</v>
      </c>
      <c r="B2" s="875" t="s">
        <v>1041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 ht="12.75" customHeight="1">
      <c r="A3" s="896" t="s">
        <v>2082</v>
      </c>
      <c r="B3" s="875" t="s">
        <v>2313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 ht="13.5" customHeight="1">
      <c r="A4" s="876" t="s">
        <v>1</v>
      </c>
      <c r="B4" s="826" t="s">
        <v>2314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6.75" customHeight="1">
      <c r="A5" s="897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 ht="13.5" customHeight="1">
      <c r="A6" s="897" t="s">
        <v>1817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 ht="13.5" customHeight="1">
      <c r="A7" s="897" t="s">
        <v>2083</v>
      </c>
      <c r="B7" s="823"/>
      <c r="C7" s="823"/>
      <c r="D7" s="823"/>
      <c r="E7" s="824"/>
      <c r="F7" s="825"/>
      <c r="G7" s="825"/>
      <c r="H7" s="1134" t="s">
        <v>2084</v>
      </c>
      <c r="I7" s="1135"/>
      <c r="J7" s="1136"/>
      <c r="K7" s="824"/>
    </row>
    <row r="8" spans="1:11" s="374" customFormat="1" ht="13.5" customHeight="1">
      <c r="A8" s="897" t="s">
        <v>2085</v>
      </c>
      <c r="B8" s="823"/>
      <c r="C8" s="823"/>
      <c r="D8" s="823"/>
      <c r="E8" s="824"/>
      <c r="F8" s="825"/>
      <c r="G8" s="825"/>
      <c r="H8" s="1134" t="s">
        <v>2559</v>
      </c>
      <c r="I8" s="1135"/>
      <c r="J8" s="1136"/>
      <c r="K8" s="824"/>
    </row>
    <row r="9" spans="1:11" s="374" customFormat="1" ht="6.75" customHeight="1">
      <c r="A9" s="898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4" customHeight="1">
      <c r="A10" s="878" t="s">
        <v>1821</v>
      </c>
      <c r="B10" s="878" t="s">
        <v>5</v>
      </c>
      <c r="C10" s="878" t="s">
        <v>777</v>
      </c>
      <c r="D10" s="878" t="s">
        <v>7</v>
      </c>
      <c r="E10" s="878" t="s">
        <v>778</v>
      </c>
      <c r="F10" s="878" t="s">
        <v>9</v>
      </c>
      <c r="G10" s="878" t="s">
        <v>2086</v>
      </c>
      <c r="H10" s="878" t="s">
        <v>2087</v>
      </c>
      <c r="I10" s="878" t="s">
        <v>10</v>
      </c>
      <c r="J10" s="878" t="s">
        <v>779</v>
      </c>
      <c r="K10" s="878" t="s">
        <v>780</v>
      </c>
    </row>
    <row r="11" spans="1:11" s="374" customFormat="1" ht="12.75" hidden="1" customHeight="1">
      <c r="A11" s="878" t="s">
        <v>791</v>
      </c>
      <c r="B11" s="878" t="s">
        <v>795</v>
      </c>
      <c r="C11" s="878" t="s">
        <v>987</v>
      </c>
      <c r="D11" s="878" t="s">
        <v>1065</v>
      </c>
      <c r="E11" s="878" t="s">
        <v>1074</v>
      </c>
      <c r="F11" s="878" t="s">
        <v>1176</v>
      </c>
      <c r="G11" s="878" t="s">
        <v>1182</v>
      </c>
      <c r="H11" s="878" t="s">
        <v>1071</v>
      </c>
      <c r="I11" s="878" t="s">
        <v>1193</v>
      </c>
      <c r="J11" s="878" t="s">
        <v>1175</v>
      </c>
      <c r="K11" s="878" t="s">
        <v>1200</v>
      </c>
    </row>
    <row r="12" spans="1:11" s="374" customFormat="1" ht="6" customHeigh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 ht="30.75" customHeight="1">
      <c r="A13" s="879"/>
      <c r="B13" s="832" t="s">
        <v>22</v>
      </c>
      <c r="C13" s="832" t="s">
        <v>1823</v>
      </c>
      <c r="D13" s="832"/>
      <c r="E13" s="833"/>
      <c r="F13" s="834"/>
      <c r="G13" s="834">
        <f>SUM(G14,G48)</f>
        <v>0</v>
      </c>
      <c r="H13" s="834">
        <f t="shared" ref="H13:I13" si="0">SUM(H14,H48)</f>
        <v>0</v>
      </c>
      <c r="I13" s="834">
        <f t="shared" si="0"/>
        <v>0</v>
      </c>
      <c r="J13" s="880"/>
      <c r="K13" s="833">
        <v>0</v>
      </c>
    </row>
    <row r="14" spans="1:11" s="374" customFormat="1" ht="28.5" customHeight="1">
      <c r="A14" s="881"/>
      <c r="B14" s="837" t="s">
        <v>791</v>
      </c>
      <c r="C14" s="837" t="s">
        <v>1824</v>
      </c>
      <c r="D14" s="837"/>
      <c r="E14" s="838"/>
      <c r="F14" s="839"/>
      <c r="G14" s="839">
        <f>SUM(G15:G46)</f>
        <v>0</v>
      </c>
      <c r="H14" s="839">
        <f t="shared" ref="H14:I14" si="1">SUM(H15:H46)</f>
        <v>0</v>
      </c>
      <c r="I14" s="839">
        <f t="shared" si="1"/>
        <v>0</v>
      </c>
      <c r="J14" s="882"/>
      <c r="K14" s="838">
        <v>0</v>
      </c>
    </row>
    <row r="15" spans="1:11" s="374" customFormat="1" ht="24" customHeight="1">
      <c r="A15" s="918">
        <v>1</v>
      </c>
      <c r="B15" s="883" t="s">
        <v>2088</v>
      </c>
      <c r="C15" s="883" t="s">
        <v>2089</v>
      </c>
      <c r="D15" s="883" t="s">
        <v>13</v>
      </c>
      <c r="E15" s="884">
        <v>71</v>
      </c>
      <c r="F15" s="885"/>
      <c r="G15" s="885"/>
      <c r="H15" s="885"/>
      <c r="I15" s="885"/>
      <c r="J15" s="886">
        <v>0</v>
      </c>
      <c r="K15" s="884">
        <v>0</v>
      </c>
    </row>
    <row r="16" spans="1:11" s="374" customFormat="1" ht="13.5" customHeight="1">
      <c r="A16" s="887"/>
      <c r="B16" s="888"/>
      <c r="C16" s="888" t="s">
        <v>2582</v>
      </c>
      <c r="D16" s="888"/>
      <c r="E16" s="889">
        <v>71</v>
      </c>
      <c r="F16" s="890"/>
      <c r="G16" s="890"/>
      <c r="H16" s="890"/>
      <c r="I16" s="890"/>
      <c r="J16" s="891"/>
      <c r="K16" s="889"/>
    </row>
    <row r="17" spans="1:11" s="374" customFormat="1" ht="13.5" customHeight="1">
      <c r="A17" s="918">
        <v>2</v>
      </c>
      <c r="B17" s="883" t="s">
        <v>2092</v>
      </c>
      <c r="C17" s="883" t="s">
        <v>2093</v>
      </c>
      <c r="D17" s="883" t="s">
        <v>19</v>
      </c>
      <c r="E17" s="884">
        <v>5</v>
      </c>
      <c r="F17" s="885"/>
      <c r="G17" s="885"/>
      <c r="H17" s="885"/>
      <c r="I17" s="885"/>
      <c r="J17" s="886">
        <v>0</v>
      </c>
      <c r="K17" s="884">
        <v>0</v>
      </c>
    </row>
    <row r="18" spans="1:11" s="374" customFormat="1" ht="13.5" customHeight="1">
      <c r="A18" s="887"/>
      <c r="B18" s="888"/>
      <c r="C18" s="888" t="s">
        <v>2108</v>
      </c>
      <c r="D18" s="888"/>
      <c r="E18" s="889">
        <v>5</v>
      </c>
      <c r="F18" s="890"/>
      <c r="G18" s="890"/>
      <c r="H18" s="890"/>
      <c r="I18" s="890"/>
      <c r="J18" s="891"/>
      <c r="K18" s="889"/>
    </row>
    <row r="19" spans="1:11" s="374" customFormat="1" ht="13.5" customHeight="1">
      <c r="A19" s="918">
        <v>3</v>
      </c>
      <c r="B19" s="883" t="s">
        <v>2094</v>
      </c>
      <c r="C19" s="883" t="s">
        <v>2095</v>
      </c>
      <c r="D19" s="883" t="s">
        <v>19</v>
      </c>
      <c r="E19" s="884">
        <v>1</v>
      </c>
      <c r="F19" s="885"/>
      <c r="G19" s="885"/>
      <c r="H19" s="885"/>
      <c r="I19" s="885"/>
      <c r="J19" s="886">
        <v>0</v>
      </c>
      <c r="K19" s="884">
        <v>0</v>
      </c>
    </row>
    <row r="20" spans="1:11" s="374" customFormat="1" ht="13.5" customHeight="1">
      <c r="A20" s="887"/>
      <c r="B20" s="888"/>
      <c r="C20" s="888" t="s">
        <v>2091</v>
      </c>
      <c r="D20" s="888"/>
      <c r="E20" s="889">
        <v>1</v>
      </c>
      <c r="F20" s="890"/>
      <c r="G20" s="890"/>
      <c r="H20" s="890"/>
      <c r="I20" s="890"/>
      <c r="J20" s="891"/>
      <c r="K20" s="889"/>
    </row>
    <row r="21" spans="1:11" s="374" customFormat="1" ht="24" customHeight="1">
      <c r="A21" s="918">
        <v>4</v>
      </c>
      <c r="B21" s="883" t="s">
        <v>2096</v>
      </c>
      <c r="C21" s="883" t="s">
        <v>2097</v>
      </c>
      <c r="D21" s="883" t="s">
        <v>19</v>
      </c>
      <c r="E21" s="884">
        <v>1</v>
      </c>
      <c r="F21" s="885"/>
      <c r="G21" s="885"/>
      <c r="H21" s="885"/>
      <c r="I21" s="885"/>
      <c r="J21" s="886">
        <v>0</v>
      </c>
      <c r="K21" s="884">
        <v>0</v>
      </c>
    </row>
    <row r="22" spans="1:11" s="374" customFormat="1" ht="13.5" customHeight="1">
      <c r="A22" s="887"/>
      <c r="B22" s="888"/>
      <c r="C22" s="888" t="s">
        <v>2091</v>
      </c>
      <c r="D22" s="888"/>
      <c r="E22" s="889">
        <v>1</v>
      </c>
      <c r="F22" s="890"/>
      <c r="G22" s="890"/>
      <c r="H22" s="890"/>
      <c r="I22" s="890"/>
      <c r="J22" s="891"/>
      <c r="K22" s="889"/>
    </row>
    <row r="23" spans="1:11" s="374" customFormat="1" ht="24" customHeight="1">
      <c r="A23" s="918">
        <v>5</v>
      </c>
      <c r="B23" s="883" t="s">
        <v>2098</v>
      </c>
      <c r="C23" s="883" t="s">
        <v>2099</v>
      </c>
      <c r="D23" s="883" t="s">
        <v>19</v>
      </c>
      <c r="E23" s="884">
        <v>8</v>
      </c>
      <c r="F23" s="885"/>
      <c r="G23" s="885"/>
      <c r="H23" s="885"/>
      <c r="I23" s="885"/>
      <c r="J23" s="886">
        <v>0</v>
      </c>
      <c r="K23" s="884">
        <v>0</v>
      </c>
    </row>
    <row r="24" spans="1:11" s="374" customFormat="1" ht="13.5" customHeight="1">
      <c r="A24" s="887"/>
      <c r="B24" s="888"/>
      <c r="C24" s="888" t="s">
        <v>2583</v>
      </c>
      <c r="D24" s="888"/>
      <c r="E24" s="889">
        <v>8</v>
      </c>
      <c r="F24" s="890"/>
      <c r="G24" s="890"/>
      <c r="H24" s="890"/>
      <c r="I24" s="890"/>
      <c r="J24" s="891"/>
      <c r="K24" s="889"/>
    </row>
    <row r="25" spans="1:11" s="374" customFormat="1" ht="24" customHeight="1">
      <c r="A25" s="918">
        <v>6</v>
      </c>
      <c r="B25" s="883" t="s">
        <v>2100</v>
      </c>
      <c r="C25" s="883" t="s">
        <v>2101</v>
      </c>
      <c r="D25" s="883" t="s">
        <v>19</v>
      </c>
      <c r="E25" s="884">
        <v>23</v>
      </c>
      <c r="F25" s="885"/>
      <c r="G25" s="885"/>
      <c r="H25" s="885"/>
      <c r="I25" s="885"/>
      <c r="J25" s="886">
        <v>0</v>
      </c>
      <c r="K25" s="884">
        <v>0</v>
      </c>
    </row>
    <row r="26" spans="1:11" s="374" customFormat="1" ht="13.5" customHeight="1">
      <c r="A26" s="887"/>
      <c r="B26" s="888"/>
      <c r="C26" s="888" t="s">
        <v>2102</v>
      </c>
      <c r="D26" s="888"/>
      <c r="E26" s="889">
        <v>23</v>
      </c>
      <c r="F26" s="890"/>
      <c r="G26" s="890"/>
      <c r="H26" s="890"/>
      <c r="I26" s="890"/>
      <c r="J26" s="891"/>
      <c r="K26" s="889"/>
    </row>
    <row r="27" spans="1:11" s="374" customFormat="1" ht="24" customHeight="1">
      <c r="A27" s="918">
        <v>7</v>
      </c>
      <c r="B27" s="883" t="s">
        <v>2103</v>
      </c>
      <c r="C27" s="883" t="s">
        <v>2104</v>
      </c>
      <c r="D27" s="883" t="s">
        <v>19</v>
      </c>
      <c r="E27" s="884">
        <v>6</v>
      </c>
      <c r="F27" s="885"/>
      <c r="G27" s="885"/>
      <c r="H27" s="885"/>
      <c r="I27" s="885"/>
      <c r="J27" s="886">
        <v>0</v>
      </c>
      <c r="K27" s="884">
        <v>0</v>
      </c>
    </row>
    <row r="28" spans="1:11" s="374" customFormat="1" ht="13.5" customHeight="1">
      <c r="A28" s="887"/>
      <c r="B28" s="888"/>
      <c r="C28" s="888" t="s">
        <v>2105</v>
      </c>
      <c r="D28" s="888"/>
      <c r="E28" s="889">
        <v>6</v>
      </c>
      <c r="F28" s="890"/>
      <c r="G28" s="890"/>
      <c r="H28" s="890"/>
      <c r="I28" s="890"/>
      <c r="J28" s="891"/>
      <c r="K28" s="889"/>
    </row>
    <row r="29" spans="1:11" s="374" customFormat="1" ht="24" customHeight="1">
      <c r="A29" s="918">
        <v>8</v>
      </c>
      <c r="B29" s="883" t="s">
        <v>2106</v>
      </c>
      <c r="C29" s="883" t="s">
        <v>2107</v>
      </c>
      <c r="D29" s="883" t="s">
        <v>19</v>
      </c>
      <c r="E29" s="884">
        <v>5</v>
      </c>
      <c r="F29" s="885"/>
      <c r="G29" s="885"/>
      <c r="H29" s="885"/>
      <c r="I29" s="885"/>
      <c r="J29" s="886">
        <v>0</v>
      </c>
      <c r="K29" s="884">
        <v>0</v>
      </c>
    </row>
    <row r="30" spans="1:11" s="374" customFormat="1" ht="13.5" customHeight="1">
      <c r="A30" s="887"/>
      <c r="B30" s="888"/>
      <c r="C30" s="888" t="s">
        <v>2108</v>
      </c>
      <c r="D30" s="888"/>
      <c r="E30" s="889">
        <v>5</v>
      </c>
      <c r="F30" s="890"/>
      <c r="G30" s="890"/>
      <c r="H30" s="890"/>
      <c r="I30" s="890"/>
      <c r="J30" s="891"/>
      <c r="K30" s="889"/>
    </row>
    <row r="31" spans="1:11" s="374" customFormat="1" ht="13.5" customHeight="1">
      <c r="A31" s="918">
        <v>9</v>
      </c>
      <c r="B31" s="883" t="s">
        <v>2109</v>
      </c>
      <c r="C31" s="883" t="s">
        <v>2110</v>
      </c>
      <c r="D31" s="883" t="s">
        <v>19</v>
      </c>
      <c r="E31" s="884">
        <v>3</v>
      </c>
      <c r="F31" s="885"/>
      <c r="G31" s="885"/>
      <c r="H31" s="885"/>
      <c r="I31" s="885"/>
      <c r="J31" s="886">
        <v>0</v>
      </c>
      <c r="K31" s="884">
        <v>0</v>
      </c>
    </row>
    <row r="32" spans="1:11" s="374" customFormat="1" ht="13.5" customHeight="1">
      <c r="A32" s="887"/>
      <c r="B32" s="888"/>
      <c r="C32" s="888" t="s">
        <v>2090</v>
      </c>
      <c r="D32" s="888"/>
      <c r="E32" s="889">
        <v>3</v>
      </c>
      <c r="F32" s="890"/>
      <c r="G32" s="890"/>
      <c r="H32" s="890"/>
      <c r="I32" s="890"/>
      <c r="J32" s="891"/>
      <c r="K32" s="889"/>
    </row>
    <row r="33" spans="1:11" s="374" customFormat="1" ht="13.5" customHeight="1">
      <c r="A33" s="918">
        <v>10</v>
      </c>
      <c r="B33" s="883" t="s">
        <v>2111</v>
      </c>
      <c r="C33" s="883" t="s">
        <v>2112</v>
      </c>
      <c r="D33" s="883" t="s">
        <v>19</v>
      </c>
      <c r="E33" s="884">
        <v>32</v>
      </c>
      <c r="F33" s="885"/>
      <c r="G33" s="885"/>
      <c r="H33" s="885"/>
      <c r="I33" s="885"/>
      <c r="J33" s="886">
        <v>0</v>
      </c>
      <c r="K33" s="884">
        <v>0</v>
      </c>
    </row>
    <row r="34" spans="1:11" s="374" customFormat="1" ht="13.5" customHeight="1">
      <c r="A34" s="887"/>
      <c r="B34" s="888"/>
      <c r="C34" s="888" t="s">
        <v>2584</v>
      </c>
      <c r="D34" s="888"/>
      <c r="E34" s="889">
        <v>32</v>
      </c>
      <c r="F34" s="890"/>
      <c r="G34" s="890"/>
      <c r="H34" s="890"/>
      <c r="I34" s="890"/>
      <c r="J34" s="891"/>
      <c r="K34" s="889"/>
    </row>
    <row r="35" spans="1:11" s="374" customFormat="1" ht="13.5" customHeight="1">
      <c r="A35" s="918">
        <v>11</v>
      </c>
      <c r="B35" s="883" t="s">
        <v>2113</v>
      </c>
      <c r="C35" s="883" t="s">
        <v>2114</v>
      </c>
      <c r="D35" s="883" t="s">
        <v>19</v>
      </c>
      <c r="E35" s="884">
        <v>8</v>
      </c>
      <c r="F35" s="885"/>
      <c r="G35" s="885"/>
      <c r="H35" s="885"/>
      <c r="I35" s="885"/>
      <c r="J35" s="886">
        <v>0</v>
      </c>
      <c r="K35" s="884">
        <v>0</v>
      </c>
    </row>
    <row r="36" spans="1:11" s="374" customFormat="1" ht="13.5" customHeight="1">
      <c r="A36" s="887"/>
      <c r="B36" s="888"/>
      <c r="C36" s="888" t="s">
        <v>2115</v>
      </c>
      <c r="D36" s="888"/>
      <c r="E36" s="889">
        <v>8</v>
      </c>
      <c r="F36" s="890"/>
      <c r="G36" s="890"/>
      <c r="H36" s="890"/>
      <c r="I36" s="890"/>
      <c r="J36" s="891"/>
      <c r="K36" s="889"/>
    </row>
    <row r="37" spans="1:11" s="374" customFormat="1" ht="13.5" customHeight="1">
      <c r="A37" s="918">
        <v>12</v>
      </c>
      <c r="B37" s="883" t="s">
        <v>2116</v>
      </c>
      <c r="C37" s="883" t="s">
        <v>2117</v>
      </c>
      <c r="D37" s="883" t="s">
        <v>19</v>
      </c>
      <c r="E37" s="884">
        <v>8</v>
      </c>
      <c r="F37" s="885"/>
      <c r="G37" s="885"/>
      <c r="H37" s="885"/>
      <c r="I37" s="885"/>
      <c r="J37" s="886">
        <v>0</v>
      </c>
      <c r="K37" s="884">
        <v>0</v>
      </c>
    </row>
    <row r="38" spans="1:11" s="374" customFormat="1" ht="13.5" customHeight="1">
      <c r="A38" s="918">
        <v>13</v>
      </c>
      <c r="B38" s="883" t="s">
        <v>2118</v>
      </c>
      <c r="C38" s="883" t="s">
        <v>2119</v>
      </c>
      <c r="D38" s="883" t="s">
        <v>19</v>
      </c>
      <c r="E38" s="884">
        <v>3</v>
      </c>
      <c r="F38" s="885"/>
      <c r="G38" s="885"/>
      <c r="H38" s="885"/>
      <c r="I38" s="885"/>
      <c r="J38" s="886">
        <v>0</v>
      </c>
      <c r="K38" s="884">
        <v>0</v>
      </c>
    </row>
    <row r="39" spans="1:11" s="374" customFormat="1" ht="13.5" customHeight="1">
      <c r="A39" s="887"/>
      <c r="B39" s="888"/>
      <c r="C39" s="888" t="s">
        <v>2090</v>
      </c>
      <c r="D39" s="888"/>
      <c r="E39" s="889">
        <v>3</v>
      </c>
      <c r="F39" s="890"/>
      <c r="G39" s="890"/>
      <c r="H39" s="890"/>
      <c r="I39" s="890"/>
      <c r="J39" s="891"/>
      <c r="K39" s="889"/>
    </row>
    <row r="40" spans="1:11" s="374" customFormat="1" ht="13.5" customHeight="1">
      <c r="A40" s="918">
        <v>14</v>
      </c>
      <c r="B40" s="883" t="s">
        <v>2120</v>
      </c>
      <c r="C40" s="883" t="s">
        <v>2121</v>
      </c>
      <c r="D40" s="883" t="s">
        <v>19</v>
      </c>
      <c r="E40" s="884">
        <v>1</v>
      </c>
      <c r="F40" s="885"/>
      <c r="G40" s="885"/>
      <c r="H40" s="885"/>
      <c r="I40" s="885"/>
      <c r="J40" s="886">
        <v>0</v>
      </c>
      <c r="K40" s="884">
        <v>0</v>
      </c>
    </row>
    <row r="41" spans="1:11" s="374" customFormat="1" ht="13.5" customHeight="1">
      <c r="A41" s="887"/>
      <c r="B41" s="888"/>
      <c r="C41" s="888" t="s">
        <v>2091</v>
      </c>
      <c r="D41" s="888"/>
      <c r="E41" s="889">
        <v>1</v>
      </c>
      <c r="F41" s="890"/>
      <c r="G41" s="890"/>
      <c r="H41" s="890"/>
      <c r="I41" s="890"/>
      <c r="J41" s="891"/>
      <c r="K41" s="889"/>
    </row>
    <row r="42" spans="1:11" s="374" customFormat="1" ht="13.5" customHeight="1">
      <c r="A42" s="918">
        <v>15</v>
      </c>
      <c r="B42" s="883" t="s">
        <v>2122</v>
      </c>
      <c r="C42" s="883" t="s">
        <v>2123</v>
      </c>
      <c r="D42" s="883" t="s">
        <v>19</v>
      </c>
      <c r="E42" s="884">
        <v>4</v>
      </c>
      <c r="F42" s="885"/>
      <c r="G42" s="885"/>
      <c r="H42" s="885"/>
      <c r="I42" s="885"/>
      <c r="J42" s="886">
        <v>0</v>
      </c>
      <c r="K42" s="884">
        <v>0</v>
      </c>
    </row>
    <row r="43" spans="1:11" s="374" customFormat="1" ht="13.5" customHeight="1">
      <c r="A43" s="887"/>
      <c r="B43" s="888"/>
      <c r="C43" s="888" t="s">
        <v>2124</v>
      </c>
      <c r="D43" s="888"/>
      <c r="E43" s="889">
        <v>4</v>
      </c>
      <c r="F43" s="890"/>
      <c r="G43" s="890"/>
      <c r="H43" s="890"/>
      <c r="I43" s="890"/>
      <c r="J43" s="891"/>
      <c r="K43" s="889"/>
    </row>
    <row r="44" spans="1:11" s="374" customFormat="1" ht="13.5" customHeight="1">
      <c r="A44" s="918">
        <v>16</v>
      </c>
      <c r="B44" s="883" t="s">
        <v>2125</v>
      </c>
      <c r="C44" s="883" t="s">
        <v>2126</v>
      </c>
      <c r="D44" s="883" t="s">
        <v>19</v>
      </c>
      <c r="E44" s="884">
        <v>21</v>
      </c>
      <c r="F44" s="885"/>
      <c r="G44" s="885"/>
      <c r="H44" s="885"/>
      <c r="I44" s="885"/>
      <c r="J44" s="886">
        <v>0</v>
      </c>
      <c r="K44" s="884">
        <v>0</v>
      </c>
    </row>
    <row r="45" spans="1:11" s="374" customFormat="1" ht="13.5" customHeight="1">
      <c r="A45" s="887"/>
      <c r="B45" s="888"/>
      <c r="C45" s="888" t="s">
        <v>2127</v>
      </c>
      <c r="D45" s="888"/>
      <c r="E45" s="889">
        <v>21</v>
      </c>
      <c r="F45" s="890"/>
      <c r="G45" s="890"/>
      <c r="H45" s="890"/>
      <c r="I45" s="890"/>
      <c r="J45" s="891"/>
      <c r="K45" s="889"/>
    </row>
    <row r="46" spans="1:11" s="374" customFormat="1" ht="13.5" customHeight="1">
      <c r="A46" s="918">
        <v>17</v>
      </c>
      <c r="B46" s="883" t="s">
        <v>2128</v>
      </c>
      <c r="C46" s="883" t="s">
        <v>2129</v>
      </c>
      <c r="D46" s="883" t="s">
        <v>13</v>
      </c>
      <c r="E46" s="884">
        <v>600</v>
      </c>
      <c r="F46" s="885"/>
      <c r="G46" s="885"/>
      <c r="H46" s="885"/>
      <c r="I46" s="885"/>
      <c r="J46" s="886">
        <v>0</v>
      </c>
      <c r="K46" s="884">
        <v>0</v>
      </c>
    </row>
    <row r="47" spans="1:11" s="374" customFormat="1" ht="13.5" customHeight="1">
      <c r="A47" s="887"/>
      <c r="B47" s="888"/>
      <c r="C47" s="888" t="s">
        <v>2130</v>
      </c>
      <c r="D47" s="888"/>
      <c r="E47" s="889">
        <v>600</v>
      </c>
      <c r="F47" s="890"/>
      <c r="G47" s="890"/>
      <c r="H47" s="890"/>
      <c r="I47" s="890"/>
      <c r="J47" s="891"/>
      <c r="K47" s="889"/>
    </row>
    <row r="48" spans="1:11" s="374" customFormat="1" ht="13.5" customHeight="1">
      <c r="A48" s="879"/>
      <c r="B48" s="832" t="s">
        <v>512</v>
      </c>
      <c r="C48" s="832" t="s">
        <v>2131</v>
      </c>
      <c r="D48" s="832"/>
      <c r="E48" s="833"/>
      <c r="F48" s="834"/>
      <c r="G48" s="834">
        <f>SUM(G49:G53)</f>
        <v>0</v>
      </c>
      <c r="H48" s="834">
        <f t="shared" ref="H48:I48" si="2">SUM(H49:H53)</f>
        <v>0</v>
      </c>
      <c r="I48" s="834">
        <f t="shared" si="2"/>
        <v>0</v>
      </c>
      <c r="J48" s="880"/>
      <c r="K48" s="833">
        <v>0</v>
      </c>
    </row>
    <row r="49" spans="1:11" s="374" customFormat="1" ht="18.75" customHeight="1">
      <c r="A49" s="918">
        <v>18</v>
      </c>
      <c r="B49" s="883" t="s">
        <v>2132</v>
      </c>
      <c r="C49" s="883" t="s">
        <v>2133</v>
      </c>
      <c r="D49" s="883" t="s">
        <v>2134</v>
      </c>
      <c r="E49" s="884">
        <v>700</v>
      </c>
      <c r="F49" s="885"/>
      <c r="G49" s="885"/>
      <c r="H49" s="885"/>
      <c r="I49" s="885"/>
      <c r="J49" s="886">
        <v>0</v>
      </c>
      <c r="K49" s="884">
        <v>0</v>
      </c>
    </row>
    <row r="50" spans="1:11" s="374" customFormat="1" ht="13.5" customHeight="1">
      <c r="A50" s="887"/>
      <c r="B50" s="888"/>
      <c r="C50" s="888" t="s">
        <v>2135</v>
      </c>
      <c r="D50" s="888"/>
      <c r="E50" s="889">
        <v>700</v>
      </c>
      <c r="F50" s="890"/>
      <c r="G50" s="890"/>
      <c r="H50" s="890"/>
      <c r="I50" s="890"/>
      <c r="J50" s="891"/>
      <c r="K50" s="889"/>
    </row>
    <row r="51" spans="1:11" s="374" customFormat="1" ht="41.25" customHeight="1">
      <c r="A51" s="918">
        <v>19</v>
      </c>
      <c r="B51" s="883" t="s">
        <v>2136</v>
      </c>
      <c r="C51" s="883" t="s">
        <v>2137</v>
      </c>
      <c r="D51" s="883" t="s">
        <v>2138</v>
      </c>
      <c r="E51" s="884">
        <v>400</v>
      </c>
      <c r="F51" s="885"/>
      <c r="G51" s="885"/>
      <c r="H51" s="885"/>
      <c r="I51" s="885"/>
      <c r="J51" s="886">
        <v>0</v>
      </c>
      <c r="K51" s="884">
        <v>0</v>
      </c>
    </row>
    <row r="52" spans="1:11" s="374" customFormat="1" ht="24" customHeight="1">
      <c r="A52" s="887"/>
      <c r="B52" s="888"/>
      <c r="C52" s="888" t="s">
        <v>2139</v>
      </c>
      <c r="D52" s="888"/>
      <c r="E52" s="889">
        <v>400</v>
      </c>
      <c r="F52" s="890"/>
      <c r="G52" s="890"/>
      <c r="H52" s="890"/>
      <c r="I52" s="890"/>
      <c r="J52" s="891"/>
      <c r="K52" s="889"/>
    </row>
    <row r="53" spans="1:11" s="374" customFormat="1" ht="31.5" customHeight="1">
      <c r="A53" s="918">
        <v>20</v>
      </c>
      <c r="B53" s="883" t="s">
        <v>2585</v>
      </c>
      <c r="C53" s="883" t="s">
        <v>2586</v>
      </c>
      <c r="D53" s="883" t="s">
        <v>2134</v>
      </c>
      <c r="E53" s="884">
        <v>10</v>
      </c>
      <c r="F53" s="885"/>
      <c r="G53" s="885"/>
      <c r="H53" s="885"/>
      <c r="I53" s="885"/>
      <c r="J53" s="886">
        <v>0</v>
      </c>
      <c r="K53" s="884">
        <v>0</v>
      </c>
    </row>
    <row r="54" spans="1:11" s="374" customFormat="1" ht="34.5" customHeight="1">
      <c r="A54" s="887"/>
      <c r="B54" s="888"/>
      <c r="C54" s="888" t="s">
        <v>2587</v>
      </c>
      <c r="D54" s="888"/>
      <c r="E54" s="889">
        <v>10</v>
      </c>
      <c r="F54" s="890"/>
      <c r="G54" s="890"/>
      <c r="H54" s="890"/>
      <c r="I54" s="890"/>
      <c r="J54" s="891"/>
      <c r="K54" s="889"/>
    </row>
    <row r="55" spans="1:11" s="374" customFormat="1" ht="13.5" customHeight="1">
      <c r="A55" s="892"/>
      <c r="B55" s="852"/>
      <c r="C55" s="852" t="s">
        <v>1910</v>
      </c>
      <c r="D55" s="852"/>
      <c r="E55" s="853"/>
      <c r="F55" s="854"/>
      <c r="G55" s="854">
        <f>SUM(G13)</f>
        <v>0</v>
      </c>
      <c r="H55" s="854">
        <f t="shared" ref="H55:I55" si="3">SUM(H13)</f>
        <v>0</v>
      </c>
      <c r="I55" s="854">
        <f t="shared" si="3"/>
        <v>0</v>
      </c>
      <c r="J55" s="893"/>
      <c r="K55" s="853">
        <v>0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fitToHeight="0" orientation="landscape" horizontalDpi="4294967295" verticalDpi="4294967295" r:id="rId1"/>
  <headerFooter>
    <oddFooter>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6"/>
  <sheetViews>
    <sheetView workbookViewId="0">
      <selection activeCell="F25" activeCellId="1" sqref="F15:I15 F25:I25"/>
    </sheetView>
  </sheetViews>
  <sheetFormatPr defaultColWidth="9" defaultRowHeight="15"/>
  <cols>
    <col min="1" max="1" width="7.42578125" style="894" customWidth="1"/>
    <col min="2" max="2" width="14" style="857" customWidth="1"/>
    <col min="3" max="3" width="48.28515625" style="857" customWidth="1"/>
    <col min="4" max="4" width="4.42578125" style="857" customWidth="1"/>
    <col min="5" max="5" width="8.42578125" style="858" customWidth="1"/>
    <col min="6" max="6" width="8.42578125" style="859" customWidth="1"/>
    <col min="7" max="7" width="11.85546875" style="859" customWidth="1"/>
    <col min="8" max="8" width="12.28515625" style="859" customWidth="1"/>
    <col min="9" max="9" width="17.2851562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18">
      <c r="A1" s="1110" t="s">
        <v>662</v>
      </c>
      <c r="B1" s="1110"/>
      <c r="C1" s="1110"/>
      <c r="D1" s="1110"/>
      <c r="E1" s="1110"/>
      <c r="F1" s="1110"/>
      <c r="G1" s="1110"/>
      <c r="H1" s="1110"/>
      <c r="I1" s="909"/>
      <c r="J1" s="909"/>
      <c r="K1" s="909"/>
    </row>
    <row r="2" spans="1:11" s="374" customFormat="1">
      <c r="A2" s="875" t="s">
        <v>77</v>
      </c>
      <c r="B2" s="875" t="s">
        <v>1041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>
      <c r="A3" s="875" t="s">
        <v>2082</v>
      </c>
      <c r="B3" s="875" t="s">
        <v>2313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>
      <c r="A4" s="876" t="s">
        <v>1</v>
      </c>
      <c r="B4" s="826" t="s">
        <v>2315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>
      <c r="A5" s="820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>
      <c r="A6" s="820" t="s">
        <v>2140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>
      <c r="A7" s="820" t="s">
        <v>2141</v>
      </c>
      <c r="B7" s="823"/>
      <c r="C7" s="823"/>
      <c r="D7" s="823"/>
      <c r="E7" s="824"/>
      <c r="F7" s="825"/>
      <c r="G7" s="825"/>
      <c r="H7" s="1134" t="s">
        <v>1819</v>
      </c>
      <c r="I7" s="1135"/>
      <c r="J7" s="1136"/>
      <c r="K7" s="824"/>
    </row>
    <row r="8" spans="1:11" s="374" customFormat="1">
      <c r="A8" s="820" t="s">
        <v>2085</v>
      </c>
      <c r="B8" s="823"/>
      <c r="C8" s="823"/>
      <c r="D8" s="823"/>
      <c r="E8" s="824"/>
      <c r="F8" s="825"/>
      <c r="G8" s="825"/>
      <c r="H8" s="1134" t="s">
        <v>2142</v>
      </c>
      <c r="I8" s="1135"/>
      <c r="J8" s="1136"/>
      <c r="K8" s="824"/>
    </row>
    <row r="9" spans="1:11" s="374" customFormat="1">
      <c r="A9" s="829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2.5">
      <c r="A10" s="878" t="s">
        <v>1821</v>
      </c>
      <c r="B10" s="878" t="s">
        <v>5</v>
      </c>
      <c r="C10" s="878" t="s">
        <v>777</v>
      </c>
      <c r="D10" s="878" t="s">
        <v>7</v>
      </c>
      <c r="E10" s="878" t="s">
        <v>778</v>
      </c>
      <c r="F10" s="878" t="s">
        <v>9</v>
      </c>
      <c r="G10" s="878" t="s">
        <v>2086</v>
      </c>
      <c r="H10" s="878" t="s">
        <v>2087</v>
      </c>
      <c r="I10" s="878" t="s">
        <v>10</v>
      </c>
      <c r="J10" s="878" t="s">
        <v>779</v>
      </c>
      <c r="K10" s="878" t="s">
        <v>780</v>
      </c>
    </row>
    <row r="11" spans="1:11" s="374" customFormat="1" hidden="1">
      <c r="A11" s="878" t="s">
        <v>791</v>
      </c>
      <c r="B11" s="878" t="s">
        <v>795</v>
      </c>
      <c r="C11" s="878" t="s">
        <v>987</v>
      </c>
      <c r="D11" s="878" t="s">
        <v>1065</v>
      </c>
      <c r="E11" s="878" t="s">
        <v>1074</v>
      </c>
      <c r="F11" s="878" t="s">
        <v>1176</v>
      </c>
      <c r="G11" s="878" t="s">
        <v>1182</v>
      </c>
      <c r="H11" s="878" t="s">
        <v>1071</v>
      </c>
      <c r="I11" s="878" t="s">
        <v>1193</v>
      </c>
      <c r="J11" s="878" t="s">
        <v>1175</v>
      </c>
      <c r="K11" s="878" t="s">
        <v>1200</v>
      </c>
    </row>
    <row r="12" spans="1:11" s="374" customForma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>
      <c r="A13" s="879"/>
      <c r="B13" s="832" t="s">
        <v>22</v>
      </c>
      <c r="C13" s="832" t="s">
        <v>1823</v>
      </c>
      <c r="D13" s="832"/>
      <c r="E13" s="833"/>
      <c r="F13" s="834"/>
      <c r="G13" s="834">
        <f>SUM(G14)</f>
        <v>0</v>
      </c>
      <c r="H13" s="834">
        <f t="shared" ref="H13:K13" si="0">SUM(H14)</f>
        <v>0</v>
      </c>
      <c r="I13" s="834">
        <f t="shared" si="0"/>
        <v>0</v>
      </c>
      <c r="J13" s="834">
        <f t="shared" si="0"/>
        <v>9.4000000000000004E-3</v>
      </c>
      <c r="K13" s="834">
        <f t="shared" si="0"/>
        <v>4.1736000000000004</v>
      </c>
    </row>
    <row r="14" spans="1:11" s="374" customFormat="1">
      <c r="A14" s="881"/>
      <c r="B14" s="837" t="s">
        <v>791</v>
      </c>
      <c r="C14" s="837" t="s">
        <v>1824</v>
      </c>
      <c r="D14" s="837"/>
      <c r="E14" s="838"/>
      <c r="F14" s="839"/>
      <c r="G14" s="839">
        <f>SUM(G15:G25)</f>
        <v>0</v>
      </c>
      <c r="H14" s="839">
        <f t="shared" ref="H14:K14" si="1">SUM(H15:H25)</f>
        <v>0</v>
      </c>
      <c r="I14" s="839">
        <f t="shared" si="1"/>
        <v>0</v>
      </c>
      <c r="J14" s="839">
        <f t="shared" si="1"/>
        <v>9.4000000000000004E-3</v>
      </c>
      <c r="K14" s="839">
        <f t="shared" si="1"/>
        <v>4.1736000000000004</v>
      </c>
    </row>
    <row r="15" spans="1:11" s="374" customFormat="1" ht="22.5">
      <c r="A15" s="899">
        <v>1</v>
      </c>
      <c r="B15" s="883" t="s">
        <v>2143</v>
      </c>
      <c r="C15" s="883" t="s">
        <v>2144</v>
      </c>
      <c r="D15" s="883" t="s">
        <v>13</v>
      </c>
      <c r="E15" s="884">
        <v>444</v>
      </c>
      <c r="F15" s="885"/>
      <c r="G15" s="885"/>
      <c r="H15" s="885"/>
      <c r="I15" s="885"/>
      <c r="J15" s="886">
        <v>9.4000000000000004E-3</v>
      </c>
      <c r="K15" s="884">
        <v>4.1736000000000004</v>
      </c>
    </row>
    <row r="16" spans="1:11" s="374" customFormat="1">
      <c r="A16" s="900"/>
      <c r="B16" s="888"/>
      <c r="C16" s="888" t="s">
        <v>2145</v>
      </c>
      <c r="D16" s="888"/>
      <c r="E16" s="889">
        <v>15.75</v>
      </c>
      <c r="F16" s="890"/>
      <c r="G16" s="890"/>
      <c r="H16" s="890"/>
      <c r="I16" s="890"/>
      <c r="J16" s="891"/>
      <c r="K16" s="889"/>
    </row>
    <row r="17" spans="1:11" s="374" customFormat="1">
      <c r="A17" s="900"/>
      <c r="B17" s="888"/>
      <c r="C17" s="888" t="s">
        <v>2146</v>
      </c>
      <c r="D17" s="888"/>
      <c r="E17" s="889">
        <v>87</v>
      </c>
      <c r="F17" s="890"/>
      <c r="G17" s="890"/>
      <c r="H17" s="890"/>
      <c r="I17" s="890"/>
      <c r="J17" s="891"/>
      <c r="K17" s="889"/>
    </row>
    <row r="18" spans="1:11" s="374" customFormat="1">
      <c r="A18" s="900"/>
      <c r="B18" s="888"/>
      <c r="C18" s="888" t="s">
        <v>2147</v>
      </c>
      <c r="D18" s="888"/>
      <c r="E18" s="889">
        <v>128.25</v>
      </c>
      <c r="F18" s="890"/>
      <c r="G18" s="890"/>
      <c r="H18" s="890"/>
      <c r="I18" s="890"/>
      <c r="J18" s="891"/>
      <c r="K18" s="889"/>
    </row>
    <row r="19" spans="1:11" s="374" customFormat="1">
      <c r="A19" s="900"/>
      <c r="B19" s="888"/>
      <c r="C19" s="888" t="s">
        <v>2148</v>
      </c>
      <c r="D19" s="888"/>
      <c r="E19" s="889">
        <v>51</v>
      </c>
      <c r="F19" s="890"/>
      <c r="G19" s="890"/>
      <c r="H19" s="890"/>
      <c r="I19" s="890"/>
      <c r="J19" s="891"/>
      <c r="K19" s="889"/>
    </row>
    <row r="20" spans="1:11" s="374" customFormat="1">
      <c r="A20" s="900"/>
      <c r="B20" s="888"/>
      <c r="C20" s="888" t="s">
        <v>2149</v>
      </c>
      <c r="D20" s="888"/>
      <c r="E20" s="889">
        <v>25.5</v>
      </c>
      <c r="F20" s="890"/>
      <c r="G20" s="890"/>
      <c r="H20" s="890"/>
      <c r="I20" s="890"/>
      <c r="J20" s="891"/>
      <c r="K20" s="889"/>
    </row>
    <row r="21" spans="1:11" s="374" customFormat="1">
      <c r="A21" s="900"/>
      <c r="B21" s="888"/>
      <c r="C21" s="888" t="s">
        <v>2150</v>
      </c>
      <c r="D21" s="888"/>
      <c r="E21" s="889">
        <v>59.25</v>
      </c>
      <c r="F21" s="890"/>
      <c r="G21" s="890"/>
      <c r="H21" s="890"/>
      <c r="I21" s="890"/>
      <c r="J21" s="891"/>
      <c r="K21" s="889"/>
    </row>
    <row r="22" spans="1:11" s="374" customFormat="1">
      <c r="A22" s="900"/>
      <c r="B22" s="888"/>
      <c r="C22" s="888" t="s">
        <v>2151</v>
      </c>
      <c r="D22" s="888"/>
      <c r="E22" s="889">
        <v>17.25</v>
      </c>
      <c r="F22" s="890"/>
      <c r="G22" s="890"/>
      <c r="H22" s="890"/>
      <c r="I22" s="890"/>
      <c r="J22" s="891"/>
      <c r="K22" s="889"/>
    </row>
    <row r="23" spans="1:11" s="374" customFormat="1">
      <c r="A23" s="900"/>
      <c r="B23" s="888"/>
      <c r="C23" s="888" t="s">
        <v>2152</v>
      </c>
      <c r="D23" s="888"/>
      <c r="E23" s="889">
        <v>60</v>
      </c>
      <c r="F23" s="890"/>
      <c r="G23" s="890"/>
      <c r="H23" s="890"/>
      <c r="I23" s="890"/>
      <c r="J23" s="891"/>
      <c r="K23" s="889"/>
    </row>
    <row r="24" spans="1:11" s="374" customFormat="1">
      <c r="A24" s="907"/>
      <c r="B24" s="901"/>
      <c r="C24" s="901" t="s">
        <v>2153</v>
      </c>
      <c r="D24" s="901"/>
      <c r="E24" s="902">
        <v>444</v>
      </c>
      <c r="F24" s="903"/>
      <c r="G24" s="903"/>
      <c r="H24" s="903"/>
      <c r="I24" s="903"/>
      <c r="J24" s="904"/>
      <c r="K24" s="902"/>
    </row>
    <row r="25" spans="1:11" s="374" customFormat="1" ht="22.5">
      <c r="A25" s="899">
        <v>2</v>
      </c>
      <c r="B25" s="883" t="s">
        <v>2154</v>
      </c>
      <c r="C25" s="883" t="s">
        <v>2155</v>
      </c>
      <c r="D25" s="883" t="s">
        <v>13</v>
      </c>
      <c r="E25" s="884">
        <v>444</v>
      </c>
      <c r="F25" s="885"/>
      <c r="G25" s="885"/>
      <c r="H25" s="885"/>
      <c r="I25" s="885"/>
      <c r="J25" s="886">
        <v>0</v>
      </c>
      <c r="K25" s="884">
        <v>0</v>
      </c>
    </row>
    <row r="26" spans="1:11" s="374" customFormat="1" ht="24" customHeight="1">
      <c r="A26" s="892"/>
      <c r="B26" s="852"/>
      <c r="C26" s="852" t="s">
        <v>1910</v>
      </c>
      <c r="D26" s="852"/>
      <c r="E26" s="853"/>
      <c r="F26" s="854"/>
      <c r="G26" s="854">
        <f>SUM(G13)</f>
        <v>0</v>
      </c>
      <c r="H26" s="854">
        <f t="shared" ref="H26:I26" si="2">SUM(H13)</f>
        <v>0</v>
      </c>
      <c r="I26" s="854">
        <f t="shared" si="2"/>
        <v>0</v>
      </c>
      <c r="J26" s="893"/>
      <c r="K26" s="853">
        <v>4.1736000000000004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horizontalDpi="4294967295" verticalDpi="4294967295" r:id="rId1"/>
  <headerFooter>
    <oddFooter>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48"/>
  <sheetViews>
    <sheetView topLeftCell="A4" workbookViewId="0">
      <selection activeCell="G141" sqref="G141"/>
    </sheetView>
  </sheetViews>
  <sheetFormatPr defaultColWidth="9" defaultRowHeight="15"/>
  <cols>
    <col min="1" max="1" width="7.28515625" style="855" customWidth="1"/>
    <col min="2" max="2" width="14" style="857" customWidth="1"/>
    <col min="3" max="3" width="51.7109375" style="857" customWidth="1"/>
    <col min="4" max="4" width="4.42578125" style="857" customWidth="1"/>
    <col min="5" max="5" width="8.42578125" style="858" customWidth="1"/>
    <col min="6" max="6" width="8.42578125" style="859" customWidth="1"/>
    <col min="7" max="8" width="12.28515625" style="859" customWidth="1"/>
    <col min="9" max="9" width="15.7109375" style="859" customWidth="1"/>
    <col min="10" max="10" width="8.42578125" style="895" hidden="1" customWidth="1"/>
    <col min="11" max="11" width="11.140625" style="858" hidden="1" customWidth="1"/>
    <col min="12" max="256" width="9" style="860"/>
    <col min="257" max="257" width="6" style="860" customWidth="1"/>
    <col min="258" max="258" width="14" style="860" customWidth="1"/>
    <col min="259" max="259" width="51.7109375" style="860" customWidth="1"/>
    <col min="260" max="260" width="4.42578125" style="860" customWidth="1"/>
    <col min="261" max="262" width="8.42578125" style="860" customWidth="1"/>
    <col min="263" max="263" width="14.42578125" style="860" customWidth="1"/>
    <col min="264" max="264" width="16.28515625" style="860" customWidth="1"/>
    <col min="265" max="265" width="17.28515625" style="860" customWidth="1"/>
    <col min="266" max="266" width="8.42578125" style="860" customWidth="1"/>
    <col min="267" max="267" width="11.140625" style="860" customWidth="1"/>
    <col min="268" max="512" width="9" style="860"/>
    <col min="513" max="513" width="6" style="860" customWidth="1"/>
    <col min="514" max="514" width="14" style="860" customWidth="1"/>
    <col min="515" max="515" width="51.7109375" style="860" customWidth="1"/>
    <col min="516" max="516" width="4.42578125" style="860" customWidth="1"/>
    <col min="517" max="518" width="8.42578125" style="860" customWidth="1"/>
    <col min="519" max="519" width="14.42578125" style="860" customWidth="1"/>
    <col min="520" max="520" width="16.28515625" style="860" customWidth="1"/>
    <col min="521" max="521" width="17.28515625" style="860" customWidth="1"/>
    <col min="522" max="522" width="8.42578125" style="860" customWidth="1"/>
    <col min="523" max="523" width="11.140625" style="860" customWidth="1"/>
    <col min="524" max="768" width="9" style="860"/>
    <col min="769" max="769" width="6" style="860" customWidth="1"/>
    <col min="770" max="770" width="14" style="860" customWidth="1"/>
    <col min="771" max="771" width="51.7109375" style="860" customWidth="1"/>
    <col min="772" max="772" width="4.42578125" style="860" customWidth="1"/>
    <col min="773" max="774" width="8.42578125" style="860" customWidth="1"/>
    <col min="775" max="775" width="14.42578125" style="860" customWidth="1"/>
    <col min="776" max="776" width="16.28515625" style="860" customWidth="1"/>
    <col min="777" max="777" width="17.28515625" style="860" customWidth="1"/>
    <col min="778" max="778" width="8.42578125" style="860" customWidth="1"/>
    <col min="779" max="779" width="11.140625" style="860" customWidth="1"/>
    <col min="780" max="1024" width="9" style="860"/>
    <col min="1025" max="1025" width="6" style="860" customWidth="1"/>
    <col min="1026" max="1026" width="14" style="860" customWidth="1"/>
    <col min="1027" max="1027" width="51.7109375" style="860" customWidth="1"/>
    <col min="1028" max="1028" width="4.42578125" style="860" customWidth="1"/>
    <col min="1029" max="1030" width="8.42578125" style="860" customWidth="1"/>
    <col min="1031" max="1031" width="14.42578125" style="860" customWidth="1"/>
    <col min="1032" max="1032" width="16.28515625" style="860" customWidth="1"/>
    <col min="1033" max="1033" width="17.28515625" style="860" customWidth="1"/>
    <col min="1034" max="1034" width="8.42578125" style="860" customWidth="1"/>
    <col min="1035" max="1035" width="11.140625" style="860" customWidth="1"/>
    <col min="1036" max="1280" width="9" style="860"/>
    <col min="1281" max="1281" width="6" style="860" customWidth="1"/>
    <col min="1282" max="1282" width="14" style="860" customWidth="1"/>
    <col min="1283" max="1283" width="51.7109375" style="860" customWidth="1"/>
    <col min="1284" max="1284" width="4.42578125" style="860" customWidth="1"/>
    <col min="1285" max="1286" width="8.42578125" style="860" customWidth="1"/>
    <col min="1287" max="1287" width="14.42578125" style="860" customWidth="1"/>
    <col min="1288" max="1288" width="16.28515625" style="860" customWidth="1"/>
    <col min="1289" max="1289" width="17.28515625" style="860" customWidth="1"/>
    <col min="1290" max="1290" width="8.42578125" style="860" customWidth="1"/>
    <col min="1291" max="1291" width="11.140625" style="860" customWidth="1"/>
    <col min="1292" max="1536" width="9" style="860"/>
    <col min="1537" max="1537" width="6" style="860" customWidth="1"/>
    <col min="1538" max="1538" width="14" style="860" customWidth="1"/>
    <col min="1539" max="1539" width="51.7109375" style="860" customWidth="1"/>
    <col min="1540" max="1540" width="4.42578125" style="860" customWidth="1"/>
    <col min="1541" max="1542" width="8.42578125" style="860" customWidth="1"/>
    <col min="1543" max="1543" width="14.42578125" style="860" customWidth="1"/>
    <col min="1544" max="1544" width="16.28515625" style="860" customWidth="1"/>
    <col min="1545" max="1545" width="17.28515625" style="860" customWidth="1"/>
    <col min="1546" max="1546" width="8.42578125" style="860" customWidth="1"/>
    <col min="1547" max="1547" width="11.140625" style="860" customWidth="1"/>
    <col min="1548" max="1792" width="9" style="860"/>
    <col min="1793" max="1793" width="6" style="860" customWidth="1"/>
    <col min="1794" max="1794" width="14" style="860" customWidth="1"/>
    <col min="1795" max="1795" width="51.7109375" style="860" customWidth="1"/>
    <col min="1796" max="1796" width="4.42578125" style="860" customWidth="1"/>
    <col min="1797" max="1798" width="8.42578125" style="860" customWidth="1"/>
    <col min="1799" max="1799" width="14.42578125" style="860" customWidth="1"/>
    <col min="1800" max="1800" width="16.28515625" style="860" customWidth="1"/>
    <col min="1801" max="1801" width="17.28515625" style="860" customWidth="1"/>
    <col min="1802" max="1802" width="8.42578125" style="860" customWidth="1"/>
    <col min="1803" max="1803" width="11.140625" style="860" customWidth="1"/>
    <col min="1804" max="2048" width="9" style="860"/>
    <col min="2049" max="2049" width="6" style="860" customWidth="1"/>
    <col min="2050" max="2050" width="14" style="860" customWidth="1"/>
    <col min="2051" max="2051" width="51.7109375" style="860" customWidth="1"/>
    <col min="2052" max="2052" width="4.42578125" style="860" customWidth="1"/>
    <col min="2053" max="2054" width="8.42578125" style="860" customWidth="1"/>
    <col min="2055" max="2055" width="14.42578125" style="860" customWidth="1"/>
    <col min="2056" max="2056" width="16.28515625" style="860" customWidth="1"/>
    <col min="2057" max="2057" width="17.28515625" style="860" customWidth="1"/>
    <col min="2058" max="2058" width="8.42578125" style="860" customWidth="1"/>
    <col min="2059" max="2059" width="11.140625" style="860" customWidth="1"/>
    <col min="2060" max="2304" width="9" style="860"/>
    <col min="2305" max="2305" width="6" style="860" customWidth="1"/>
    <col min="2306" max="2306" width="14" style="860" customWidth="1"/>
    <col min="2307" max="2307" width="51.7109375" style="860" customWidth="1"/>
    <col min="2308" max="2308" width="4.42578125" style="860" customWidth="1"/>
    <col min="2309" max="2310" width="8.42578125" style="860" customWidth="1"/>
    <col min="2311" max="2311" width="14.42578125" style="860" customWidth="1"/>
    <col min="2312" max="2312" width="16.28515625" style="860" customWidth="1"/>
    <col min="2313" max="2313" width="17.28515625" style="860" customWidth="1"/>
    <col min="2314" max="2314" width="8.42578125" style="860" customWidth="1"/>
    <col min="2315" max="2315" width="11.140625" style="860" customWidth="1"/>
    <col min="2316" max="2560" width="9" style="860"/>
    <col min="2561" max="2561" width="6" style="860" customWidth="1"/>
    <col min="2562" max="2562" width="14" style="860" customWidth="1"/>
    <col min="2563" max="2563" width="51.7109375" style="860" customWidth="1"/>
    <col min="2564" max="2564" width="4.42578125" style="860" customWidth="1"/>
    <col min="2565" max="2566" width="8.42578125" style="860" customWidth="1"/>
    <col min="2567" max="2567" width="14.42578125" style="860" customWidth="1"/>
    <col min="2568" max="2568" width="16.28515625" style="860" customWidth="1"/>
    <col min="2569" max="2569" width="17.28515625" style="860" customWidth="1"/>
    <col min="2570" max="2570" width="8.42578125" style="860" customWidth="1"/>
    <col min="2571" max="2571" width="11.140625" style="860" customWidth="1"/>
    <col min="2572" max="2816" width="9" style="860"/>
    <col min="2817" max="2817" width="6" style="860" customWidth="1"/>
    <col min="2818" max="2818" width="14" style="860" customWidth="1"/>
    <col min="2819" max="2819" width="51.7109375" style="860" customWidth="1"/>
    <col min="2820" max="2820" width="4.42578125" style="860" customWidth="1"/>
    <col min="2821" max="2822" width="8.42578125" style="860" customWidth="1"/>
    <col min="2823" max="2823" width="14.42578125" style="860" customWidth="1"/>
    <col min="2824" max="2824" width="16.28515625" style="860" customWidth="1"/>
    <col min="2825" max="2825" width="17.28515625" style="860" customWidth="1"/>
    <col min="2826" max="2826" width="8.42578125" style="860" customWidth="1"/>
    <col min="2827" max="2827" width="11.140625" style="860" customWidth="1"/>
    <col min="2828" max="3072" width="9" style="860"/>
    <col min="3073" max="3073" width="6" style="860" customWidth="1"/>
    <col min="3074" max="3074" width="14" style="860" customWidth="1"/>
    <col min="3075" max="3075" width="51.7109375" style="860" customWidth="1"/>
    <col min="3076" max="3076" width="4.42578125" style="860" customWidth="1"/>
    <col min="3077" max="3078" width="8.42578125" style="860" customWidth="1"/>
    <col min="3079" max="3079" width="14.42578125" style="860" customWidth="1"/>
    <col min="3080" max="3080" width="16.28515625" style="860" customWidth="1"/>
    <col min="3081" max="3081" width="17.28515625" style="860" customWidth="1"/>
    <col min="3082" max="3082" width="8.42578125" style="860" customWidth="1"/>
    <col min="3083" max="3083" width="11.140625" style="860" customWidth="1"/>
    <col min="3084" max="3328" width="9" style="860"/>
    <col min="3329" max="3329" width="6" style="860" customWidth="1"/>
    <col min="3330" max="3330" width="14" style="860" customWidth="1"/>
    <col min="3331" max="3331" width="51.7109375" style="860" customWidth="1"/>
    <col min="3332" max="3332" width="4.42578125" style="860" customWidth="1"/>
    <col min="3333" max="3334" width="8.42578125" style="860" customWidth="1"/>
    <col min="3335" max="3335" width="14.42578125" style="860" customWidth="1"/>
    <col min="3336" max="3336" width="16.28515625" style="860" customWidth="1"/>
    <col min="3337" max="3337" width="17.28515625" style="860" customWidth="1"/>
    <col min="3338" max="3338" width="8.42578125" style="860" customWidth="1"/>
    <col min="3339" max="3339" width="11.140625" style="860" customWidth="1"/>
    <col min="3340" max="3584" width="9" style="860"/>
    <col min="3585" max="3585" width="6" style="860" customWidth="1"/>
    <col min="3586" max="3586" width="14" style="860" customWidth="1"/>
    <col min="3587" max="3587" width="51.7109375" style="860" customWidth="1"/>
    <col min="3588" max="3588" width="4.42578125" style="860" customWidth="1"/>
    <col min="3589" max="3590" width="8.42578125" style="860" customWidth="1"/>
    <col min="3591" max="3591" width="14.42578125" style="860" customWidth="1"/>
    <col min="3592" max="3592" width="16.28515625" style="860" customWidth="1"/>
    <col min="3593" max="3593" width="17.28515625" style="860" customWidth="1"/>
    <col min="3594" max="3594" width="8.42578125" style="860" customWidth="1"/>
    <col min="3595" max="3595" width="11.140625" style="860" customWidth="1"/>
    <col min="3596" max="3840" width="9" style="860"/>
    <col min="3841" max="3841" width="6" style="860" customWidth="1"/>
    <col min="3842" max="3842" width="14" style="860" customWidth="1"/>
    <col min="3843" max="3843" width="51.7109375" style="860" customWidth="1"/>
    <col min="3844" max="3844" width="4.42578125" style="860" customWidth="1"/>
    <col min="3845" max="3846" width="8.42578125" style="860" customWidth="1"/>
    <col min="3847" max="3847" width="14.42578125" style="860" customWidth="1"/>
    <col min="3848" max="3848" width="16.28515625" style="860" customWidth="1"/>
    <col min="3849" max="3849" width="17.28515625" style="860" customWidth="1"/>
    <col min="3850" max="3850" width="8.42578125" style="860" customWidth="1"/>
    <col min="3851" max="3851" width="11.140625" style="860" customWidth="1"/>
    <col min="3852" max="4096" width="9" style="860"/>
    <col min="4097" max="4097" width="6" style="860" customWidth="1"/>
    <col min="4098" max="4098" width="14" style="860" customWidth="1"/>
    <col min="4099" max="4099" width="51.7109375" style="860" customWidth="1"/>
    <col min="4100" max="4100" width="4.42578125" style="860" customWidth="1"/>
    <col min="4101" max="4102" width="8.42578125" style="860" customWidth="1"/>
    <col min="4103" max="4103" width="14.42578125" style="860" customWidth="1"/>
    <col min="4104" max="4104" width="16.28515625" style="860" customWidth="1"/>
    <col min="4105" max="4105" width="17.28515625" style="860" customWidth="1"/>
    <col min="4106" max="4106" width="8.42578125" style="860" customWidth="1"/>
    <col min="4107" max="4107" width="11.140625" style="860" customWidth="1"/>
    <col min="4108" max="4352" width="9" style="860"/>
    <col min="4353" max="4353" width="6" style="860" customWidth="1"/>
    <col min="4354" max="4354" width="14" style="860" customWidth="1"/>
    <col min="4355" max="4355" width="51.7109375" style="860" customWidth="1"/>
    <col min="4356" max="4356" width="4.42578125" style="860" customWidth="1"/>
    <col min="4357" max="4358" width="8.42578125" style="860" customWidth="1"/>
    <col min="4359" max="4359" width="14.42578125" style="860" customWidth="1"/>
    <col min="4360" max="4360" width="16.28515625" style="860" customWidth="1"/>
    <col min="4361" max="4361" width="17.28515625" style="860" customWidth="1"/>
    <col min="4362" max="4362" width="8.42578125" style="860" customWidth="1"/>
    <col min="4363" max="4363" width="11.140625" style="860" customWidth="1"/>
    <col min="4364" max="4608" width="9" style="860"/>
    <col min="4609" max="4609" width="6" style="860" customWidth="1"/>
    <col min="4610" max="4610" width="14" style="860" customWidth="1"/>
    <col min="4611" max="4611" width="51.7109375" style="860" customWidth="1"/>
    <col min="4612" max="4612" width="4.42578125" style="860" customWidth="1"/>
    <col min="4613" max="4614" width="8.42578125" style="860" customWidth="1"/>
    <col min="4615" max="4615" width="14.42578125" style="860" customWidth="1"/>
    <col min="4616" max="4616" width="16.28515625" style="860" customWidth="1"/>
    <col min="4617" max="4617" width="17.28515625" style="860" customWidth="1"/>
    <col min="4618" max="4618" width="8.42578125" style="860" customWidth="1"/>
    <col min="4619" max="4619" width="11.140625" style="860" customWidth="1"/>
    <col min="4620" max="4864" width="9" style="860"/>
    <col min="4865" max="4865" width="6" style="860" customWidth="1"/>
    <col min="4866" max="4866" width="14" style="860" customWidth="1"/>
    <col min="4867" max="4867" width="51.7109375" style="860" customWidth="1"/>
    <col min="4868" max="4868" width="4.42578125" style="860" customWidth="1"/>
    <col min="4869" max="4870" width="8.42578125" style="860" customWidth="1"/>
    <col min="4871" max="4871" width="14.42578125" style="860" customWidth="1"/>
    <col min="4872" max="4872" width="16.28515625" style="860" customWidth="1"/>
    <col min="4873" max="4873" width="17.28515625" style="860" customWidth="1"/>
    <col min="4874" max="4874" width="8.42578125" style="860" customWidth="1"/>
    <col min="4875" max="4875" width="11.140625" style="860" customWidth="1"/>
    <col min="4876" max="5120" width="9" style="860"/>
    <col min="5121" max="5121" width="6" style="860" customWidth="1"/>
    <col min="5122" max="5122" width="14" style="860" customWidth="1"/>
    <col min="5123" max="5123" width="51.7109375" style="860" customWidth="1"/>
    <col min="5124" max="5124" width="4.42578125" style="860" customWidth="1"/>
    <col min="5125" max="5126" width="8.42578125" style="860" customWidth="1"/>
    <col min="5127" max="5127" width="14.42578125" style="860" customWidth="1"/>
    <col min="5128" max="5128" width="16.28515625" style="860" customWidth="1"/>
    <col min="5129" max="5129" width="17.28515625" style="860" customWidth="1"/>
    <col min="5130" max="5130" width="8.42578125" style="860" customWidth="1"/>
    <col min="5131" max="5131" width="11.140625" style="860" customWidth="1"/>
    <col min="5132" max="5376" width="9" style="860"/>
    <col min="5377" max="5377" width="6" style="860" customWidth="1"/>
    <col min="5378" max="5378" width="14" style="860" customWidth="1"/>
    <col min="5379" max="5379" width="51.7109375" style="860" customWidth="1"/>
    <col min="5380" max="5380" width="4.42578125" style="860" customWidth="1"/>
    <col min="5381" max="5382" width="8.42578125" style="860" customWidth="1"/>
    <col min="5383" max="5383" width="14.42578125" style="860" customWidth="1"/>
    <col min="5384" max="5384" width="16.28515625" style="860" customWidth="1"/>
    <col min="5385" max="5385" width="17.28515625" style="860" customWidth="1"/>
    <col min="5386" max="5386" width="8.42578125" style="860" customWidth="1"/>
    <col min="5387" max="5387" width="11.140625" style="860" customWidth="1"/>
    <col min="5388" max="5632" width="9" style="860"/>
    <col min="5633" max="5633" width="6" style="860" customWidth="1"/>
    <col min="5634" max="5634" width="14" style="860" customWidth="1"/>
    <col min="5635" max="5635" width="51.7109375" style="860" customWidth="1"/>
    <col min="5636" max="5636" width="4.42578125" style="860" customWidth="1"/>
    <col min="5637" max="5638" width="8.42578125" style="860" customWidth="1"/>
    <col min="5639" max="5639" width="14.42578125" style="860" customWidth="1"/>
    <col min="5640" max="5640" width="16.28515625" style="860" customWidth="1"/>
    <col min="5641" max="5641" width="17.28515625" style="860" customWidth="1"/>
    <col min="5642" max="5642" width="8.42578125" style="860" customWidth="1"/>
    <col min="5643" max="5643" width="11.140625" style="860" customWidth="1"/>
    <col min="5644" max="5888" width="9" style="860"/>
    <col min="5889" max="5889" width="6" style="860" customWidth="1"/>
    <col min="5890" max="5890" width="14" style="860" customWidth="1"/>
    <col min="5891" max="5891" width="51.7109375" style="860" customWidth="1"/>
    <col min="5892" max="5892" width="4.42578125" style="860" customWidth="1"/>
    <col min="5893" max="5894" width="8.42578125" style="860" customWidth="1"/>
    <col min="5895" max="5895" width="14.42578125" style="860" customWidth="1"/>
    <col min="5896" max="5896" width="16.28515625" style="860" customWidth="1"/>
    <col min="5897" max="5897" width="17.28515625" style="860" customWidth="1"/>
    <col min="5898" max="5898" width="8.42578125" style="860" customWidth="1"/>
    <col min="5899" max="5899" width="11.140625" style="860" customWidth="1"/>
    <col min="5900" max="6144" width="9" style="860"/>
    <col min="6145" max="6145" width="6" style="860" customWidth="1"/>
    <col min="6146" max="6146" width="14" style="860" customWidth="1"/>
    <col min="6147" max="6147" width="51.7109375" style="860" customWidth="1"/>
    <col min="6148" max="6148" width="4.42578125" style="860" customWidth="1"/>
    <col min="6149" max="6150" width="8.42578125" style="860" customWidth="1"/>
    <col min="6151" max="6151" width="14.42578125" style="860" customWidth="1"/>
    <col min="6152" max="6152" width="16.28515625" style="860" customWidth="1"/>
    <col min="6153" max="6153" width="17.28515625" style="860" customWidth="1"/>
    <col min="6154" max="6154" width="8.42578125" style="860" customWidth="1"/>
    <col min="6155" max="6155" width="11.140625" style="860" customWidth="1"/>
    <col min="6156" max="6400" width="9" style="860"/>
    <col min="6401" max="6401" width="6" style="860" customWidth="1"/>
    <col min="6402" max="6402" width="14" style="860" customWidth="1"/>
    <col min="6403" max="6403" width="51.7109375" style="860" customWidth="1"/>
    <col min="6404" max="6404" width="4.42578125" style="860" customWidth="1"/>
    <col min="6405" max="6406" width="8.42578125" style="860" customWidth="1"/>
    <col min="6407" max="6407" width="14.42578125" style="860" customWidth="1"/>
    <col min="6408" max="6408" width="16.28515625" style="860" customWidth="1"/>
    <col min="6409" max="6409" width="17.28515625" style="860" customWidth="1"/>
    <col min="6410" max="6410" width="8.42578125" style="860" customWidth="1"/>
    <col min="6411" max="6411" width="11.140625" style="860" customWidth="1"/>
    <col min="6412" max="6656" width="9" style="860"/>
    <col min="6657" max="6657" width="6" style="860" customWidth="1"/>
    <col min="6658" max="6658" width="14" style="860" customWidth="1"/>
    <col min="6659" max="6659" width="51.7109375" style="860" customWidth="1"/>
    <col min="6660" max="6660" width="4.42578125" style="860" customWidth="1"/>
    <col min="6661" max="6662" width="8.42578125" style="860" customWidth="1"/>
    <col min="6663" max="6663" width="14.42578125" style="860" customWidth="1"/>
    <col min="6664" max="6664" width="16.28515625" style="860" customWidth="1"/>
    <col min="6665" max="6665" width="17.28515625" style="860" customWidth="1"/>
    <col min="6666" max="6666" width="8.42578125" style="860" customWidth="1"/>
    <col min="6667" max="6667" width="11.140625" style="860" customWidth="1"/>
    <col min="6668" max="6912" width="9" style="860"/>
    <col min="6913" max="6913" width="6" style="860" customWidth="1"/>
    <col min="6914" max="6914" width="14" style="860" customWidth="1"/>
    <col min="6915" max="6915" width="51.7109375" style="860" customWidth="1"/>
    <col min="6916" max="6916" width="4.42578125" style="860" customWidth="1"/>
    <col min="6917" max="6918" width="8.42578125" style="860" customWidth="1"/>
    <col min="6919" max="6919" width="14.42578125" style="860" customWidth="1"/>
    <col min="6920" max="6920" width="16.28515625" style="860" customWidth="1"/>
    <col min="6921" max="6921" width="17.28515625" style="860" customWidth="1"/>
    <col min="6922" max="6922" width="8.42578125" style="860" customWidth="1"/>
    <col min="6923" max="6923" width="11.140625" style="860" customWidth="1"/>
    <col min="6924" max="7168" width="9" style="860"/>
    <col min="7169" max="7169" width="6" style="860" customWidth="1"/>
    <col min="7170" max="7170" width="14" style="860" customWidth="1"/>
    <col min="7171" max="7171" width="51.7109375" style="860" customWidth="1"/>
    <col min="7172" max="7172" width="4.42578125" style="860" customWidth="1"/>
    <col min="7173" max="7174" width="8.42578125" style="860" customWidth="1"/>
    <col min="7175" max="7175" width="14.42578125" style="860" customWidth="1"/>
    <col min="7176" max="7176" width="16.28515625" style="860" customWidth="1"/>
    <col min="7177" max="7177" width="17.28515625" style="860" customWidth="1"/>
    <col min="7178" max="7178" width="8.42578125" style="860" customWidth="1"/>
    <col min="7179" max="7179" width="11.140625" style="860" customWidth="1"/>
    <col min="7180" max="7424" width="9" style="860"/>
    <col min="7425" max="7425" width="6" style="860" customWidth="1"/>
    <col min="7426" max="7426" width="14" style="860" customWidth="1"/>
    <col min="7427" max="7427" width="51.7109375" style="860" customWidth="1"/>
    <col min="7428" max="7428" width="4.42578125" style="860" customWidth="1"/>
    <col min="7429" max="7430" width="8.42578125" style="860" customWidth="1"/>
    <col min="7431" max="7431" width="14.42578125" style="860" customWidth="1"/>
    <col min="7432" max="7432" width="16.28515625" style="860" customWidth="1"/>
    <col min="7433" max="7433" width="17.28515625" style="860" customWidth="1"/>
    <col min="7434" max="7434" width="8.42578125" style="860" customWidth="1"/>
    <col min="7435" max="7435" width="11.140625" style="860" customWidth="1"/>
    <col min="7436" max="7680" width="9" style="860"/>
    <col min="7681" max="7681" width="6" style="860" customWidth="1"/>
    <col min="7682" max="7682" width="14" style="860" customWidth="1"/>
    <col min="7683" max="7683" width="51.7109375" style="860" customWidth="1"/>
    <col min="7684" max="7684" width="4.42578125" style="860" customWidth="1"/>
    <col min="7685" max="7686" width="8.42578125" style="860" customWidth="1"/>
    <col min="7687" max="7687" width="14.42578125" style="860" customWidth="1"/>
    <col min="7688" max="7688" width="16.28515625" style="860" customWidth="1"/>
    <col min="7689" max="7689" width="17.28515625" style="860" customWidth="1"/>
    <col min="7690" max="7690" width="8.42578125" style="860" customWidth="1"/>
    <col min="7691" max="7691" width="11.140625" style="860" customWidth="1"/>
    <col min="7692" max="7936" width="9" style="860"/>
    <col min="7937" max="7937" width="6" style="860" customWidth="1"/>
    <col min="7938" max="7938" width="14" style="860" customWidth="1"/>
    <col min="7939" max="7939" width="51.7109375" style="860" customWidth="1"/>
    <col min="7940" max="7940" width="4.42578125" style="860" customWidth="1"/>
    <col min="7941" max="7942" width="8.42578125" style="860" customWidth="1"/>
    <col min="7943" max="7943" width="14.42578125" style="860" customWidth="1"/>
    <col min="7944" max="7944" width="16.28515625" style="860" customWidth="1"/>
    <col min="7945" max="7945" width="17.28515625" style="860" customWidth="1"/>
    <col min="7946" max="7946" width="8.42578125" style="860" customWidth="1"/>
    <col min="7947" max="7947" width="11.140625" style="860" customWidth="1"/>
    <col min="7948" max="8192" width="9" style="860"/>
    <col min="8193" max="8193" width="6" style="860" customWidth="1"/>
    <col min="8194" max="8194" width="14" style="860" customWidth="1"/>
    <col min="8195" max="8195" width="51.7109375" style="860" customWidth="1"/>
    <col min="8196" max="8196" width="4.42578125" style="860" customWidth="1"/>
    <col min="8197" max="8198" width="8.42578125" style="860" customWidth="1"/>
    <col min="8199" max="8199" width="14.42578125" style="860" customWidth="1"/>
    <col min="8200" max="8200" width="16.28515625" style="860" customWidth="1"/>
    <col min="8201" max="8201" width="17.28515625" style="860" customWidth="1"/>
    <col min="8202" max="8202" width="8.42578125" style="860" customWidth="1"/>
    <col min="8203" max="8203" width="11.140625" style="860" customWidth="1"/>
    <col min="8204" max="8448" width="9" style="860"/>
    <col min="8449" max="8449" width="6" style="860" customWidth="1"/>
    <col min="8450" max="8450" width="14" style="860" customWidth="1"/>
    <col min="8451" max="8451" width="51.7109375" style="860" customWidth="1"/>
    <col min="8452" max="8452" width="4.42578125" style="860" customWidth="1"/>
    <col min="8453" max="8454" width="8.42578125" style="860" customWidth="1"/>
    <col min="8455" max="8455" width="14.42578125" style="860" customWidth="1"/>
    <col min="8456" max="8456" width="16.28515625" style="860" customWidth="1"/>
    <col min="8457" max="8457" width="17.28515625" style="860" customWidth="1"/>
    <col min="8458" max="8458" width="8.42578125" style="860" customWidth="1"/>
    <col min="8459" max="8459" width="11.140625" style="860" customWidth="1"/>
    <col min="8460" max="8704" width="9" style="860"/>
    <col min="8705" max="8705" width="6" style="860" customWidth="1"/>
    <col min="8706" max="8706" width="14" style="860" customWidth="1"/>
    <col min="8707" max="8707" width="51.7109375" style="860" customWidth="1"/>
    <col min="8708" max="8708" width="4.42578125" style="860" customWidth="1"/>
    <col min="8709" max="8710" width="8.42578125" style="860" customWidth="1"/>
    <col min="8711" max="8711" width="14.42578125" style="860" customWidth="1"/>
    <col min="8712" max="8712" width="16.28515625" style="860" customWidth="1"/>
    <col min="8713" max="8713" width="17.28515625" style="860" customWidth="1"/>
    <col min="8714" max="8714" width="8.42578125" style="860" customWidth="1"/>
    <col min="8715" max="8715" width="11.140625" style="860" customWidth="1"/>
    <col min="8716" max="8960" width="9" style="860"/>
    <col min="8961" max="8961" width="6" style="860" customWidth="1"/>
    <col min="8962" max="8962" width="14" style="860" customWidth="1"/>
    <col min="8963" max="8963" width="51.7109375" style="860" customWidth="1"/>
    <col min="8964" max="8964" width="4.42578125" style="860" customWidth="1"/>
    <col min="8965" max="8966" width="8.42578125" style="860" customWidth="1"/>
    <col min="8967" max="8967" width="14.42578125" style="860" customWidth="1"/>
    <col min="8968" max="8968" width="16.28515625" style="860" customWidth="1"/>
    <col min="8969" max="8969" width="17.28515625" style="860" customWidth="1"/>
    <col min="8970" max="8970" width="8.42578125" style="860" customWidth="1"/>
    <col min="8971" max="8971" width="11.140625" style="860" customWidth="1"/>
    <col min="8972" max="9216" width="9" style="860"/>
    <col min="9217" max="9217" width="6" style="860" customWidth="1"/>
    <col min="9218" max="9218" width="14" style="860" customWidth="1"/>
    <col min="9219" max="9219" width="51.7109375" style="860" customWidth="1"/>
    <col min="9220" max="9220" width="4.42578125" style="860" customWidth="1"/>
    <col min="9221" max="9222" width="8.42578125" style="860" customWidth="1"/>
    <col min="9223" max="9223" width="14.42578125" style="860" customWidth="1"/>
    <col min="9224" max="9224" width="16.28515625" style="860" customWidth="1"/>
    <col min="9225" max="9225" width="17.28515625" style="860" customWidth="1"/>
    <col min="9226" max="9226" width="8.42578125" style="860" customWidth="1"/>
    <col min="9227" max="9227" width="11.140625" style="860" customWidth="1"/>
    <col min="9228" max="9472" width="9" style="860"/>
    <col min="9473" max="9473" width="6" style="860" customWidth="1"/>
    <col min="9474" max="9474" width="14" style="860" customWidth="1"/>
    <col min="9475" max="9475" width="51.7109375" style="860" customWidth="1"/>
    <col min="9476" max="9476" width="4.42578125" style="860" customWidth="1"/>
    <col min="9477" max="9478" width="8.42578125" style="860" customWidth="1"/>
    <col min="9479" max="9479" width="14.42578125" style="860" customWidth="1"/>
    <col min="9480" max="9480" width="16.28515625" style="860" customWidth="1"/>
    <col min="9481" max="9481" width="17.28515625" style="860" customWidth="1"/>
    <col min="9482" max="9482" width="8.42578125" style="860" customWidth="1"/>
    <col min="9483" max="9483" width="11.140625" style="860" customWidth="1"/>
    <col min="9484" max="9728" width="9" style="860"/>
    <col min="9729" max="9729" width="6" style="860" customWidth="1"/>
    <col min="9730" max="9730" width="14" style="860" customWidth="1"/>
    <col min="9731" max="9731" width="51.7109375" style="860" customWidth="1"/>
    <col min="9732" max="9732" width="4.42578125" style="860" customWidth="1"/>
    <col min="9733" max="9734" width="8.42578125" style="860" customWidth="1"/>
    <col min="9735" max="9735" width="14.42578125" style="860" customWidth="1"/>
    <col min="9736" max="9736" width="16.28515625" style="860" customWidth="1"/>
    <col min="9737" max="9737" width="17.28515625" style="860" customWidth="1"/>
    <col min="9738" max="9738" width="8.42578125" style="860" customWidth="1"/>
    <col min="9739" max="9739" width="11.140625" style="860" customWidth="1"/>
    <col min="9740" max="9984" width="9" style="860"/>
    <col min="9985" max="9985" width="6" style="860" customWidth="1"/>
    <col min="9986" max="9986" width="14" style="860" customWidth="1"/>
    <col min="9987" max="9987" width="51.7109375" style="860" customWidth="1"/>
    <col min="9988" max="9988" width="4.42578125" style="860" customWidth="1"/>
    <col min="9989" max="9990" width="8.42578125" style="860" customWidth="1"/>
    <col min="9991" max="9991" width="14.42578125" style="860" customWidth="1"/>
    <col min="9992" max="9992" width="16.28515625" style="860" customWidth="1"/>
    <col min="9993" max="9993" width="17.28515625" style="860" customWidth="1"/>
    <col min="9994" max="9994" width="8.42578125" style="860" customWidth="1"/>
    <col min="9995" max="9995" width="11.140625" style="860" customWidth="1"/>
    <col min="9996" max="10240" width="9" style="860"/>
    <col min="10241" max="10241" width="6" style="860" customWidth="1"/>
    <col min="10242" max="10242" width="14" style="860" customWidth="1"/>
    <col min="10243" max="10243" width="51.7109375" style="860" customWidth="1"/>
    <col min="10244" max="10244" width="4.42578125" style="860" customWidth="1"/>
    <col min="10245" max="10246" width="8.42578125" style="860" customWidth="1"/>
    <col min="10247" max="10247" width="14.42578125" style="860" customWidth="1"/>
    <col min="10248" max="10248" width="16.28515625" style="860" customWidth="1"/>
    <col min="10249" max="10249" width="17.28515625" style="860" customWidth="1"/>
    <col min="10250" max="10250" width="8.42578125" style="860" customWidth="1"/>
    <col min="10251" max="10251" width="11.140625" style="860" customWidth="1"/>
    <col min="10252" max="10496" width="9" style="860"/>
    <col min="10497" max="10497" width="6" style="860" customWidth="1"/>
    <col min="10498" max="10498" width="14" style="860" customWidth="1"/>
    <col min="10499" max="10499" width="51.7109375" style="860" customWidth="1"/>
    <col min="10500" max="10500" width="4.42578125" style="860" customWidth="1"/>
    <col min="10501" max="10502" width="8.42578125" style="860" customWidth="1"/>
    <col min="10503" max="10503" width="14.42578125" style="860" customWidth="1"/>
    <col min="10504" max="10504" width="16.28515625" style="860" customWidth="1"/>
    <col min="10505" max="10505" width="17.28515625" style="860" customWidth="1"/>
    <col min="10506" max="10506" width="8.42578125" style="860" customWidth="1"/>
    <col min="10507" max="10507" width="11.140625" style="860" customWidth="1"/>
    <col min="10508" max="10752" width="9" style="860"/>
    <col min="10753" max="10753" width="6" style="860" customWidth="1"/>
    <col min="10754" max="10754" width="14" style="860" customWidth="1"/>
    <col min="10755" max="10755" width="51.7109375" style="860" customWidth="1"/>
    <col min="10756" max="10756" width="4.42578125" style="860" customWidth="1"/>
    <col min="10757" max="10758" width="8.42578125" style="860" customWidth="1"/>
    <col min="10759" max="10759" width="14.42578125" style="860" customWidth="1"/>
    <col min="10760" max="10760" width="16.28515625" style="860" customWidth="1"/>
    <col min="10761" max="10761" width="17.28515625" style="860" customWidth="1"/>
    <col min="10762" max="10762" width="8.42578125" style="860" customWidth="1"/>
    <col min="10763" max="10763" width="11.140625" style="860" customWidth="1"/>
    <col min="10764" max="11008" width="9" style="860"/>
    <col min="11009" max="11009" width="6" style="860" customWidth="1"/>
    <col min="11010" max="11010" width="14" style="860" customWidth="1"/>
    <col min="11011" max="11011" width="51.7109375" style="860" customWidth="1"/>
    <col min="11012" max="11012" width="4.42578125" style="860" customWidth="1"/>
    <col min="11013" max="11014" width="8.42578125" style="860" customWidth="1"/>
    <col min="11015" max="11015" width="14.42578125" style="860" customWidth="1"/>
    <col min="11016" max="11016" width="16.28515625" style="860" customWidth="1"/>
    <col min="11017" max="11017" width="17.28515625" style="860" customWidth="1"/>
    <col min="11018" max="11018" width="8.42578125" style="860" customWidth="1"/>
    <col min="11019" max="11019" width="11.140625" style="860" customWidth="1"/>
    <col min="11020" max="11264" width="9" style="860"/>
    <col min="11265" max="11265" width="6" style="860" customWidth="1"/>
    <col min="11266" max="11266" width="14" style="860" customWidth="1"/>
    <col min="11267" max="11267" width="51.7109375" style="860" customWidth="1"/>
    <col min="11268" max="11268" width="4.42578125" style="860" customWidth="1"/>
    <col min="11269" max="11270" width="8.42578125" style="860" customWidth="1"/>
    <col min="11271" max="11271" width="14.42578125" style="860" customWidth="1"/>
    <col min="11272" max="11272" width="16.28515625" style="860" customWidth="1"/>
    <col min="11273" max="11273" width="17.28515625" style="860" customWidth="1"/>
    <col min="11274" max="11274" width="8.42578125" style="860" customWidth="1"/>
    <col min="11275" max="11275" width="11.140625" style="860" customWidth="1"/>
    <col min="11276" max="11520" width="9" style="860"/>
    <col min="11521" max="11521" width="6" style="860" customWidth="1"/>
    <col min="11522" max="11522" width="14" style="860" customWidth="1"/>
    <col min="11523" max="11523" width="51.7109375" style="860" customWidth="1"/>
    <col min="11524" max="11524" width="4.42578125" style="860" customWidth="1"/>
    <col min="11525" max="11526" width="8.42578125" style="860" customWidth="1"/>
    <col min="11527" max="11527" width="14.42578125" style="860" customWidth="1"/>
    <col min="11528" max="11528" width="16.28515625" style="860" customWidth="1"/>
    <col min="11529" max="11529" width="17.28515625" style="860" customWidth="1"/>
    <col min="11530" max="11530" width="8.42578125" style="860" customWidth="1"/>
    <col min="11531" max="11531" width="11.140625" style="860" customWidth="1"/>
    <col min="11532" max="11776" width="9" style="860"/>
    <col min="11777" max="11777" width="6" style="860" customWidth="1"/>
    <col min="11778" max="11778" width="14" style="860" customWidth="1"/>
    <col min="11779" max="11779" width="51.7109375" style="860" customWidth="1"/>
    <col min="11780" max="11780" width="4.42578125" style="860" customWidth="1"/>
    <col min="11781" max="11782" width="8.42578125" style="860" customWidth="1"/>
    <col min="11783" max="11783" width="14.42578125" style="860" customWidth="1"/>
    <col min="11784" max="11784" width="16.28515625" style="860" customWidth="1"/>
    <col min="11785" max="11785" width="17.28515625" style="860" customWidth="1"/>
    <col min="11786" max="11786" width="8.42578125" style="860" customWidth="1"/>
    <col min="11787" max="11787" width="11.140625" style="860" customWidth="1"/>
    <col min="11788" max="12032" width="9" style="860"/>
    <col min="12033" max="12033" width="6" style="860" customWidth="1"/>
    <col min="12034" max="12034" width="14" style="860" customWidth="1"/>
    <col min="12035" max="12035" width="51.7109375" style="860" customWidth="1"/>
    <col min="12036" max="12036" width="4.42578125" style="860" customWidth="1"/>
    <col min="12037" max="12038" width="8.42578125" style="860" customWidth="1"/>
    <col min="12039" max="12039" width="14.42578125" style="860" customWidth="1"/>
    <col min="12040" max="12040" width="16.28515625" style="860" customWidth="1"/>
    <col min="12041" max="12041" width="17.28515625" style="860" customWidth="1"/>
    <col min="12042" max="12042" width="8.42578125" style="860" customWidth="1"/>
    <col min="12043" max="12043" width="11.140625" style="860" customWidth="1"/>
    <col min="12044" max="12288" width="9" style="860"/>
    <col min="12289" max="12289" width="6" style="860" customWidth="1"/>
    <col min="12290" max="12290" width="14" style="860" customWidth="1"/>
    <col min="12291" max="12291" width="51.7109375" style="860" customWidth="1"/>
    <col min="12292" max="12292" width="4.42578125" style="860" customWidth="1"/>
    <col min="12293" max="12294" width="8.42578125" style="860" customWidth="1"/>
    <col min="12295" max="12295" width="14.42578125" style="860" customWidth="1"/>
    <col min="12296" max="12296" width="16.28515625" style="860" customWidth="1"/>
    <col min="12297" max="12297" width="17.28515625" style="860" customWidth="1"/>
    <col min="12298" max="12298" width="8.42578125" style="860" customWidth="1"/>
    <col min="12299" max="12299" width="11.140625" style="860" customWidth="1"/>
    <col min="12300" max="12544" width="9" style="860"/>
    <col min="12545" max="12545" width="6" style="860" customWidth="1"/>
    <col min="12546" max="12546" width="14" style="860" customWidth="1"/>
    <col min="12547" max="12547" width="51.7109375" style="860" customWidth="1"/>
    <col min="12548" max="12548" width="4.42578125" style="860" customWidth="1"/>
    <col min="12549" max="12550" width="8.42578125" style="860" customWidth="1"/>
    <col min="12551" max="12551" width="14.42578125" style="860" customWidth="1"/>
    <col min="12552" max="12552" width="16.28515625" style="860" customWidth="1"/>
    <col min="12553" max="12553" width="17.28515625" style="860" customWidth="1"/>
    <col min="12554" max="12554" width="8.42578125" style="860" customWidth="1"/>
    <col min="12555" max="12555" width="11.140625" style="860" customWidth="1"/>
    <col min="12556" max="12800" width="9" style="860"/>
    <col min="12801" max="12801" width="6" style="860" customWidth="1"/>
    <col min="12802" max="12802" width="14" style="860" customWidth="1"/>
    <col min="12803" max="12803" width="51.7109375" style="860" customWidth="1"/>
    <col min="12804" max="12804" width="4.42578125" style="860" customWidth="1"/>
    <col min="12805" max="12806" width="8.42578125" style="860" customWidth="1"/>
    <col min="12807" max="12807" width="14.42578125" style="860" customWidth="1"/>
    <col min="12808" max="12808" width="16.28515625" style="860" customWidth="1"/>
    <col min="12809" max="12809" width="17.28515625" style="860" customWidth="1"/>
    <col min="12810" max="12810" width="8.42578125" style="860" customWidth="1"/>
    <col min="12811" max="12811" width="11.140625" style="860" customWidth="1"/>
    <col min="12812" max="13056" width="9" style="860"/>
    <col min="13057" max="13057" width="6" style="860" customWidth="1"/>
    <col min="13058" max="13058" width="14" style="860" customWidth="1"/>
    <col min="13059" max="13059" width="51.7109375" style="860" customWidth="1"/>
    <col min="13060" max="13060" width="4.42578125" style="860" customWidth="1"/>
    <col min="13061" max="13062" width="8.42578125" style="860" customWidth="1"/>
    <col min="13063" max="13063" width="14.42578125" style="860" customWidth="1"/>
    <col min="13064" max="13064" width="16.28515625" style="860" customWidth="1"/>
    <col min="13065" max="13065" width="17.28515625" style="860" customWidth="1"/>
    <col min="13066" max="13066" width="8.42578125" style="860" customWidth="1"/>
    <col min="13067" max="13067" width="11.140625" style="860" customWidth="1"/>
    <col min="13068" max="13312" width="9" style="860"/>
    <col min="13313" max="13313" width="6" style="860" customWidth="1"/>
    <col min="13314" max="13314" width="14" style="860" customWidth="1"/>
    <col min="13315" max="13315" width="51.7109375" style="860" customWidth="1"/>
    <col min="13316" max="13316" width="4.42578125" style="860" customWidth="1"/>
    <col min="13317" max="13318" width="8.42578125" style="860" customWidth="1"/>
    <col min="13319" max="13319" width="14.42578125" style="860" customWidth="1"/>
    <col min="13320" max="13320" width="16.28515625" style="860" customWidth="1"/>
    <col min="13321" max="13321" width="17.28515625" style="860" customWidth="1"/>
    <col min="13322" max="13322" width="8.42578125" style="860" customWidth="1"/>
    <col min="13323" max="13323" width="11.140625" style="860" customWidth="1"/>
    <col min="13324" max="13568" width="9" style="860"/>
    <col min="13569" max="13569" width="6" style="860" customWidth="1"/>
    <col min="13570" max="13570" width="14" style="860" customWidth="1"/>
    <col min="13571" max="13571" width="51.7109375" style="860" customWidth="1"/>
    <col min="13572" max="13572" width="4.42578125" style="860" customWidth="1"/>
    <col min="13573" max="13574" width="8.42578125" style="860" customWidth="1"/>
    <col min="13575" max="13575" width="14.42578125" style="860" customWidth="1"/>
    <col min="13576" max="13576" width="16.28515625" style="860" customWidth="1"/>
    <col min="13577" max="13577" width="17.28515625" style="860" customWidth="1"/>
    <col min="13578" max="13578" width="8.42578125" style="860" customWidth="1"/>
    <col min="13579" max="13579" width="11.140625" style="860" customWidth="1"/>
    <col min="13580" max="13824" width="9" style="860"/>
    <col min="13825" max="13825" width="6" style="860" customWidth="1"/>
    <col min="13826" max="13826" width="14" style="860" customWidth="1"/>
    <col min="13827" max="13827" width="51.7109375" style="860" customWidth="1"/>
    <col min="13828" max="13828" width="4.42578125" style="860" customWidth="1"/>
    <col min="13829" max="13830" width="8.42578125" style="860" customWidth="1"/>
    <col min="13831" max="13831" width="14.42578125" style="860" customWidth="1"/>
    <col min="13832" max="13832" width="16.28515625" style="860" customWidth="1"/>
    <col min="13833" max="13833" width="17.28515625" style="860" customWidth="1"/>
    <col min="13834" max="13834" width="8.42578125" style="860" customWidth="1"/>
    <col min="13835" max="13835" width="11.140625" style="860" customWidth="1"/>
    <col min="13836" max="14080" width="9" style="860"/>
    <col min="14081" max="14081" width="6" style="860" customWidth="1"/>
    <col min="14082" max="14082" width="14" style="860" customWidth="1"/>
    <col min="14083" max="14083" width="51.7109375" style="860" customWidth="1"/>
    <col min="14084" max="14084" width="4.42578125" style="860" customWidth="1"/>
    <col min="14085" max="14086" width="8.42578125" style="860" customWidth="1"/>
    <col min="14087" max="14087" width="14.42578125" style="860" customWidth="1"/>
    <col min="14088" max="14088" width="16.28515625" style="860" customWidth="1"/>
    <col min="14089" max="14089" width="17.28515625" style="860" customWidth="1"/>
    <col min="14090" max="14090" width="8.42578125" style="860" customWidth="1"/>
    <col min="14091" max="14091" width="11.140625" style="860" customWidth="1"/>
    <col min="14092" max="14336" width="9" style="860"/>
    <col min="14337" max="14337" width="6" style="860" customWidth="1"/>
    <col min="14338" max="14338" width="14" style="860" customWidth="1"/>
    <col min="14339" max="14339" width="51.7109375" style="860" customWidth="1"/>
    <col min="14340" max="14340" width="4.42578125" style="860" customWidth="1"/>
    <col min="14341" max="14342" width="8.42578125" style="860" customWidth="1"/>
    <col min="14343" max="14343" width="14.42578125" style="860" customWidth="1"/>
    <col min="14344" max="14344" width="16.28515625" style="860" customWidth="1"/>
    <col min="14345" max="14345" width="17.28515625" style="860" customWidth="1"/>
    <col min="14346" max="14346" width="8.42578125" style="860" customWidth="1"/>
    <col min="14347" max="14347" width="11.140625" style="860" customWidth="1"/>
    <col min="14348" max="14592" width="9" style="860"/>
    <col min="14593" max="14593" width="6" style="860" customWidth="1"/>
    <col min="14594" max="14594" width="14" style="860" customWidth="1"/>
    <col min="14595" max="14595" width="51.7109375" style="860" customWidth="1"/>
    <col min="14596" max="14596" width="4.42578125" style="860" customWidth="1"/>
    <col min="14597" max="14598" width="8.42578125" style="860" customWidth="1"/>
    <col min="14599" max="14599" width="14.42578125" style="860" customWidth="1"/>
    <col min="14600" max="14600" width="16.28515625" style="860" customWidth="1"/>
    <col min="14601" max="14601" width="17.28515625" style="860" customWidth="1"/>
    <col min="14602" max="14602" width="8.42578125" style="860" customWidth="1"/>
    <col min="14603" max="14603" width="11.140625" style="860" customWidth="1"/>
    <col min="14604" max="14848" width="9" style="860"/>
    <col min="14849" max="14849" width="6" style="860" customWidth="1"/>
    <col min="14850" max="14850" width="14" style="860" customWidth="1"/>
    <col min="14851" max="14851" width="51.7109375" style="860" customWidth="1"/>
    <col min="14852" max="14852" width="4.42578125" style="860" customWidth="1"/>
    <col min="14853" max="14854" width="8.42578125" style="860" customWidth="1"/>
    <col min="14855" max="14855" width="14.42578125" style="860" customWidth="1"/>
    <col min="14856" max="14856" width="16.28515625" style="860" customWidth="1"/>
    <col min="14857" max="14857" width="17.28515625" style="860" customWidth="1"/>
    <col min="14858" max="14858" width="8.42578125" style="860" customWidth="1"/>
    <col min="14859" max="14859" width="11.140625" style="860" customWidth="1"/>
    <col min="14860" max="15104" width="9" style="860"/>
    <col min="15105" max="15105" width="6" style="860" customWidth="1"/>
    <col min="15106" max="15106" width="14" style="860" customWidth="1"/>
    <col min="15107" max="15107" width="51.7109375" style="860" customWidth="1"/>
    <col min="15108" max="15108" width="4.42578125" style="860" customWidth="1"/>
    <col min="15109" max="15110" width="8.42578125" style="860" customWidth="1"/>
    <col min="15111" max="15111" width="14.42578125" style="860" customWidth="1"/>
    <col min="15112" max="15112" width="16.28515625" style="860" customWidth="1"/>
    <col min="15113" max="15113" width="17.28515625" style="860" customWidth="1"/>
    <col min="15114" max="15114" width="8.42578125" style="860" customWidth="1"/>
    <col min="15115" max="15115" width="11.140625" style="860" customWidth="1"/>
    <col min="15116" max="15360" width="9" style="860"/>
    <col min="15361" max="15361" width="6" style="860" customWidth="1"/>
    <col min="15362" max="15362" width="14" style="860" customWidth="1"/>
    <col min="15363" max="15363" width="51.7109375" style="860" customWidth="1"/>
    <col min="15364" max="15364" width="4.42578125" style="860" customWidth="1"/>
    <col min="15365" max="15366" width="8.42578125" style="860" customWidth="1"/>
    <col min="15367" max="15367" width="14.42578125" style="860" customWidth="1"/>
    <col min="15368" max="15368" width="16.28515625" style="860" customWidth="1"/>
    <col min="15369" max="15369" width="17.28515625" style="860" customWidth="1"/>
    <col min="15370" max="15370" width="8.42578125" style="860" customWidth="1"/>
    <col min="15371" max="15371" width="11.140625" style="860" customWidth="1"/>
    <col min="15372" max="15616" width="9" style="860"/>
    <col min="15617" max="15617" width="6" style="860" customWidth="1"/>
    <col min="15618" max="15618" width="14" style="860" customWidth="1"/>
    <col min="15619" max="15619" width="51.7109375" style="860" customWidth="1"/>
    <col min="15620" max="15620" width="4.42578125" style="860" customWidth="1"/>
    <col min="15621" max="15622" width="8.42578125" style="860" customWidth="1"/>
    <col min="15623" max="15623" width="14.42578125" style="860" customWidth="1"/>
    <col min="15624" max="15624" width="16.28515625" style="860" customWidth="1"/>
    <col min="15625" max="15625" width="17.28515625" style="860" customWidth="1"/>
    <col min="15626" max="15626" width="8.42578125" style="860" customWidth="1"/>
    <col min="15627" max="15627" width="11.140625" style="860" customWidth="1"/>
    <col min="15628" max="15872" width="9" style="860"/>
    <col min="15873" max="15873" width="6" style="860" customWidth="1"/>
    <col min="15874" max="15874" width="14" style="860" customWidth="1"/>
    <col min="15875" max="15875" width="51.7109375" style="860" customWidth="1"/>
    <col min="15876" max="15876" width="4.42578125" style="860" customWidth="1"/>
    <col min="15877" max="15878" width="8.42578125" style="860" customWidth="1"/>
    <col min="15879" max="15879" width="14.42578125" style="860" customWidth="1"/>
    <col min="15880" max="15880" width="16.28515625" style="860" customWidth="1"/>
    <col min="15881" max="15881" width="17.28515625" style="860" customWidth="1"/>
    <col min="15882" max="15882" width="8.42578125" style="860" customWidth="1"/>
    <col min="15883" max="15883" width="11.140625" style="860" customWidth="1"/>
    <col min="15884" max="16128" width="9" style="860"/>
    <col min="16129" max="16129" width="6" style="860" customWidth="1"/>
    <col min="16130" max="16130" width="14" style="860" customWidth="1"/>
    <col min="16131" max="16131" width="51.7109375" style="860" customWidth="1"/>
    <col min="16132" max="16132" width="4.42578125" style="860" customWidth="1"/>
    <col min="16133" max="16134" width="8.42578125" style="860" customWidth="1"/>
    <col min="16135" max="16135" width="14.42578125" style="860" customWidth="1"/>
    <col min="16136" max="16136" width="16.28515625" style="860" customWidth="1"/>
    <col min="16137" max="16137" width="17.28515625" style="860" customWidth="1"/>
    <col min="16138" max="16138" width="8.42578125" style="860" customWidth="1"/>
    <col min="16139" max="16139" width="11.140625" style="860" customWidth="1"/>
    <col min="16140" max="16384" width="9" style="860"/>
  </cols>
  <sheetData>
    <row r="1" spans="1:11" s="374" customFormat="1" ht="27.75" customHeight="1">
      <c r="A1" s="1110" t="s">
        <v>662</v>
      </c>
      <c r="B1" s="1110"/>
      <c r="C1" s="1110"/>
      <c r="D1" s="1110"/>
      <c r="E1" s="1110"/>
      <c r="F1" s="1110"/>
      <c r="G1" s="1110"/>
      <c r="H1" s="1110"/>
      <c r="I1" s="909"/>
      <c r="J1" s="909"/>
      <c r="K1" s="909"/>
    </row>
    <row r="2" spans="1:11" s="374" customFormat="1" ht="12.75" customHeight="1">
      <c r="A2" s="875" t="s">
        <v>2321</v>
      </c>
      <c r="B2" s="875" t="s">
        <v>1041</v>
      </c>
      <c r="C2" s="820"/>
      <c r="D2" s="820"/>
      <c r="E2" s="820"/>
      <c r="F2" s="820"/>
      <c r="G2" s="820"/>
      <c r="H2" s="820"/>
      <c r="I2" s="820"/>
      <c r="J2" s="820"/>
      <c r="K2" s="820"/>
    </row>
    <row r="3" spans="1:11" s="374" customFormat="1" ht="12.75" customHeight="1">
      <c r="A3" s="875" t="s">
        <v>2082</v>
      </c>
      <c r="B3" s="875" t="s">
        <v>2313</v>
      </c>
      <c r="C3" s="820"/>
      <c r="D3" s="820"/>
      <c r="E3" s="820"/>
      <c r="F3" s="820"/>
      <c r="G3" s="820"/>
      <c r="H3" s="820"/>
      <c r="I3" s="820"/>
      <c r="J3" s="820"/>
      <c r="K3" s="820"/>
    </row>
    <row r="4" spans="1:11" s="374" customFormat="1" ht="13.5" customHeight="1">
      <c r="A4" s="876" t="s">
        <v>1</v>
      </c>
      <c r="B4" s="826" t="s">
        <v>2316</v>
      </c>
      <c r="C4" s="876"/>
      <c r="D4" s="820"/>
      <c r="E4" s="820"/>
      <c r="F4" s="820"/>
      <c r="G4" s="820"/>
      <c r="H4" s="820"/>
      <c r="I4" s="820"/>
      <c r="J4" s="820"/>
      <c r="K4" s="820"/>
    </row>
    <row r="5" spans="1:11" s="374" customFormat="1" ht="6.75" customHeight="1">
      <c r="A5" s="897"/>
      <c r="B5" s="820"/>
      <c r="C5" s="820"/>
      <c r="D5" s="820"/>
      <c r="E5" s="820"/>
      <c r="F5" s="820"/>
      <c r="G5" s="820"/>
      <c r="H5" s="820"/>
      <c r="I5" s="820"/>
      <c r="J5" s="820"/>
      <c r="K5" s="820"/>
    </row>
    <row r="6" spans="1:11" s="374" customFormat="1" ht="13.5" customHeight="1">
      <c r="A6" s="897" t="s">
        <v>2140</v>
      </c>
      <c r="B6" s="823"/>
      <c r="C6" s="823"/>
      <c r="D6" s="823"/>
      <c r="E6" s="824"/>
      <c r="F6" s="825"/>
      <c r="G6" s="825"/>
      <c r="H6" s="825"/>
      <c r="I6" s="825"/>
      <c r="J6" s="877"/>
      <c r="K6" s="824"/>
    </row>
    <row r="7" spans="1:11" s="374" customFormat="1" ht="13.5" customHeight="1">
      <c r="A7" s="897" t="s">
        <v>2141</v>
      </c>
      <c r="B7" s="823"/>
      <c r="C7" s="823"/>
      <c r="D7" s="823"/>
      <c r="E7" s="824"/>
      <c r="F7" s="825"/>
      <c r="G7" s="825"/>
      <c r="H7" s="1134" t="s">
        <v>1819</v>
      </c>
      <c r="I7" s="1135"/>
      <c r="J7" s="1136"/>
      <c r="K7" s="824"/>
    </row>
    <row r="8" spans="1:11" s="374" customFormat="1" ht="13.5" customHeight="1">
      <c r="A8" s="897" t="s">
        <v>2085</v>
      </c>
      <c r="B8" s="823"/>
      <c r="C8" s="823"/>
      <c r="D8" s="823"/>
      <c r="E8" s="824"/>
      <c r="F8" s="825"/>
      <c r="G8" s="825"/>
      <c r="H8" s="1134" t="s">
        <v>2559</v>
      </c>
      <c r="I8" s="1135"/>
      <c r="J8" s="1136"/>
      <c r="K8" s="824"/>
    </row>
    <row r="9" spans="1:11" s="374" customFormat="1" ht="6.75" customHeight="1">
      <c r="A9" s="898"/>
      <c r="B9" s="829"/>
      <c r="C9" s="829"/>
      <c r="D9" s="829"/>
      <c r="E9" s="829"/>
      <c r="F9" s="829"/>
      <c r="G9" s="829"/>
      <c r="H9" s="829"/>
      <c r="I9" s="829"/>
      <c r="J9" s="829"/>
      <c r="K9" s="829"/>
    </row>
    <row r="10" spans="1:11" s="374" customFormat="1" ht="24" customHeight="1">
      <c r="A10" s="878" t="s">
        <v>1821</v>
      </c>
      <c r="B10" s="878" t="s">
        <v>5</v>
      </c>
      <c r="C10" s="878" t="s">
        <v>777</v>
      </c>
      <c r="D10" s="878" t="s">
        <v>7</v>
      </c>
      <c r="E10" s="878" t="s">
        <v>778</v>
      </c>
      <c r="F10" s="878" t="s">
        <v>9</v>
      </c>
      <c r="G10" s="878" t="s">
        <v>2086</v>
      </c>
      <c r="H10" s="878" t="s">
        <v>2087</v>
      </c>
      <c r="I10" s="878" t="s">
        <v>10</v>
      </c>
      <c r="J10" s="878" t="s">
        <v>779</v>
      </c>
      <c r="K10" s="878" t="s">
        <v>780</v>
      </c>
    </row>
    <row r="11" spans="1:11" s="374" customFormat="1" ht="12.75" hidden="1" customHeight="1">
      <c r="A11" s="878" t="s">
        <v>791</v>
      </c>
      <c r="B11" s="878" t="s">
        <v>795</v>
      </c>
      <c r="C11" s="878" t="s">
        <v>987</v>
      </c>
      <c r="D11" s="878" t="s">
        <v>1065</v>
      </c>
      <c r="E11" s="878" t="s">
        <v>1074</v>
      </c>
      <c r="F11" s="878" t="s">
        <v>1176</v>
      </c>
      <c r="G11" s="878" t="s">
        <v>1182</v>
      </c>
      <c r="H11" s="878" t="s">
        <v>1071</v>
      </c>
      <c r="I11" s="878" t="s">
        <v>1193</v>
      </c>
      <c r="J11" s="878" t="s">
        <v>1175</v>
      </c>
      <c r="K11" s="878" t="s">
        <v>1200</v>
      </c>
    </row>
    <row r="12" spans="1:11" s="374" customFormat="1" ht="6" customHeight="1">
      <c r="A12" s="829"/>
      <c r="B12" s="829"/>
      <c r="C12" s="829"/>
      <c r="D12" s="829"/>
      <c r="E12" s="829"/>
      <c r="F12" s="829"/>
      <c r="G12" s="829"/>
      <c r="H12" s="829"/>
      <c r="I12" s="829"/>
      <c r="J12" s="829"/>
      <c r="K12" s="829"/>
    </row>
    <row r="13" spans="1:11" s="374" customFormat="1" ht="13.5" customHeight="1">
      <c r="A13" s="879"/>
      <c r="B13" s="832" t="s">
        <v>22</v>
      </c>
      <c r="C13" s="832" t="s">
        <v>1823</v>
      </c>
      <c r="D13" s="832"/>
      <c r="E13" s="833"/>
      <c r="F13" s="834"/>
      <c r="G13" s="834">
        <f>SUM(G14,G140,G146)</f>
        <v>0</v>
      </c>
      <c r="H13" s="834">
        <f t="shared" ref="H13:K13" si="0">SUM(H14,H140,H146)</f>
        <v>0</v>
      </c>
      <c r="I13" s="834">
        <f t="shared" si="0"/>
        <v>0</v>
      </c>
      <c r="J13" s="834">
        <f t="shared" si="0"/>
        <v>0</v>
      </c>
      <c r="K13" s="834">
        <f t="shared" si="0"/>
        <v>167.52222900000001</v>
      </c>
    </row>
    <row r="14" spans="1:11" s="374" customFormat="1" ht="13.5" customHeight="1">
      <c r="A14" s="881"/>
      <c r="B14" s="837" t="s">
        <v>791</v>
      </c>
      <c r="C14" s="837" t="s">
        <v>1824</v>
      </c>
      <c r="D14" s="837"/>
      <c r="E14" s="838"/>
      <c r="F14" s="839"/>
      <c r="G14" s="839">
        <f>SUM(G15:G139)</f>
        <v>0</v>
      </c>
      <c r="H14" s="839">
        <f t="shared" ref="H14:I14" si="1">SUM(H15:H139)</f>
        <v>0</v>
      </c>
      <c r="I14" s="839">
        <f t="shared" si="1"/>
        <v>0</v>
      </c>
      <c r="J14" s="882"/>
      <c r="K14" s="838">
        <v>167.366029</v>
      </c>
    </row>
    <row r="15" spans="1:11" s="374" customFormat="1" ht="24" customHeight="1">
      <c r="A15" s="919">
        <v>1</v>
      </c>
      <c r="B15" s="847" t="s">
        <v>2156</v>
      </c>
      <c r="C15" s="847" t="s">
        <v>2157</v>
      </c>
      <c r="D15" s="847" t="s">
        <v>19</v>
      </c>
      <c r="E15" s="848">
        <v>68</v>
      </c>
      <c r="F15" s="849"/>
      <c r="G15" s="849"/>
      <c r="H15" s="849"/>
      <c r="I15" s="849"/>
      <c r="J15" s="905">
        <v>2.9999999999999997E-4</v>
      </c>
      <c r="K15" s="848">
        <v>2.0400000000000001E-2</v>
      </c>
    </row>
    <row r="16" spans="1:11" s="374" customFormat="1" ht="13.5" customHeight="1">
      <c r="A16" s="887"/>
      <c r="B16" s="888"/>
      <c r="C16" s="888" t="s">
        <v>2158</v>
      </c>
      <c r="D16" s="888"/>
      <c r="E16" s="889">
        <v>68</v>
      </c>
      <c r="F16" s="890"/>
      <c r="G16" s="890"/>
      <c r="H16" s="890"/>
      <c r="I16" s="890"/>
      <c r="J16" s="891"/>
      <c r="K16" s="889"/>
    </row>
    <row r="17" spans="1:11" s="374" customFormat="1" ht="13.5" customHeight="1">
      <c r="A17" s="919">
        <v>2</v>
      </c>
      <c r="B17" s="847" t="s">
        <v>2159</v>
      </c>
      <c r="C17" s="847" t="s">
        <v>2160</v>
      </c>
      <c r="D17" s="847" t="s">
        <v>19</v>
      </c>
      <c r="E17" s="848">
        <v>19</v>
      </c>
      <c r="F17" s="849"/>
      <c r="G17" s="849"/>
      <c r="H17" s="849"/>
      <c r="I17" s="849"/>
      <c r="J17" s="905">
        <v>5.0000000000000001E-4</v>
      </c>
      <c r="K17" s="848">
        <v>9.4999999999999998E-3</v>
      </c>
    </row>
    <row r="18" spans="1:11" s="374" customFormat="1" ht="13.5" customHeight="1">
      <c r="A18" s="887"/>
      <c r="B18" s="888"/>
      <c r="C18" s="888" t="s">
        <v>2161</v>
      </c>
      <c r="D18" s="888"/>
      <c r="E18" s="889">
        <v>19</v>
      </c>
      <c r="F18" s="890"/>
      <c r="G18" s="890"/>
      <c r="H18" s="890"/>
      <c r="I18" s="890"/>
      <c r="J18" s="891"/>
      <c r="K18" s="889"/>
    </row>
    <row r="19" spans="1:11" s="374" customFormat="1" ht="24" customHeight="1">
      <c r="A19" s="919">
        <v>3</v>
      </c>
      <c r="B19" s="847" t="s">
        <v>2162</v>
      </c>
      <c r="C19" s="847" t="s">
        <v>2560</v>
      </c>
      <c r="D19" s="847" t="s">
        <v>85</v>
      </c>
      <c r="E19" s="848">
        <v>9</v>
      </c>
      <c r="F19" s="849"/>
      <c r="G19" s="849"/>
      <c r="H19" s="849"/>
      <c r="I19" s="849"/>
      <c r="J19" s="905">
        <v>2.9999999999999997E-4</v>
      </c>
      <c r="K19" s="848">
        <v>2.7000000000000001E-3</v>
      </c>
    </row>
    <row r="20" spans="1:11" s="374" customFormat="1" ht="13.5" customHeight="1">
      <c r="A20" s="887"/>
      <c r="B20" s="888"/>
      <c r="C20" s="888" t="s">
        <v>2163</v>
      </c>
      <c r="D20" s="888"/>
      <c r="E20" s="889">
        <v>9</v>
      </c>
      <c r="F20" s="890"/>
      <c r="G20" s="890"/>
      <c r="H20" s="890"/>
      <c r="I20" s="890"/>
      <c r="J20" s="891"/>
      <c r="K20" s="889"/>
    </row>
    <row r="21" spans="1:11" s="374" customFormat="1" ht="13.5" customHeight="1">
      <c r="A21" s="919">
        <v>4</v>
      </c>
      <c r="B21" s="847" t="s">
        <v>2164</v>
      </c>
      <c r="C21" s="847" t="s">
        <v>2561</v>
      </c>
      <c r="D21" s="847" t="s">
        <v>85</v>
      </c>
      <c r="E21" s="848">
        <v>9</v>
      </c>
      <c r="F21" s="849"/>
      <c r="G21" s="849"/>
      <c r="H21" s="849"/>
      <c r="I21" s="849"/>
      <c r="J21" s="905">
        <v>0.04</v>
      </c>
      <c r="K21" s="848">
        <v>0.36</v>
      </c>
    </row>
    <row r="22" spans="1:11" s="374" customFormat="1" ht="13.5" customHeight="1">
      <c r="A22" s="887"/>
      <c r="B22" s="888"/>
      <c r="C22" s="888" t="s">
        <v>2163</v>
      </c>
      <c r="D22" s="888"/>
      <c r="E22" s="889">
        <v>9</v>
      </c>
      <c r="F22" s="890"/>
      <c r="G22" s="890"/>
      <c r="H22" s="890"/>
      <c r="I22" s="890"/>
      <c r="J22" s="891"/>
      <c r="K22" s="889"/>
    </row>
    <row r="23" spans="1:11" s="374" customFormat="1" ht="13.5" customHeight="1">
      <c r="A23" s="919">
        <v>5</v>
      </c>
      <c r="B23" s="847" t="s">
        <v>2165</v>
      </c>
      <c r="C23" s="847" t="s">
        <v>2562</v>
      </c>
      <c r="D23" s="847" t="s">
        <v>85</v>
      </c>
      <c r="E23" s="848">
        <v>4</v>
      </c>
      <c r="F23" s="849"/>
      <c r="G23" s="849"/>
      <c r="H23" s="849"/>
      <c r="I23" s="849"/>
      <c r="J23" s="905">
        <v>0.06</v>
      </c>
      <c r="K23" s="848">
        <v>0.24</v>
      </c>
    </row>
    <row r="24" spans="1:11" s="374" customFormat="1" ht="13.5" customHeight="1">
      <c r="A24" s="887"/>
      <c r="B24" s="888"/>
      <c r="C24" s="888" t="s">
        <v>2124</v>
      </c>
      <c r="D24" s="888"/>
      <c r="E24" s="889">
        <v>4</v>
      </c>
      <c r="F24" s="890"/>
      <c r="G24" s="890"/>
      <c r="H24" s="890"/>
      <c r="I24" s="890"/>
      <c r="J24" s="891"/>
      <c r="K24" s="889"/>
    </row>
    <row r="25" spans="1:11" s="374" customFormat="1" ht="13.5" customHeight="1">
      <c r="A25" s="919">
        <v>6</v>
      </c>
      <c r="B25" s="847" t="s">
        <v>2166</v>
      </c>
      <c r="C25" s="847" t="s">
        <v>2563</v>
      </c>
      <c r="D25" s="847" t="s">
        <v>85</v>
      </c>
      <c r="E25" s="848">
        <v>6</v>
      </c>
      <c r="F25" s="849"/>
      <c r="G25" s="849"/>
      <c r="H25" s="849"/>
      <c r="I25" s="849"/>
      <c r="J25" s="905">
        <v>0.06</v>
      </c>
      <c r="K25" s="848">
        <v>0.36</v>
      </c>
    </row>
    <row r="26" spans="1:11" s="374" customFormat="1" ht="13.5" customHeight="1">
      <c r="A26" s="887"/>
      <c r="B26" s="888"/>
      <c r="C26" s="888" t="s">
        <v>2105</v>
      </c>
      <c r="D26" s="888"/>
      <c r="E26" s="889">
        <v>6</v>
      </c>
      <c r="F26" s="890"/>
      <c r="G26" s="890"/>
      <c r="H26" s="890"/>
      <c r="I26" s="890"/>
      <c r="J26" s="891"/>
      <c r="K26" s="889"/>
    </row>
    <row r="27" spans="1:11" s="374" customFormat="1" ht="13.5" customHeight="1">
      <c r="A27" s="918">
        <v>7</v>
      </c>
      <c r="B27" s="883" t="s">
        <v>2167</v>
      </c>
      <c r="C27" s="883" t="s">
        <v>2168</v>
      </c>
      <c r="D27" s="883" t="s">
        <v>13</v>
      </c>
      <c r="E27" s="884">
        <v>3180</v>
      </c>
      <c r="F27" s="885"/>
      <c r="G27" s="885"/>
      <c r="H27" s="885"/>
      <c r="I27" s="885"/>
      <c r="J27" s="886">
        <v>0</v>
      </c>
      <c r="K27" s="884">
        <v>0</v>
      </c>
    </row>
    <row r="28" spans="1:11" s="374" customFormat="1" ht="13.5" customHeight="1">
      <c r="A28" s="887"/>
      <c r="B28" s="888"/>
      <c r="C28" s="888" t="s">
        <v>2169</v>
      </c>
      <c r="D28" s="888"/>
      <c r="E28" s="889">
        <v>3180</v>
      </c>
      <c r="F28" s="890"/>
      <c r="G28" s="890"/>
      <c r="H28" s="890"/>
      <c r="I28" s="890"/>
      <c r="J28" s="891"/>
      <c r="K28" s="889"/>
    </row>
    <row r="29" spans="1:11" s="374" customFormat="1" ht="13.5" customHeight="1">
      <c r="A29" s="919">
        <v>8</v>
      </c>
      <c r="B29" s="847" t="s">
        <v>2170</v>
      </c>
      <c r="C29" s="847" t="s">
        <v>2564</v>
      </c>
      <c r="D29" s="847" t="s">
        <v>20</v>
      </c>
      <c r="E29" s="848">
        <v>12.26</v>
      </c>
      <c r="F29" s="849"/>
      <c r="G29" s="849"/>
      <c r="H29" s="849"/>
      <c r="I29" s="849"/>
      <c r="J29" s="905">
        <v>1E-3</v>
      </c>
      <c r="K29" s="848">
        <v>1.226E-2</v>
      </c>
    </row>
    <row r="30" spans="1:11" s="374" customFormat="1" ht="13.5" customHeight="1">
      <c r="A30" s="887"/>
      <c r="B30" s="888"/>
      <c r="C30" s="888" t="s">
        <v>2171</v>
      </c>
      <c r="D30" s="888"/>
      <c r="E30" s="889">
        <v>12.26</v>
      </c>
      <c r="F30" s="890"/>
      <c r="G30" s="890"/>
      <c r="H30" s="890"/>
      <c r="I30" s="890"/>
      <c r="J30" s="891"/>
      <c r="K30" s="889"/>
    </row>
    <row r="31" spans="1:11" s="374" customFormat="1" ht="13.5" customHeight="1">
      <c r="A31" s="919">
        <v>9</v>
      </c>
      <c r="B31" s="847" t="s">
        <v>2172</v>
      </c>
      <c r="C31" s="847" t="s">
        <v>2565</v>
      </c>
      <c r="D31" s="847" t="s">
        <v>20</v>
      </c>
      <c r="E31" s="848">
        <v>53.674999999999997</v>
      </c>
      <c r="F31" s="849"/>
      <c r="G31" s="849"/>
      <c r="H31" s="849"/>
      <c r="I31" s="849"/>
      <c r="J31" s="905">
        <v>1E-3</v>
      </c>
      <c r="K31" s="848">
        <v>5.3675E-2</v>
      </c>
    </row>
    <row r="32" spans="1:11" s="374" customFormat="1" ht="13.5" customHeight="1">
      <c r="A32" s="887"/>
      <c r="B32" s="888"/>
      <c r="C32" s="888" t="s">
        <v>2173</v>
      </c>
      <c r="D32" s="888"/>
      <c r="E32" s="889">
        <v>53.674999999999997</v>
      </c>
      <c r="F32" s="890"/>
      <c r="G32" s="890"/>
      <c r="H32" s="890"/>
      <c r="I32" s="890"/>
      <c r="J32" s="891"/>
      <c r="K32" s="889"/>
    </row>
    <row r="33" spans="1:11" s="374" customFormat="1" ht="24" customHeight="1">
      <c r="A33" s="919">
        <v>10</v>
      </c>
      <c r="B33" s="847" t="s">
        <v>2174</v>
      </c>
      <c r="C33" s="847" t="s">
        <v>2566</v>
      </c>
      <c r="D33" s="847" t="s">
        <v>20</v>
      </c>
      <c r="E33" s="848">
        <v>14.7</v>
      </c>
      <c r="F33" s="849"/>
      <c r="G33" s="849"/>
      <c r="H33" s="849"/>
      <c r="I33" s="849"/>
      <c r="J33" s="905">
        <v>1E-3</v>
      </c>
      <c r="K33" s="848">
        <v>1.47E-2</v>
      </c>
    </row>
    <row r="34" spans="1:11" s="374" customFormat="1" ht="13.5" customHeight="1">
      <c r="A34" s="887"/>
      <c r="B34" s="888"/>
      <c r="C34" s="888" t="s">
        <v>2175</v>
      </c>
      <c r="D34" s="888"/>
      <c r="E34" s="889">
        <v>14.7</v>
      </c>
      <c r="F34" s="890"/>
      <c r="G34" s="890"/>
      <c r="H34" s="890"/>
      <c r="I34" s="890"/>
      <c r="J34" s="891"/>
      <c r="K34" s="889"/>
    </row>
    <row r="35" spans="1:11" s="374" customFormat="1" ht="13.5" customHeight="1">
      <c r="A35" s="918">
        <v>11</v>
      </c>
      <c r="B35" s="883" t="s">
        <v>2176</v>
      </c>
      <c r="C35" s="883" t="s">
        <v>2177</v>
      </c>
      <c r="D35" s="883" t="s">
        <v>13</v>
      </c>
      <c r="E35" s="884">
        <v>2930</v>
      </c>
      <c r="F35" s="885"/>
      <c r="G35" s="885"/>
      <c r="H35" s="885"/>
      <c r="I35" s="885"/>
      <c r="J35" s="886">
        <v>0</v>
      </c>
      <c r="K35" s="884">
        <v>0</v>
      </c>
    </row>
    <row r="36" spans="1:11" s="374" customFormat="1" ht="13.5" customHeight="1">
      <c r="A36" s="887"/>
      <c r="B36" s="888"/>
      <c r="C36" s="888" t="s">
        <v>2178</v>
      </c>
      <c r="D36" s="888"/>
      <c r="E36" s="889">
        <v>2930</v>
      </c>
      <c r="F36" s="890"/>
      <c r="G36" s="890"/>
      <c r="H36" s="890"/>
      <c r="I36" s="890"/>
      <c r="J36" s="891"/>
      <c r="K36" s="889"/>
    </row>
    <row r="37" spans="1:11" s="374" customFormat="1" ht="13.5" customHeight="1">
      <c r="A37" s="918">
        <v>12</v>
      </c>
      <c r="B37" s="883" t="s">
        <v>2179</v>
      </c>
      <c r="C37" s="883" t="s">
        <v>2180</v>
      </c>
      <c r="D37" s="883" t="s">
        <v>13</v>
      </c>
      <c r="E37" s="884">
        <v>2930</v>
      </c>
      <c r="F37" s="885"/>
      <c r="G37" s="885"/>
      <c r="H37" s="885"/>
      <c r="I37" s="885"/>
      <c r="J37" s="886">
        <v>0</v>
      </c>
      <c r="K37" s="884">
        <v>0</v>
      </c>
    </row>
    <row r="38" spans="1:11" s="374" customFormat="1" ht="13.5" customHeight="1">
      <c r="A38" s="887"/>
      <c r="B38" s="888"/>
      <c r="C38" s="888" t="s">
        <v>2178</v>
      </c>
      <c r="D38" s="888"/>
      <c r="E38" s="889">
        <v>2930</v>
      </c>
      <c r="F38" s="890"/>
      <c r="G38" s="890"/>
      <c r="H38" s="890"/>
      <c r="I38" s="890"/>
      <c r="J38" s="891"/>
      <c r="K38" s="889"/>
    </row>
    <row r="39" spans="1:11" s="374" customFormat="1" ht="13.5" customHeight="1">
      <c r="A39" s="919">
        <v>13</v>
      </c>
      <c r="B39" s="847" t="s">
        <v>2181</v>
      </c>
      <c r="C39" s="847" t="s">
        <v>2182</v>
      </c>
      <c r="D39" s="847" t="s">
        <v>15</v>
      </c>
      <c r="E39" s="848">
        <v>138.82499999999999</v>
      </c>
      <c r="F39" s="849"/>
      <c r="G39" s="849"/>
      <c r="H39" s="849"/>
      <c r="I39" s="849"/>
      <c r="J39" s="905">
        <v>1</v>
      </c>
      <c r="K39" s="848">
        <v>138.82499999999999</v>
      </c>
    </row>
    <row r="40" spans="1:11" s="374" customFormat="1" ht="13.5" customHeight="1">
      <c r="A40" s="887"/>
      <c r="B40" s="888"/>
      <c r="C40" s="888" t="s">
        <v>2183</v>
      </c>
      <c r="D40" s="888"/>
      <c r="E40" s="889">
        <v>138.82499999999999</v>
      </c>
      <c r="F40" s="890"/>
      <c r="G40" s="890"/>
      <c r="H40" s="890"/>
      <c r="I40" s="890"/>
      <c r="J40" s="891"/>
      <c r="K40" s="889"/>
    </row>
    <row r="41" spans="1:11" s="374" customFormat="1" ht="13.5" customHeight="1">
      <c r="A41" s="919">
        <v>14</v>
      </c>
      <c r="B41" s="847" t="s">
        <v>2184</v>
      </c>
      <c r="C41" s="847" t="s">
        <v>2185</v>
      </c>
      <c r="D41" s="847" t="s">
        <v>15</v>
      </c>
      <c r="E41" s="848">
        <v>25.491</v>
      </c>
      <c r="F41" s="849"/>
      <c r="G41" s="849"/>
      <c r="H41" s="849"/>
      <c r="I41" s="849"/>
      <c r="J41" s="905">
        <v>1</v>
      </c>
      <c r="K41" s="848">
        <v>25.491</v>
      </c>
    </row>
    <row r="42" spans="1:11" s="374" customFormat="1" ht="13.5" customHeight="1">
      <c r="A42" s="887"/>
      <c r="B42" s="888"/>
      <c r="C42" s="888" t="s">
        <v>2186</v>
      </c>
      <c r="D42" s="888"/>
      <c r="E42" s="889">
        <v>219.75</v>
      </c>
      <c r="F42" s="890"/>
      <c r="G42" s="890"/>
      <c r="H42" s="890"/>
      <c r="I42" s="890"/>
      <c r="J42" s="891"/>
      <c r="K42" s="889"/>
    </row>
    <row r="43" spans="1:11" s="374" customFormat="1" ht="13.5" customHeight="1">
      <c r="A43" s="918">
        <v>15</v>
      </c>
      <c r="B43" s="883" t="s">
        <v>2187</v>
      </c>
      <c r="C43" s="883" t="s">
        <v>2188</v>
      </c>
      <c r="D43" s="883" t="s">
        <v>19</v>
      </c>
      <c r="E43" s="884">
        <v>200</v>
      </c>
      <c r="F43" s="885"/>
      <c r="G43" s="885"/>
      <c r="H43" s="885"/>
      <c r="I43" s="885"/>
      <c r="J43" s="886">
        <v>0</v>
      </c>
      <c r="K43" s="884">
        <v>0</v>
      </c>
    </row>
    <row r="44" spans="1:11" s="374" customFormat="1" ht="13.5" customHeight="1">
      <c r="A44" s="887"/>
      <c r="B44" s="888"/>
      <c r="C44" s="888" t="s">
        <v>2189</v>
      </c>
      <c r="D44" s="888"/>
      <c r="E44" s="889">
        <v>200</v>
      </c>
      <c r="F44" s="890"/>
      <c r="G44" s="890"/>
      <c r="H44" s="890"/>
      <c r="I44" s="890"/>
      <c r="J44" s="891"/>
      <c r="K44" s="889"/>
    </row>
    <row r="45" spans="1:11" s="374" customFormat="1" ht="13.5" customHeight="1">
      <c r="A45" s="918">
        <v>16</v>
      </c>
      <c r="B45" s="883" t="s">
        <v>2190</v>
      </c>
      <c r="C45" s="883" t="s">
        <v>2191</v>
      </c>
      <c r="D45" s="883" t="s">
        <v>19</v>
      </c>
      <c r="E45" s="884">
        <v>87</v>
      </c>
      <c r="F45" s="885"/>
      <c r="G45" s="885"/>
      <c r="H45" s="885"/>
      <c r="I45" s="885"/>
      <c r="J45" s="886">
        <v>0</v>
      </c>
      <c r="K45" s="884">
        <v>0</v>
      </c>
    </row>
    <row r="46" spans="1:11" s="374" customFormat="1" ht="13.5" customHeight="1">
      <c r="A46" s="887"/>
      <c r="B46" s="888"/>
      <c r="C46" s="888" t="s">
        <v>2192</v>
      </c>
      <c r="D46" s="888"/>
      <c r="E46" s="889">
        <v>87</v>
      </c>
      <c r="F46" s="890"/>
      <c r="G46" s="890"/>
      <c r="H46" s="890"/>
      <c r="I46" s="890"/>
      <c r="J46" s="891"/>
      <c r="K46" s="889"/>
    </row>
    <row r="47" spans="1:11" s="374" customFormat="1" ht="13.5" customHeight="1">
      <c r="A47" s="918">
        <v>17</v>
      </c>
      <c r="B47" s="883" t="s">
        <v>2193</v>
      </c>
      <c r="C47" s="883" t="s">
        <v>2194</v>
      </c>
      <c r="D47" s="883" t="s">
        <v>19</v>
      </c>
      <c r="E47" s="884">
        <v>978</v>
      </c>
      <c r="F47" s="885"/>
      <c r="G47" s="885"/>
      <c r="H47" s="885"/>
      <c r="I47" s="885"/>
      <c r="J47" s="886">
        <v>0</v>
      </c>
      <c r="K47" s="884">
        <v>0</v>
      </c>
    </row>
    <row r="48" spans="1:11" s="374" customFormat="1" ht="13.5" customHeight="1">
      <c r="A48" s="887"/>
      <c r="B48" s="888"/>
      <c r="C48" s="888" t="s">
        <v>2195</v>
      </c>
      <c r="D48" s="888"/>
      <c r="E48" s="889">
        <v>978</v>
      </c>
      <c r="F48" s="890"/>
      <c r="G48" s="890"/>
      <c r="H48" s="890"/>
      <c r="I48" s="890"/>
      <c r="J48" s="891"/>
      <c r="K48" s="889"/>
    </row>
    <row r="49" spans="1:11" s="374" customFormat="1" ht="13.5" customHeight="1">
      <c r="A49" s="918">
        <v>18</v>
      </c>
      <c r="B49" s="883" t="s">
        <v>2196</v>
      </c>
      <c r="C49" s="883" t="s">
        <v>2197</v>
      </c>
      <c r="D49" s="883" t="s">
        <v>19</v>
      </c>
      <c r="E49" s="884">
        <v>83</v>
      </c>
      <c r="F49" s="885"/>
      <c r="G49" s="885"/>
      <c r="H49" s="885"/>
      <c r="I49" s="885"/>
      <c r="J49" s="886">
        <v>0</v>
      </c>
      <c r="K49" s="884">
        <v>0</v>
      </c>
    </row>
    <row r="50" spans="1:11" s="374" customFormat="1" ht="13.5" customHeight="1">
      <c r="A50" s="887"/>
      <c r="B50" s="888"/>
      <c r="C50" s="888" t="s">
        <v>2198</v>
      </c>
      <c r="D50" s="888"/>
      <c r="E50" s="889">
        <v>83</v>
      </c>
      <c r="F50" s="890"/>
      <c r="G50" s="890"/>
      <c r="H50" s="890"/>
      <c r="I50" s="890"/>
      <c r="J50" s="891"/>
      <c r="K50" s="889"/>
    </row>
    <row r="51" spans="1:11" s="374" customFormat="1" ht="13.5" customHeight="1">
      <c r="A51" s="918">
        <v>19</v>
      </c>
      <c r="B51" s="883" t="s">
        <v>2199</v>
      </c>
      <c r="C51" s="883" t="s">
        <v>2200</v>
      </c>
      <c r="D51" s="883" t="s">
        <v>19</v>
      </c>
      <c r="E51" s="884">
        <v>138</v>
      </c>
      <c r="F51" s="885"/>
      <c r="G51" s="885"/>
      <c r="H51" s="885"/>
      <c r="I51" s="885"/>
      <c r="J51" s="886">
        <v>0</v>
      </c>
      <c r="K51" s="884">
        <v>0</v>
      </c>
    </row>
    <row r="52" spans="1:11" s="374" customFormat="1" ht="13.5" customHeight="1">
      <c r="A52" s="887"/>
      <c r="B52" s="888"/>
      <c r="C52" s="888" t="s">
        <v>2201</v>
      </c>
      <c r="D52" s="888"/>
      <c r="E52" s="889">
        <v>138</v>
      </c>
      <c r="F52" s="890"/>
      <c r="G52" s="890"/>
      <c r="H52" s="890"/>
      <c r="I52" s="890"/>
      <c r="J52" s="891"/>
      <c r="K52" s="889"/>
    </row>
    <row r="53" spans="1:11" s="374" customFormat="1" ht="24" customHeight="1">
      <c r="A53" s="918">
        <v>20</v>
      </c>
      <c r="B53" s="883" t="s">
        <v>2202</v>
      </c>
      <c r="C53" s="883" t="s">
        <v>2203</v>
      </c>
      <c r="D53" s="883" t="s">
        <v>19</v>
      </c>
      <c r="E53" s="884">
        <v>23</v>
      </c>
      <c r="F53" s="885"/>
      <c r="G53" s="885"/>
      <c r="H53" s="885"/>
      <c r="I53" s="885"/>
      <c r="J53" s="886">
        <v>0</v>
      </c>
      <c r="K53" s="884">
        <v>0</v>
      </c>
    </row>
    <row r="54" spans="1:11" s="374" customFormat="1" ht="13.5" customHeight="1">
      <c r="A54" s="887"/>
      <c r="B54" s="888"/>
      <c r="C54" s="888" t="s">
        <v>2102</v>
      </c>
      <c r="D54" s="888"/>
      <c r="E54" s="889">
        <v>23</v>
      </c>
      <c r="F54" s="890"/>
      <c r="G54" s="890"/>
      <c r="H54" s="890"/>
      <c r="I54" s="890"/>
      <c r="J54" s="891"/>
      <c r="K54" s="889"/>
    </row>
    <row r="55" spans="1:11" s="374" customFormat="1" ht="13.5" customHeight="1">
      <c r="A55" s="918">
        <v>21</v>
      </c>
      <c r="B55" s="883" t="s">
        <v>2204</v>
      </c>
      <c r="C55" s="883" t="s">
        <v>2205</v>
      </c>
      <c r="D55" s="883" t="s">
        <v>19</v>
      </c>
      <c r="E55" s="884">
        <v>978</v>
      </c>
      <c r="F55" s="885"/>
      <c r="G55" s="885"/>
      <c r="H55" s="885"/>
      <c r="I55" s="885"/>
      <c r="J55" s="886">
        <v>0</v>
      </c>
      <c r="K55" s="884">
        <v>0</v>
      </c>
    </row>
    <row r="56" spans="1:11" s="374" customFormat="1" ht="13.5" customHeight="1">
      <c r="A56" s="887"/>
      <c r="B56" s="888"/>
      <c r="C56" s="888" t="s">
        <v>2195</v>
      </c>
      <c r="D56" s="888"/>
      <c r="E56" s="889">
        <v>978</v>
      </c>
      <c r="F56" s="890"/>
      <c r="G56" s="890"/>
      <c r="H56" s="890"/>
      <c r="I56" s="890"/>
      <c r="J56" s="891"/>
      <c r="K56" s="889"/>
    </row>
    <row r="57" spans="1:11" s="374" customFormat="1" ht="24" customHeight="1">
      <c r="A57" s="918">
        <v>22</v>
      </c>
      <c r="B57" s="883" t="s">
        <v>2206</v>
      </c>
      <c r="C57" s="883" t="s">
        <v>2207</v>
      </c>
      <c r="D57" s="883" t="s">
        <v>19</v>
      </c>
      <c r="E57" s="884">
        <v>200</v>
      </c>
      <c r="F57" s="885"/>
      <c r="G57" s="885"/>
      <c r="H57" s="885"/>
      <c r="I57" s="885"/>
      <c r="J57" s="886">
        <v>0</v>
      </c>
      <c r="K57" s="884">
        <v>0</v>
      </c>
    </row>
    <row r="58" spans="1:11" s="374" customFormat="1" ht="13.5" customHeight="1">
      <c r="A58" s="887"/>
      <c r="B58" s="888"/>
      <c r="C58" s="888" t="s">
        <v>2189</v>
      </c>
      <c r="D58" s="888"/>
      <c r="E58" s="889">
        <v>200</v>
      </c>
      <c r="F58" s="890"/>
      <c r="G58" s="890"/>
      <c r="H58" s="890"/>
      <c r="I58" s="890"/>
      <c r="J58" s="891"/>
      <c r="K58" s="889"/>
    </row>
    <row r="59" spans="1:11" s="374" customFormat="1" ht="13.5" customHeight="1">
      <c r="A59" s="918">
        <v>23</v>
      </c>
      <c r="B59" s="883" t="s">
        <v>2208</v>
      </c>
      <c r="C59" s="883" t="s">
        <v>2209</v>
      </c>
      <c r="D59" s="883" t="s">
        <v>13</v>
      </c>
      <c r="E59" s="884">
        <v>308.5</v>
      </c>
      <c r="F59" s="885"/>
      <c r="G59" s="885"/>
      <c r="H59" s="885"/>
      <c r="I59" s="885"/>
      <c r="J59" s="886">
        <v>0</v>
      </c>
      <c r="K59" s="884">
        <v>0</v>
      </c>
    </row>
    <row r="60" spans="1:11" s="374" customFormat="1" ht="13.5" customHeight="1">
      <c r="A60" s="887"/>
      <c r="B60" s="888"/>
      <c r="C60" s="888" t="s">
        <v>2210</v>
      </c>
      <c r="D60" s="888"/>
      <c r="E60" s="889">
        <v>308.5</v>
      </c>
      <c r="F60" s="890"/>
      <c r="G60" s="890"/>
      <c r="H60" s="890"/>
      <c r="I60" s="890"/>
      <c r="J60" s="891"/>
      <c r="K60" s="889"/>
    </row>
    <row r="61" spans="1:11" s="374" customFormat="1" ht="13.5" customHeight="1">
      <c r="A61" s="918">
        <v>24</v>
      </c>
      <c r="B61" s="883" t="s">
        <v>2211</v>
      </c>
      <c r="C61" s="883" t="s">
        <v>2212</v>
      </c>
      <c r="D61" s="883" t="s">
        <v>13</v>
      </c>
      <c r="E61" s="884">
        <v>5860</v>
      </c>
      <c r="F61" s="885"/>
      <c r="G61" s="885"/>
      <c r="H61" s="885"/>
      <c r="I61" s="885"/>
      <c r="J61" s="886">
        <v>0</v>
      </c>
      <c r="K61" s="884">
        <v>0</v>
      </c>
    </row>
    <row r="62" spans="1:11" s="374" customFormat="1" ht="13.5" customHeight="1">
      <c r="A62" s="887"/>
      <c r="B62" s="888"/>
      <c r="C62" s="888" t="s">
        <v>2213</v>
      </c>
      <c r="D62" s="888"/>
      <c r="E62" s="889">
        <v>5860</v>
      </c>
      <c r="F62" s="890"/>
      <c r="G62" s="890"/>
      <c r="H62" s="890"/>
      <c r="I62" s="890"/>
      <c r="J62" s="891"/>
      <c r="K62" s="889"/>
    </row>
    <row r="63" spans="1:11" s="374" customFormat="1" ht="13.5" customHeight="1">
      <c r="A63" s="918">
        <v>25</v>
      </c>
      <c r="B63" s="883" t="s">
        <v>2214</v>
      </c>
      <c r="C63" s="883" t="s">
        <v>2215</v>
      </c>
      <c r="D63" s="883" t="s">
        <v>13</v>
      </c>
      <c r="E63" s="884">
        <v>2930</v>
      </c>
      <c r="F63" s="885"/>
      <c r="G63" s="885"/>
      <c r="H63" s="885"/>
      <c r="I63" s="885"/>
      <c r="J63" s="886">
        <v>0</v>
      </c>
      <c r="K63" s="884">
        <v>0</v>
      </c>
    </row>
    <row r="64" spans="1:11" s="374" customFormat="1" ht="13.5" customHeight="1">
      <c r="A64" s="887"/>
      <c r="B64" s="888"/>
      <c r="C64" s="888" t="s">
        <v>2178</v>
      </c>
      <c r="D64" s="888"/>
      <c r="E64" s="889">
        <v>2930</v>
      </c>
      <c r="F64" s="890"/>
      <c r="G64" s="890"/>
      <c r="H64" s="890"/>
      <c r="I64" s="890"/>
      <c r="J64" s="891"/>
      <c r="K64" s="889"/>
    </row>
    <row r="65" spans="1:11" s="374" customFormat="1" ht="13.5" customHeight="1">
      <c r="A65" s="918">
        <v>26</v>
      </c>
      <c r="B65" s="883" t="s">
        <v>2216</v>
      </c>
      <c r="C65" s="883" t="s">
        <v>2217</v>
      </c>
      <c r="D65" s="883" t="s">
        <v>13</v>
      </c>
      <c r="E65" s="884">
        <v>2930</v>
      </c>
      <c r="F65" s="885"/>
      <c r="G65" s="885"/>
      <c r="H65" s="885"/>
      <c r="I65" s="885"/>
      <c r="J65" s="886">
        <v>0</v>
      </c>
      <c r="K65" s="884">
        <v>0</v>
      </c>
    </row>
    <row r="66" spans="1:11" s="374" customFormat="1" ht="13.5" customHeight="1">
      <c r="A66" s="887"/>
      <c r="B66" s="888"/>
      <c r="C66" s="888" t="s">
        <v>2178</v>
      </c>
      <c r="D66" s="888"/>
      <c r="E66" s="889">
        <v>2930</v>
      </c>
      <c r="F66" s="890"/>
      <c r="G66" s="890"/>
      <c r="H66" s="890"/>
      <c r="I66" s="890"/>
      <c r="J66" s="891"/>
      <c r="K66" s="889"/>
    </row>
    <row r="67" spans="1:11" s="374" customFormat="1" ht="13.5" customHeight="1">
      <c r="A67" s="918">
        <v>27</v>
      </c>
      <c r="B67" s="883" t="s">
        <v>2218</v>
      </c>
      <c r="C67" s="883" t="s">
        <v>2219</v>
      </c>
      <c r="D67" s="883" t="s">
        <v>13</v>
      </c>
      <c r="E67" s="884">
        <v>5860</v>
      </c>
      <c r="F67" s="885"/>
      <c r="G67" s="885"/>
      <c r="H67" s="885"/>
      <c r="I67" s="885"/>
      <c r="J67" s="886">
        <v>0</v>
      </c>
      <c r="K67" s="884">
        <v>0</v>
      </c>
    </row>
    <row r="68" spans="1:11" s="374" customFormat="1" ht="13.5" customHeight="1">
      <c r="A68" s="887"/>
      <c r="B68" s="888"/>
      <c r="C68" s="888" t="s">
        <v>2213</v>
      </c>
      <c r="D68" s="888"/>
      <c r="E68" s="889">
        <v>5860</v>
      </c>
      <c r="F68" s="890"/>
      <c r="G68" s="890"/>
      <c r="H68" s="890"/>
      <c r="I68" s="890"/>
      <c r="J68" s="891"/>
      <c r="K68" s="889"/>
    </row>
    <row r="69" spans="1:11" s="374" customFormat="1" ht="13.5" customHeight="1">
      <c r="A69" s="918">
        <v>28</v>
      </c>
      <c r="B69" s="883" t="s">
        <v>2220</v>
      </c>
      <c r="C69" s="883" t="s">
        <v>2221</v>
      </c>
      <c r="D69" s="883" t="s">
        <v>19</v>
      </c>
      <c r="E69" s="884">
        <v>87</v>
      </c>
      <c r="F69" s="885"/>
      <c r="G69" s="885"/>
      <c r="H69" s="885"/>
      <c r="I69" s="885"/>
      <c r="J69" s="886">
        <v>0</v>
      </c>
      <c r="K69" s="884">
        <v>0</v>
      </c>
    </row>
    <row r="70" spans="1:11" s="374" customFormat="1" ht="13.5" customHeight="1">
      <c r="A70" s="887"/>
      <c r="B70" s="888"/>
      <c r="C70" s="888" t="s">
        <v>2192</v>
      </c>
      <c r="D70" s="888"/>
      <c r="E70" s="889">
        <v>87</v>
      </c>
      <c r="F70" s="890"/>
      <c r="G70" s="890"/>
      <c r="H70" s="890"/>
      <c r="I70" s="890"/>
      <c r="J70" s="891"/>
      <c r="K70" s="889"/>
    </row>
    <row r="71" spans="1:11" s="374" customFormat="1" ht="13.5" customHeight="1">
      <c r="A71" s="918">
        <v>29</v>
      </c>
      <c r="B71" s="883" t="s">
        <v>2222</v>
      </c>
      <c r="C71" s="883" t="s">
        <v>2223</v>
      </c>
      <c r="D71" s="883" t="s">
        <v>19</v>
      </c>
      <c r="E71" s="884">
        <v>138</v>
      </c>
      <c r="F71" s="885"/>
      <c r="G71" s="885"/>
      <c r="H71" s="885"/>
      <c r="I71" s="885"/>
      <c r="J71" s="886">
        <v>0</v>
      </c>
      <c r="K71" s="884">
        <v>0</v>
      </c>
    </row>
    <row r="72" spans="1:11" s="374" customFormat="1" ht="13.5" customHeight="1">
      <c r="A72" s="887"/>
      <c r="B72" s="888"/>
      <c r="C72" s="888" t="s">
        <v>2201</v>
      </c>
      <c r="D72" s="888"/>
      <c r="E72" s="889">
        <v>138</v>
      </c>
      <c r="F72" s="890"/>
      <c r="G72" s="890"/>
      <c r="H72" s="890"/>
      <c r="I72" s="890"/>
      <c r="J72" s="891"/>
      <c r="K72" s="889"/>
    </row>
    <row r="73" spans="1:11" s="374" customFormat="1" ht="24" customHeight="1">
      <c r="A73" s="918">
        <v>30</v>
      </c>
      <c r="B73" s="883" t="s">
        <v>2224</v>
      </c>
      <c r="C73" s="883" t="s">
        <v>2225</v>
      </c>
      <c r="D73" s="883" t="s">
        <v>19</v>
      </c>
      <c r="E73" s="884">
        <v>23</v>
      </c>
      <c r="F73" s="885"/>
      <c r="G73" s="885"/>
      <c r="H73" s="885"/>
      <c r="I73" s="885"/>
      <c r="J73" s="886">
        <v>0</v>
      </c>
      <c r="K73" s="884">
        <v>0</v>
      </c>
    </row>
    <row r="74" spans="1:11" s="374" customFormat="1" ht="13.5" customHeight="1">
      <c r="A74" s="887"/>
      <c r="B74" s="888"/>
      <c r="C74" s="888" t="s">
        <v>2102</v>
      </c>
      <c r="D74" s="888"/>
      <c r="E74" s="889">
        <v>23</v>
      </c>
      <c r="F74" s="890"/>
      <c r="G74" s="890"/>
      <c r="H74" s="890"/>
      <c r="I74" s="890"/>
      <c r="J74" s="891"/>
      <c r="K74" s="889"/>
    </row>
    <row r="75" spans="1:11" s="374" customFormat="1" ht="13.5" customHeight="1">
      <c r="A75" s="918">
        <v>31</v>
      </c>
      <c r="B75" s="883" t="s">
        <v>2226</v>
      </c>
      <c r="C75" s="883" t="s">
        <v>2227</v>
      </c>
      <c r="D75" s="883" t="s">
        <v>19</v>
      </c>
      <c r="E75" s="884">
        <v>23</v>
      </c>
      <c r="F75" s="885"/>
      <c r="G75" s="885"/>
      <c r="H75" s="885"/>
      <c r="I75" s="885"/>
      <c r="J75" s="886">
        <v>4.8000000000000001E-4</v>
      </c>
      <c r="K75" s="884">
        <v>1.1039999999999999E-2</v>
      </c>
    </row>
    <row r="76" spans="1:11" s="374" customFormat="1" ht="13.5" customHeight="1">
      <c r="A76" s="919">
        <v>32</v>
      </c>
      <c r="B76" s="847" t="s">
        <v>2228</v>
      </c>
      <c r="C76" s="847" t="s">
        <v>2229</v>
      </c>
      <c r="D76" s="847" t="s">
        <v>19</v>
      </c>
      <c r="E76" s="848">
        <v>69.69</v>
      </c>
      <c r="F76" s="849"/>
      <c r="G76" s="849"/>
      <c r="H76" s="849"/>
      <c r="I76" s="849"/>
      <c r="J76" s="905">
        <v>5.9999999999999995E-4</v>
      </c>
      <c r="K76" s="848">
        <v>4.1813999999999997E-2</v>
      </c>
    </row>
    <row r="77" spans="1:11" s="374" customFormat="1" ht="13.5" customHeight="1">
      <c r="A77" s="887"/>
      <c r="B77" s="888"/>
      <c r="C77" s="888" t="s">
        <v>2230</v>
      </c>
      <c r="D77" s="888"/>
      <c r="E77" s="889">
        <v>69</v>
      </c>
      <c r="F77" s="890"/>
      <c r="G77" s="890"/>
      <c r="H77" s="890"/>
      <c r="I77" s="890"/>
      <c r="J77" s="891"/>
      <c r="K77" s="889"/>
    </row>
    <row r="78" spans="1:11" s="374" customFormat="1" ht="13.5" customHeight="1">
      <c r="A78" s="918">
        <v>33</v>
      </c>
      <c r="B78" s="883" t="s">
        <v>2231</v>
      </c>
      <c r="C78" s="883" t="s">
        <v>2232</v>
      </c>
      <c r="D78" s="883" t="s">
        <v>19</v>
      </c>
      <c r="E78" s="884">
        <v>83</v>
      </c>
      <c r="F78" s="885"/>
      <c r="G78" s="885"/>
      <c r="H78" s="885"/>
      <c r="I78" s="885"/>
      <c r="J78" s="886">
        <v>0</v>
      </c>
      <c r="K78" s="884">
        <v>0</v>
      </c>
    </row>
    <row r="79" spans="1:11" s="374" customFormat="1" ht="13.5" customHeight="1">
      <c r="A79" s="887"/>
      <c r="B79" s="888"/>
      <c r="C79" s="888" t="s">
        <v>2198</v>
      </c>
      <c r="D79" s="888"/>
      <c r="E79" s="889">
        <v>83</v>
      </c>
      <c r="F79" s="890"/>
      <c r="G79" s="890"/>
      <c r="H79" s="890"/>
      <c r="I79" s="890"/>
      <c r="J79" s="891"/>
      <c r="K79" s="889"/>
    </row>
    <row r="80" spans="1:11" s="374" customFormat="1" ht="13.5" customHeight="1">
      <c r="A80" s="918">
        <v>34</v>
      </c>
      <c r="B80" s="883" t="s">
        <v>2233</v>
      </c>
      <c r="C80" s="883" t="s">
        <v>2234</v>
      </c>
      <c r="D80" s="883" t="s">
        <v>19</v>
      </c>
      <c r="E80" s="884">
        <v>69</v>
      </c>
      <c r="F80" s="885"/>
      <c r="G80" s="885"/>
      <c r="H80" s="885"/>
      <c r="I80" s="885"/>
      <c r="J80" s="886">
        <v>0</v>
      </c>
      <c r="K80" s="884">
        <v>0</v>
      </c>
    </row>
    <row r="81" spans="1:11" s="374" customFormat="1" ht="13.5" customHeight="1">
      <c r="A81" s="887"/>
      <c r="B81" s="888"/>
      <c r="C81" s="888" t="s">
        <v>2230</v>
      </c>
      <c r="D81" s="888"/>
      <c r="E81" s="889">
        <v>69</v>
      </c>
      <c r="F81" s="890"/>
      <c r="G81" s="890"/>
      <c r="H81" s="890"/>
      <c r="I81" s="890"/>
      <c r="J81" s="891"/>
      <c r="K81" s="889"/>
    </row>
    <row r="82" spans="1:11" s="374" customFormat="1" ht="13.5" customHeight="1">
      <c r="A82" s="918">
        <v>35</v>
      </c>
      <c r="B82" s="883" t="s">
        <v>2235</v>
      </c>
      <c r="C82" s="883" t="s">
        <v>2236</v>
      </c>
      <c r="D82" s="883" t="s">
        <v>13</v>
      </c>
      <c r="E82" s="884">
        <v>113</v>
      </c>
      <c r="F82" s="885"/>
      <c r="G82" s="885"/>
      <c r="H82" s="885"/>
      <c r="I82" s="885"/>
      <c r="J82" s="886">
        <v>0</v>
      </c>
      <c r="K82" s="884">
        <v>0</v>
      </c>
    </row>
    <row r="83" spans="1:11" s="374" customFormat="1" ht="13.5" customHeight="1">
      <c r="A83" s="887"/>
      <c r="B83" s="888"/>
      <c r="C83" s="888" t="s">
        <v>2237</v>
      </c>
      <c r="D83" s="888"/>
      <c r="E83" s="889">
        <v>113</v>
      </c>
      <c r="F83" s="890"/>
      <c r="G83" s="890"/>
      <c r="H83" s="890"/>
      <c r="I83" s="890"/>
      <c r="J83" s="891"/>
      <c r="K83" s="889"/>
    </row>
    <row r="84" spans="1:11" s="374" customFormat="1" ht="24" customHeight="1">
      <c r="A84" s="918">
        <v>36</v>
      </c>
      <c r="B84" s="883" t="s">
        <v>2238</v>
      </c>
      <c r="C84" s="883" t="s">
        <v>2239</v>
      </c>
      <c r="D84" s="883" t="s">
        <v>2240</v>
      </c>
      <c r="E84" s="884">
        <v>62</v>
      </c>
      <c r="F84" s="885"/>
      <c r="G84" s="885"/>
      <c r="H84" s="885"/>
      <c r="I84" s="885"/>
      <c r="J84" s="886">
        <v>2.0000000000000001E-4</v>
      </c>
      <c r="K84" s="884">
        <v>1.24E-2</v>
      </c>
    </row>
    <row r="85" spans="1:11" s="374" customFormat="1" ht="13.5" customHeight="1">
      <c r="A85" s="887"/>
      <c r="B85" s="888"/>
      <c r="C85" s="888" t="s">
        <v>2241</v>
      </c>
      <c r="D85" s="888"/>
      <c r="E85" s="889">
        <v>62</v>
      </c>
      <c r="F85" s="890"/>
      <c r="G85" s="890"/>
      <c r="H85" s="890"/>
      <c r="I85" s="890"/>
      <c r="J85" s="891"/>
      <c r="K85" s="889"/>
    </row>
    <row r="86" spans="1:11" s="374" customFormat="1" ht="24" customHeight="1">
      <c r="A86" s="919">
        <v>37</v>
      </c>
      <c r="B86" s="847" t="s">
        <v>2242</v>
      </c>
      <c r="C86" s="847" t="s">
        <v>2243</v>
      </c>
      <c r="D86" s="847" t="s">
        <v>2240</v>
      </c>
      <c r="E86" s="848">
        <v>62</v>
      </c>
      <c r="F86" s="849"/>
      <c r="G86" s="849"/>
      <c r="H86" s="849"/>
      <c r="I86" s="849"/>
      <c r="J86" s="905">
        <v>1.31E-3</v>
      </c>
      <c r="K86" s="848">
        <v>8.1220000000000001E-2</v>
      </c>
    </row>
    <row r="87" spans="1:11" s="374" customFormat="1" ht="13.5" customHeight="1">
      <c r="A87" s="887"/>
      <c r="B87" s="888"/>
      <c r="C87" s="888" t="s">
        <v>2241</v>
      </c>
      <c r="D87" s="888"/>
      <c r="E87" s="889">
        <v>62</v>
      </c>
      <c r="F87" s="890"/>
      <c r="G87" s="890"/>
      <c r="H87" s="890"/>
      <c r="I87" s="890"/>
      <c r="J87" s="891"/>
      <c r="K87" s="889"/>
    </row>
    <row r="88" spans="1:11" s="374" customFormat="1" ht="13.5" customHeight="1">
      <c r="A88" s="919">
        <v>38</v>
      </c>
      <c r="B88" s="847" t="s">
        <v>2244</v>
      </c>
      <c r="C88" s="847" t="s">
        <v>2245</v>
      </c>
      <c r="D88" s="847" t="s">
        <v>85</v>
      </c>
      <c r="E88" s="848">
        <v>14</v>
      </c>
      <c r="F88" s="849"/>
      <c r="G88" s="849"/>
      <c r="H88" s="849"/>
      <c r="I88" s="849"/>
      <c r="J88" s="905">
        <v>8.0000000000000007E-5</v>
      </c>
      <c r="K88" s="848">
        <v>1.1199999999999999E-3</v>
      </c>
    </row>
    <row r="89" spans="1:11" s="374" customFormat="1" ht="13.5" customHeight="1">
      <c r="A89" s="887"/>
      <c r="B89" s="888"/>
      <c r="C89" s="888" t="s">
        <v>2246</v>
      </c>
      <c r="D89" s="888"/>
      <c r="E89" s="889">
        <v>14</v>
      </c>
      <c r="F89" s="890"/>
      <c r="G89" s="890"/>
      <c r="H89" s="890"/>
      <c r="I89" s="890"/>
      <c r="J89" s="891"/>
      <c r="K89" s="889"/>
    </row>
    <row r="90" spans="1:11" s="374" customFormat="1" ht="13.5" customHeight="1">
      <c r="A90" s="919">
        <v>39</v>
      </c>
      <c r="B90" s="847" t="s">
        <v>2247</v>
      </c>
      <c r="C90" s="847" t="s">
        <v>2567</v>
      </c>
      <c r="D90" s="847" t="s">
        <v>20</v>
      </c>
      <c r="E90" s="848">
        <v>11.5</v>
      </c>
      <c r="F90" s="849"/>
      <c r="G90" s="849"/>
      <c r="H90" s="849"/>
      <c r="I90" s="849"/>
      <c r="J90" s="905">
        <v>1E-3</v>
      </c>
      <c r="K90" s="848">
        <v>1.15E-2</v>
      </c>
    </row>
    <row r="91" spans="1:11" s="374" customFormat="1" ht="13.5" customHeight="1">
      <c r="A91" s="887"/>
      <c r="B91" s="888"/>
      <c r="C91" s="888" t="s">
        <v>2248</v>
      </c>
      <c r="D91" s="888"/>
      <c r="E91" s="889">
        <v>11.5</v>
      </c>
      <c r="F91" s="890"/>
      <c r="G91" s="890"/>
      <c r="H91" s="890"/>
      <c r="I91" s="890"/>
      <c r="J91" s="891"/>
      <c r="K91" s="889"/>
    </row>
    <row r="92" spans="1:11" s="374" customFormat="1" ht="13.5" customHeight="1">
      <c r="A92" s="919">
        <v>40</v>
      </c>
      <c r="B92" s="847" t="s">
        <v>2249</v>
      </c>
      <c r="C92" s="847" t="s">
        <v>2250</v>
      </c>
      <c r="D92" s="847" t="s">
        <v>85</v>
      </c>
      <c r="E92" s="848">
        <v>83</v>
      </c>
      <c r="F92" s="849"/>
      <c r="G92" s="849"/>
      <c r="H92" s="849"/>
      <c r="I92" s="849"/>
      <c r="J92" s="905">
        <v>2.9999999999999997E-4</v>
      </c>
      <c r="K92" s="848">
        <v>2.4899999999999999E-2</v>
      </c>
    </row>
    <row r="93" spans="1:11" s="374" customFormat="1" ht="13.5" customHeight="1">
      <c r="A93" s="887"/>
      <c r="B93" s="888"/>
      <c r="C93" s="888" t="s">
        <v>2198</v>
      </c>
      <c r="D93" s="888"/>
      <c r="E93" s="889">
        <v>83</v>
      </c>
      <c r="F93" s="890"/>
      <c r="G93" s="890"/>
      <c r="H93" s="890"/>
      <c r="I93" s="890"/>
      <c r="J93" s="891"/>
      <c r="K93" s="889"/>
    </row>
    <row r="94" spans="1:11" s="374" customFormat="1" ht="13.5" customHeight="1">
      <c r="A94" s="919">
        <v>41</v>
      </c>
      <c r="B94" s="847" t="s">
        <v>2251</v>
      </c>
      <c r="C94" s="847" t="s">
        <v>2252</v>
      </c>
      <c r="D94" s="847" t="s">
        <v>19</v>
      </c>
      <c r="E94" s="848">
        <v>200</v>
      </c>
      <c r="F94" s="849"/>
      <c r="G94" s="849"/>
      <c r="H94" s="849"/>
      <c r="I94" s="849"/>
      <c r="J94" s="905">
        <v>0</v>
      </c>
      <c r="K94" s="848">
        <v>0</v>
      </c>
    </row>
    <row r="95" spans="1:11" s="374" customFormat="1" ht="13.5" customHeight="1">
      <c r="A95" s="887"/>
      <c r="B95" s="888"/>
      <c r="C95" s="888" t="s">
        <v>2253</v>
      </c>
      <c r="D95" s="888"/>
      <c r="E95" s="889">
        <v>200</v>
      </c>
      <c r="F95" s="890"/>
      <c r="G95" s="890"/>
      <c r="H95" s="890"/>
      <c r="I95" s="890"/>
      <c r="J95" s="891"/>
      <c r="K95" s="889"/>
    </row>
    <row r="96" spans="1:11" s="374" customFormat="1" ht="24" customHeight="1">
      <c r="A96" s="919">
        <v>42</v>
      </c>
      <c r="B96" s="847" t="s">
        <v>2254</v>
      </c>
      <c r="C96" s="847" t="s">
        <v>2568</v>
      </c>
      <c r="D96" s="847" t="s">
        <v>19</v>
      </c>
      <c r="E96" s="848">
        <v>3</v>
      </c>
      <c r="F96" s="849"/>
      <c r="G96" s="849"/>
      <c r="H96" s="849"/>
      <c r="I96" s="849"/>
      <c r="J96" s="905">
        <v>8.0000000000000002E-3</v>
      </c>
      <c r="K96" s="848">
        <v>2.4E-2</v>
      </c>
    </row>
    <row r="97" spans="1:11" s="374" customFormat="1" ht="13.5" customHeight="1">
      <c r="A97" s="887"/>
      <c r="B97" s="888"/>
      <c r="C97" s="888" t="s">
        <v>2090</v>
      </c>
      <c r="D97" s="888"/>
      <c r="E97" s="889">
        <v>3</v>
      </c>
      <c r="F97" s="890"/>
      <c r="G97" s="890"/>
      <c r="H97" s="890"/>
      <c r="I97" s="890"/>
      <c r="J97" s="891"/>
      <c r="K97" s="889"/>
    </row>
    <row r="98" spans="1:11" s="374" customFormat="1" ht="13.5" customHeight="1">
      <c r="A98" s="919">
        <v>43</v>
      </c>
      <c r="B98" s="847" t="s">
        <v>2255</v>
      </c>
      <c r="C98" s="847" t="s">
        <v>2569</v>
      </c>
      <c r="D98" s="847" t="s">
        <v>19</v>
      </c>
      <c r="E98" s="848">
        <v>4</v>
      </c>
      <c r="F98" s="849"/>
      <c r="G98" s="849"/>
      <c r="H98" s="849"/>
      <c r="I98" s="849"/>
      <c r="J98" s="905">
        <v>8.0000000000000002E-3</v>
      </c>
      <c r="K98" s="848">
        <v>3.2000000000000001E-2</v>
      </c>
    </row>
    <row r="99" spans="1:11" s="374" customFormat="1" ht="13.5" customHeight="1">
      <c r="A99" s="887"/>
      <c r="B99" s="888"/>
      <c r="C99" s="888" t="s">
        <v>2124</v>
      </c>
      <c r="D99" s="888"/>
      <c r="E99" s="889">
        <v>4</v>
      </c>
      <c r="F99" s="890"/>
      <c r="G99" s="890"/>
      <c r="H99" s="890"/>
      <c r="I99" s="890"/>
      <c r="J99" s="891"/>
      <c r="K99" s="889"/>
    </row>
    <row r="100" spans="1:11" s="374" customFormat="1" ht="13.5" customHeight="1">
      <c r="A100" s="919">
        <v>44</v>
      </c>
      <c r="B100" s="847" t="s">
        <v>2279</v>
      </c>
      <c r="C100" s="847" t="s">
        <v>2570</v>
      </c>
      <c r="D100" s="847" t="s">
        <v>19</v>
      </c>
      <c r="E100" s="848">
        <v>116</v>
      </c>
      <c r="F100" s="849"/>
      <c r="G100" s="849"/>
      <c r="H100" s="849"/>
      <c r="I100" s="849"/>
      <c r="J100" s="905">
        <v>4.0000000000000002E-4</v>
      </c>
      <c r="K100" s="848">
        <v>4.6399999999999997E-2</v>
      </c>
    </row>
    <row r="101" spans="1:11" s="374" customFormat="1" ht="13.5" customHeight="1">
      <c r="A101" s="887"/>
      <c r="B101" s="888"/>
      <c r="C101" s="888" t="s">
        <v>2280</v>
      </c>
      <c r="D101" s="888"/>
      <c r="E101" s="889">
        <v>116</v>
      </c>
      <c r="F101" s="890"/>
      <c r="G101" s="890"/>
      <c r="H101" s="890"/>
      <c r="I101" s="890"/>
      <c r="J101" s="891"/>
      <c r="K101" s="889"/>
    </row>
    <row r="102" spans="1:11" s="374" customFormat="1" ht="13.5" customHeight="1">
      <c r="A102" s="919">
        <v>45</v>
      </c>
      <c r="B102" s="847" t="s">
        <v>2281</v>
      </c>
      <c r="C102" s="847" t="s">
        <v>2571</v>
      </c>
      <c r="D102" s="847" t="s">
        <v>19</v>
      </c>
      <c r="E102" s="848">
        <v>25</v>
      </c>
      <c r="F102" s="849"/>
      <c r="G102" s="849"/>
      <c r="H102" s="849"/>
      <c r="I102" s="849"/>
      <c r="J102" s="905">
        <v>4.0000000000000002E-4</v>
      </c>
      <c r="K102" s="848">
        <v>0.01</v>
      </c>
    </row>
    <row r="103" spans="1:11" s="374" customFormat="1" ht="13.5" customHeight="1">
      <c r="A103" s="887"/>
      <c r="B103" s="888"/>
      <c r="C103" s="888" t="s">
        <v>2282</v>
      </c>
      <c r="D103" s="888"/>
      <c r="E103" s="889">
        <v>25</v>
      </c>
      <c r="F103" s="890"/>
      <c r="G103" s="890"/>
      <c r="H103" s="890"/>
      <c r="I103" s="890"/>
      <c r="J103" s="891"/>
      <c r="K103" s="889"/>
    </row>
    <row r="104" spans="1:11" s="374" customFormat="1" ht="13.5" customHeight="1">
      <c r="A104" s="919">
        <v>46</v>
      </c>
      <c r="B104" s="847" t="s">
        <v>2283</v>
      </c>
      <c r="C104" s="847" t="s">
        <v>2572</v>
      </c>
      <c r="D104" s="847" t="s">
        <v>19</v>
      </c>
      <c r="E104" s="848">
        <v>54</v>
      </c>
      <c r="F104" s="849"/>
      <c r="G104" s="849"/>
      <c r="H104" s="849"/>
      <c r="I104" s="849"/>
      <c r="J104" s="905">
        <v>4.0000000000000002E-4</v>
      </c>
      <c r="K104" s="848">
        <v>2.1600000000000001E-2</v>
      </c>
    </row>
    <row r="105" spans="1:11" s="374" customFormat="1" ht="13.5" customHeight="1">
      <c r="A105" s="919">
        <v>47</v>
      </c>
      <c r="B105" s="847" t="s">
        <v>2305</v>
      </c>
      <c r="C105" s="847" t="s">
        <v>2573</v>
      </c>
      <c r="D105" s="847" t="s">
        <v>19</v>
      </c>
      <c r="E105" s="848">
        <v>25</v>
      </c>
      <c r="F105" s="849"/>
      <c r="G105" s="849"/>
      <c r="H105" s="849"/>
      <c r="I105" s="849"/>
      <c r="J105" s="905">
        <v>2.9999999999999997E-4</v>
      </c>
      <c r="K105" s="848">
        <v>7.4999999999999997E-3</v>
      </c>
    </row>
    <row r="106" spans="1:11" s="374" customFormat="1" ht="13.5" customHeight="1">
      <c r="A106" s="887"/>
      <c r="B106" s="888"/>
      <c r="C106" s="888" t="s">
        <v>2282</v>
      </c>
      <c r="D106" s="888"/>
      <c r="E106" s="889">
        <v>25</v>
      </c>
      <c r="F106" s="890"/>
      <c r="G106" s="890"/>
      <c r="H106" s="890"/>
      <c r="I106" s="890"/>
      <c r="J106" s="891"/>
      <c r="K106" s="889"/>
    </row>
    <row r="107" spans="1:11" s="374" customFormat="1" ht="13.5" customHeight="1">
      <c r="A107" s="919">
        <v>48</v>
      </c>
      <c r="B107" s="847" t="s">
        <v>2306</v>
      </c>
      <c r="C107" s="847" t="s">
        <v>2574</v>
      </c>
      <c r="D107" s="847" t="s">
        <v>19</v>
      </c>
      <c r="E107" s="848">
        <v>45</v>
      </c>
      <c r="F107" s="849"/>
      <c r="G107" s="849"/>
      <c r="H107" s="849"/>
      <c r="I107" s="849"/>
      <c r="J107" s="905">
        <v>2.9999999999999997E-4</v>
      </c>
      <c r="K107" s="848">
        <v>1.35E-2</v>
      </c>
    </row>
    <row r="108" spans="1:11" s="374" customFormat="1" ht="13.5" customHeight="1">
      <c r="A108" s="887"/>
      <c r="B108" s="888"/>
      <c r="C108" s="888" t="s">
        <v>2307</v>
      </c>
      <c r="D108" s="888"/>
      <c r="E108" s="889">
        <v>45</v>
      </c>
      <c r="F108" s="890"/>
      <c r="G108" s="890"/>
      <c r="H108" s="890"/>
      <c r="I108" s="890"/>
      <c r="J108" s="891"/>
      <c r="K108" s="889"/>
    </row>
    <row r="109" spans="1:11" s="374" customFormat="1" ht="13.5" customHeight="1">
      <c r="A109" s="919">
        <v>49</v>
      </c>
      <c r="B109" s="847" t="s">
        <v>2308</v>
      </c>
      <c r="C109" s="847" t="s">
        <v>2575</v>
      </c>
      <c r="D109" s="847" t="s">
        <v>19</v>
      </c>
      <c r="E109" s="848">
        <v>20</v>
      </c>
      <c r="F109" s="849"/>
      <c r="G109" s="849"/>
      <c r="H109" s="849"/>
      <c r="I109" s="849"/>
      <c r="J109" s="905">
        <v>2.9999999999999997E-4</v>
      </c>
      <c r="K109" s="848">
        <v>6.0000000000000001E-3</v>
      </c>
    </row>
    <row r="110" spans="1:11" s="374" customFormat="1" ht="13.5" customHeight="1">
      <c r="A110" s="887"/>
      <c r="B110" s="888"/>
      <c r="C110" s="888" t="s">
        <v>2309</v>
      </c>
      <c r="D110" s="888"/>
      <c r="E110" s="889">
        <v>20</v>
      </c>
      <c r="F110" s="890"/>
      <c r="G110" s="890"/>
      <c r="H110" s="890"/>
      <c r="I110" s="890"/>
      <c r="J110" s="891"/>
      <c r="K110" s="889"/>
    </row>
    <row r="111" spans="1:11" s="374" customFormat="1" ht="24" customHeight="1">
      <c r="A111" s="919">
        <v>50</v>
      </c>
      <c r="B111" s="847" t="s">
        <v>2284</v>
      </c>
      <c r="C111" s="847" t="s">
        <v>2576</v>
      </c>
      <c r="D111" s="847" t="s">
        <v>19</v>
      </c>
      <c r="E111" s="848">
        <v>15</v>
      </c>
      <c r="F111" s="849"/>
      <c r="G111" s="849"/>
      <c r="H111" s="849"/>
      <c r="I111" s="849"/>
      <c r="J111" s="905">
        <v>4.0000000000000002E-4</v>
      </c>
      <c r="K111" s="848">
        <v>6.0000000000000001E-3</v>
      </c>
    </row>
    <row r="112" spans="1:11" s="374" customFormat="1" ht="13.5" customHeight="1">
      <c r="A112" s="887"/>
      <c r="B112" s="888"/>
      <c r="C112" s="888" t="s">
        <v>2285</v>
      </c>
      <c r="D112" s="888"/>
      <c r="E112" s="889">
        <v>15</v>
      </c>
      <c r="F112" s="890"/>
      <c r="G112" s="890"/>
      <c r="H112" s="890"/>
      <c r="I112" s="890"/>
      <c r="J112" s="891"/>
      <c r="K112" s="889"/>
    </row>
    <row r="113" spans="1:11" s="374" customFormat="1" ht="13.5" customHeight="1">
      <c r="A113" s="919">
        <v>51</v>
      </c>
      <c r="B113" s="847" t="s">
        <v>2286</v>
      </c>
      <c r="C113" s="847" t="s">
        <v>2577</v>
      </c>
      <c r="D113" s="847" t="s">
        <v>19</v>
      </c>
      <c r="E113" s="848">
        <v>168</v>
      </c>
      <c r="F113" s="849"/>
      <c r="G113" s="849"/>
      <c r="H113" s="849"/>
      <c r="I113" s="849"/>
      <c r="J113" s="905">
        <v>4.0000000000000002E-4</v>
      </c>
      <c r="K113" s="848">
        <v>6.7199999999999996E-2</v>
      </c>
    </row>
    <row r="114" spans="1:11" s="374" customFormat="1" ht="24" customHeight="1">
      <c r="A114" s="887"/>
      <c r="B114" s="888"/>
      <c r="C114" s="888" t="s">
        <v>2287</v>
      </c>
      <c r="D114" s="888"/>
      <c r="E114" s="889">
        <v>168</v>
      </c>
      <c r="F114" s="890"/>
      <c r="G114" s="890"/>
      <c r="H114" s="890"/>
      <c r="I114" s="890"/>
      <c r="J114" s="891"/>
      <c r="K114" s="889"/>
    </row>
    <row r="115" spans="1:11" s="374" customFormat="1" ht="13.5" customHeight="1">
      <c r="A115" s="919">
        <v>52</v>
      </c>
      <c r="B115" s="847" t="s">
        <v>2256</v>
      </c>
      <c r="C115" s="847" t="s">
        <v>2257</v>
      </c>
      <c r="D115" s="847" t="s">
        <v>14</v>
      </c>
      <c r="E115" s="848">
        <v>124</v>
      </c>
      <c r="F115" s="849"/>
      <c r="G115" s="849"/>
      <c r="H115" s="849"/>
      <c r="I115" s="849"/>
      <c r="J115" s="905">
        <v>2.9999999999999997E-4</v>
      </c>
      <c r="K115" s="848">
        <v>3.7199999999999997E-2</v>
      </c>
    </row>
    <row r="116" spans="1:11" s="374" customFormat="1" ht="24" customHeight="1">
      <c r="A116" s="919">
        <v>53</v>
      </c>
      <c r="B116" s="847" t="s">
        <v>2258</v>
      </c>
      <c r="C116" s="847" t="s">
        <v>2259</v>
      </c>
      <c r="D116" s="847" t="s">
        <v>14</v>
      </c>
      <c r="E116" s="848">
        <v>12</v>
      </c>
      <c r="F116" s="849"/>
      <c r="G116" s="849"/>
      <c r="H116" s="849"/>
      <c r="I116" s="849"/>
      <c r="J116" s="905">
        <v>2.9999999999999997E-4</v>
      </c>
      <c r="K116" s="848">
        <v>3.5999999999999999E-3</v>
      </c>
    </row>
    <row r="117" spans="1:11" s="374" customFormat="1" ht="13.5" customHeight="1">
      <c r="A117" s="919">
        <v>54</v>
      </c>
      <c r="B117" s="847" t="s">
        <v>2260</v>
      </c>
      <c r="C117" s="847" t="s">
        <v>2261</v>
      </c>
      <c r="D117" s="847" t="s">
        <v>19</v>
      </c>
      <c r="E117" s="848">
        <v>255</v>
      </c>
      <c r="F117" s="849"/>
      <c r="G117" s="849"/>
      <c r="H117" s="849"/>
      <c r="I117" s="849"/>
      <c r="J117" s="905">
        <v>1E-4</v>
      </c>
      <c r="K117" s="848">
        <v>2.5499999999999998E-2</v>
      </c>
    </row>
    <row r="118" spans="1:11" s="374" customFormat="1" ht="24" customHeight="1">
      <c r="A118" s="887"/>
      <c r="B118" s="888"/>
      <c r="C118" s="888" t="s">
        <v>2262</v>
      </c>
      <c r="D118" s="888"/>
      <c r="E118" s="889">
        <v>255</v>
      </c>
      <c r="F118" s="890"/>
      <c r="G118" s="890"/>
      <c r="H118" s="890"/>
      <c r="I118" s="890"/>
      <c r="J118" s="891"/>
      <c r="K118" s="889"/>
    </row>
    <row r="119" spans="1:11" s="374" customFormat="1" ht="24" customHeight="1">
      <c r="A119" s="919">
        <v>55</v>
      </c>
      <c r="B119" s="847" t="s">
        <v>2288</v>
      </c>
      <c r="C119" s="847" t="s">
        <v>2289</v>
      </c>
      <c r="D119" s="847" t="s">
        <v>19</v>
      </c>
      <c r="E119" s="848">
        <v>49</v>
      </c>
      <c r="F119" s="849"/>
      <c r="G119" s="849"/>
      <c r="H119" s="849"/>
      <c r="I119" s="849"/>
      <c r="J119" s="905">
        <v>4.0000000000000002E-4</v>
      </c>
      <c r="K119" s="848">
        <v>1.9599999999999999E-2</v>
      </c>
    </row>
    <row r="120" spans="1:11" s="374" customFormat="1" ht="13.5" customHeight="1">
      <c r="A120" s="887"/>
      <c r="B120" s="888"/>
      <c r="C120" s="888" t="s">
        <v>2290</v>
      </c>
      <c r="D120" s="888"/>
      <c r="E120" s="889">
        <v>49</v>
      </c>
      <c r="F120" s="890"/>
      <c r="G120" s="890"/>
      <c r="H120" s="890"/>
      <c r="I120" s="890"/>
      <c r="J120" s="891"/>
      <c r="K120" s="889"/>
    </row>
    <row r="121" spans="1:11" s="374" customFormat="1" ht="24" customHeight="1">
      <c r="A121" s="919">
        <v>56</v>
      </c>
      <c r="B121" s="847" t="s">
        <v>2291</v>
      </c>
      <c r="C121" s="847" t="s">
        <v>2292</v>
      </c>
      <c r="D121" s="847" t="s">
        <v>19</v>
      </c>
      <c r="E121" s="848">
        <v>284</v>
      </c>
      <c r="F121" s="849"/>
      <c r="G121" s="849"/>
      <c r="H121" s="849"/>
      <c r="I121" s="849"/>
      <c r="J121" s="905">
        <v>4.0000000000000002E-4</v>
      </c>
      <c r="K121" s="848">
        <v>0.11360000000000001</v>
      </c>
    </row>
    <row r="122" spans="1:11" s="374" customFormat="1" ht="13.5" customHeight="1">
      <c r="A122" s="887"/>
      <c r="B122" s="888"/>
      <c r="C122" s="888" t="s">
        <v>2293</v>
      </c>
      <c r="D122" s="888"/>
      <c r="E122" s="889">
        <v>284</v>
      </c>
      <c r="F122" s="890"/>
      <c r="G122" s="890"/>
      <c r="H122" s="890"/>
      <c r="I122" s="890"/>
      <c r="J122" s="891"/>
      <c r="K122" s="889"/>
    </row>
    <row r="123" spans="1:11" s="374" customFormat="1" ht="24" customHeight="1">
      <c r="A123" s="919">
        <v>57</v>
      </c>
      <c r="B123" s="847" t="s">
        <v>2294</v>
      </c>
      <c r="C123" s="847" t="s">
        <v>2295</v>
      </c>
      <c r="D123" s="847" t="s">
        <v>19</v>
      </c>
      <c r="E123" s="848">
        <v>155</v>
      </c>
      <c r="F123" s="849"/>
      <c r="G123" s="849"/>
      <c r="H123" s="849"/>
      <c r="I123" s="849"/>
      <c r="J123" s="905">
        <v>4.0000000000000002E-4</v>
      </c>
      <c r="K123" s="848">
        <v>6.2E-2</v>
      </c>
    </row>
    <row r="124" spans="1:11" s="374" customFormat="1" ht="13.5" customHeight="1">
      <c r="A124" s="887"/>
      <c r="B124" s="888"/>
      <c r="C124" s="888" t="s">
        <v>2296</v>
      </c>
      <c r="D124" s="888"/>
      <c r="E124" s="889">
        <v>155</v>
      </c>
      <c r="F124" s="890"/>
      <c r="G124" s="890"/>
      <c r="H124" s="890"/>
      <c r="I124" s="890"/>
      <c r="J124" s="891"/>
      <c r="K124" s="889"/>
    </row>
    <row r="125" spans="1:11" s="374" customFormat="1" ht="24" customHeight="1">
      <c r="A125" s="919">
        <v>58</v>
      </c>
      <c r="B125" s="847" t="s">
        <v>2281</v>
      </c>
      <c r="C125" s="847" t="s">
        <v>2297</v>
      </c>
      <c r="D125" s="847" t="s">
        <v>19</v>
      </c>
      <c r="E125" s="848">
        <v>77</v>
      </c>
      <c r="F125" s="849"/>
      <c r="G125" s="849"/>
      <c r="H125" s="849"/>
      <c r="I125" s="849"/>
      <c r="J125" s="905">
        <v>4.0000000000000002E-4</v>
      </c>
      <c r="K125" s="848">
        <v>3.0800000000000001E-2</v>
      </c>
    </row>
    <row r="126" spans="1:11" s="374" customFormat="1" ht="13.5" customHeight="1">
      <c r="A126" s="887"/>
      <c r="B126" s="888"/>
      <c r="C126" s="888" t="s">
        <v>2298</v>
      </c>
      <c r="D126" s="888"/>
      <c r="E126" s="889">
        <v>77</v>
      </c>
      <c r="F126" s="890"/>
      <c r="G126" s="890"/>
      <c r="H126" s="890"/>
      <c r="I126" s="890"/>
      <c r="J126" s="891"/>
      <c r="K126" s="889"/>
    </row>
    <row r="127" spans="1:11" s="374" customFormat="1" ht="24" customHeight="1">
      <c r="A127" s="919">
        <v>59</v>
      </c>
      <c r="B127" s="847" t="s">
        <v>2299</v>
      </c>
      <c r="C127" s="847" t="s">
        <v>2300</v>
      </c>
      <c r="D127" s="847" t="s">
        <v>19</v>
      </c>
      <c r="E127" s="848">
        <v>50</v>
      </c>
      <c r="F127" s="849"/>
      <c r="G127" s="849"/>
      <c r="H127" s="849"/>
      <c r="I127" s="849"/>
      <c r="J127" s="905">
        <v>4.0000000000000002E-4</v>
      </c>
      <c r="K127" s="848">
        <v>0.02</v>
      </c>
    </row>
    <row r="128" spans="1:11" s="374" customFormat="1" ht="13.5" customHeight="1">
      <c r="A128" s="887"/>
      <c r="B128" s="888"/>
      <c r="C128" s="888" t="s">
        <v>2301</v>
      </c>
      <c r="D128" s="888"/>
      <c r="E128" s="889">
        <v>50</v>
      </c>
      <c r="F128" s="890"/>
      <c r="G128" s="890"/>
      <c r="H128" s="890"/>
      <c r="I128" s="890"/>
      <c r="J128" s="891"/>
      <c r="K128" s="889"/>
    </row>
    <row r="129" spans="1:11" s="374" customFormat="1" ht="24" customHeight="1">
      <c r="A129" s="919">
        <v>60</v>
      </c>
      <c r="B129" s="847" t="s">
        <v>2302</v>
      </c>
      <c r="C129" s="847" t="s">
        <v>2303</v>
      </c>
      <c r="D129" s="847" t="s">
        <v>19</v>
      </c>
      <c r="E129" s="848">
        <v>26</v>
      </c>
      <c r="F129" s="849"/>
      <c r="G129" s="849"/>
      <c r="H129" s="849"/>
      <c r="I129" s="849"/>
      <c r="J129" s="905">
        <v>4.0000000000000002E-4</v>
      </c>
      <c r="K129" s="848">
        <v>1.04E-2</v>
      </c>
    </row>
    <row r="130" spans="1:11" s="374" customFormat="1" ht="13.5" customHeight="1">
      <c r="A130" s="887"/>
      <c r="B130" s="888"/>
      <c r="C130" s="888" t="s">
        <v>2304</v>
      </c>
      <c r="D130" s="888"/>
      <c r="E130" s="889">
        <v>26</v>
      </c>
      <c r="F130" s="890"/>
      <c r="G130" s="890"/>
      <c r="H130" s="890"/>
      <c r="I130" s="890"/>
      <c r="J130" s="891"/>
      <c r="K130" s="889"/>
    </row>
    <row r="131" spans="1:11" s="374" customFormat="1" ht="24" customHeight="1">
      <c r="A131" s="918">
        <v>61</v>
      </c>
      <c r="B131" s="883" t="s">
        <v>2263</v>
      </c>
      <c r="C131" s="883" t="s">
        <v>2264</v>
      </c>
      <c r="D131" s="883" t="s">
        <v>13</v>
      </c>
      <c r="E131" s="884">
        <v>13</v>
      </c>
      <c r="F131" s="885"/>
      <c r="G131" s="885"/>
      <c r="H131" s="885"/>
      <c r="I131" s="885"/>
      <c r="J131" s="886">
        <v>2.0000000000000001E-4</v>
      </c>
      <c r="K131" s="884">
        <v>2.5999999999999999E-3</v>
      </c>
    </row>
    <row r="132" spans="1:11" s="374" customFormat="1" ht="13.5" customHeight="1">
      <c r="A132" s="887"/>
      <c r="B132" s="888"/>
      <c r="C132" s="888" t="s">
        <v>2265</v>
      </c>
      <c r="D132" s="888"/>
      <c r="E132" s="889">
        <v>13</v>
      </c>
      <c r="F132" s="890"/>
      <c r="G132" s="890"/>
      <c r="H132" s="890"/>
      <c r="I132" s="890"/>
      <c r="J132" s="891"/>
      <c r="K132" s="889"/>
    </row>
    <row r="133" spans="1:11" s="374" customFormat="1" ht="24" customHeight="1">
      <c r="A133" s="919">
        <v>62</v>
      </c>
      <c r="B133" s="847" t="s">
        <v>2266</v>
      </c>
      <c r="C133" s="847" t="s">
        <v>2267</v>
      </c>
      <c r="D133" s="847" t="s">
        <v>13</v>
      </c>
      <c r="E133" s="848">
        <v>13</v>
      </c>
      <c r="F133" s="849"/>
      <c r="G133" s="849"/>
      <c r="H133" s="849"/>
      <c r="I133" s="849"/>
      <c r="J133" s="905">
        <v>8.0000000000000002E-3</v>
      </c>
      <c r="K133" s="848">
        <v>0.104</v>
      </c>
    </row>
    <row r="134" spans="1:11" s="374" customFormat="1" ht="13.5" customHeight="1">
      <c r="A134" s="887"/>
      <c r="B134" s="888"/>
      <c r="C134" s="888" t="s">
        <v>2265</v>
      </c>
      <c r="D134" s="888"/>
      <c r="E134" s="889">
        <v>13</v>
      </c>
      <c r="F134" s="890"/>
      <c r="G134" s="890"/>
      <c r="H134" s="890"/>
      <c r="I134" s="890"/>
      <c r="J134" s="891"/>
      <c r="K134" s="889"/>
    </row>
    <row r="135" spans="1:11" s="374" customFormat="1" ht="24" customHeight="1">
      <c r="A135" s="919">
        <v>63</v>
      </c>
      <c r="B135" s="847" t="s">
        <v>2268</v>
      </c>
      <c r="C135" s="847" t="s">
        <v>2269</v>
      </c>
      <c r="D135" s="847" t="s">
        <v>2270</v>
      </c>
      <c r="E135" s="848">
        <v>113</v>
      </c>
      <c r="F135" s="849"/>
      <c r="G135" s="849"/>
      <c r="H135" s="849"/>
      <c r="I135" s="849"/>
      <c r="J135" s="905">
        <v>1E-4</v>
      </c>
      <c r="K135" s="848">
        <v>1.1299999999999999E-2</v>
      </c>
    </row>
    <row r="136" spans="1:11" s="374" customFormat="1" ht="13.5" customHeight="1">
      <c r="A136" s="887"/>
      <c r="B136" s="888"/>
      <c r="C136" s="888" t="s">
        <v>2237</v>
      </c>
      <c r="D136" s="888"/>
      <c r="E136" s="889">
        <v>113</v>
      </c>
      <c r="F136" s="890"/>
      <c r="G136" s="890"/>
      <c r="H136" s="890"/>
      <c r="I136" s="890"/>
      <c r="J136" s="891"/>
      <c r="K136" s="889"/>
    </row>
    <row r="137" spans="1:11" s="374" customFormat="1" ht="24" customHeight="1">
      <c r="A137" s="918">
        <v>64</v>
      </c>
      <c r="B137" s="883" t="s">
        <v>2271</v>
      </c>
      <c r="C137" s="883" t="s">
        <v>2272</v>
      </c>
      <c r="D137" s="883" t="s">
        <v>13</v>
      </c>
      <c r="E137" s="884">
        <v>13</v>
      </c>
      <c r="F137" s="885"/>
      <c r="G137" s="885"/>
      <c r="H137" s="885"/>
      <c r="I137" s="885"/>
      <c r="J137" s="886">
        <v>0</v>
      </c>
      <c r="K137" s="884">
        <v>0</v>
      </c>
    </row>
    <row r="138" spans="1:11" s="374" customFormat="1" ht="13.5" customHeight="1">
      <c r="A138" s="887"/>
      <c r="B138" s="888"/>
      <c r="C138" s="888" t="s">
        <v>2265</v>
      </c>
      <c r="D138" s="888"/>
      <c r="E138" s="889">
        <v>13</v>
      </c>
      <c r="F138" s="890"/>
      <c r="G138" s="890"/>
      <c r="H138" s="890"/>
      <c r="I138" s="890"/>
      <c r="J138" s="891"/>
      <c r="K138" s="889"/>
    </row>
    <row r="139" spans="1:11" s="374" customFormat="1" ht="13.5" customHeight="1">
      <c r="A139" s="919">
        <v>65</v>
      </c>
      <c r="B139" s="847" t="s">
        <v>2273</v>
      </c>
      <c r="C139" s="847" t="s">
        <v>2274</v>
      </c>
      <c r="D139" s="847" t="s">
        <v>15</v>
      </c>
      <c r="E139" s="848">
        <v>1.1180000000000001</v>
      </c>
      <c r="F139" s="849"/>
      <c r="G139" s="849"/>
      <c r="H139" s="849"/>
      <c r="I139" s="849"/>
      <c r="J139" s="905">
        <v>1</v>
      </c>
      <c r="K139" s="848">
        <v>1.1180000000000001</v>
      </c>
    </row>
    <row r="140" spans="1:11" s="374" customFormat="1" ht="13.5" customHeight="1">
      <c r="A140" s="881"/>
      <c r="B140" s="837" t="s">
        <v>1074</v>
      </c>
      <c r="C140" s="837" t="s">
        <v>2558</v>
      </c>
      <c r="D140" s="837"/>
      <c r="E140" s="838"/>
      <c r="F140" s="839"/>
      <c r="G140" s="839">
        <f>SUM(G141:G144)</f>
        <v>0</v>
      </c>
      <c r="H140" s="839">
        <f t="shared" ref="H140:I140" si="2">SUM(H141:H144)</f>
        <v>0</v>
      </c>
      <c r="I140" s="839">
        <f t="shared" si="2"/>
        <v>0</v>
      </c>
      <c r="J140" s="882"/>
      <c r="K140" s="838">
        <v>0.15620000000000001</v>
      </c>
    </row>
    <row r="141" spans="1:11" s="374" customFormat="1" ht="24" customHeight="1">
      <c r="A141" s="918">
        <v>66</v>
      </c>
      <c r="B141" s="883" t="s">
        <v>2275</v>
      </c>
      <c r="C141" s="883" t="s">
        <v>2276</v>
      </c>
      <c r="D141" s="883" t="s">
        <v>13</v>
      </c>
      <c r="E141" s="884">
        <v>60</v>
      </c>
      <c r="F141" s="885"/>
      <c r="G141" s="885"/>
      <c r="H141" s="885"/>
      <c r="I141" s="885"/>
      <c r="J141" s="886">
        <v>2.7E-4</v>
      </c>
      <c r="K141" s="884">
        <v>1.6199999999999999E-2</v>
      </c>
    </row>
    <row r="142" spans="1:11" s="374" customFormat="1" ht="30.75" customHeight="1">
      <c r="A142" s="887"/>
      <c r="B142" s="888"/>
      <c r="C142" s="888" t="s">
        <v>2277</v>
      </c>
      <c r="D142" s="888"/>
      <c r="E142" s="889">
        <v>60</v>
      </c>
      <c r="F142" s="890"/>
      <c r="G142" s="890"/>
      <c r="H142" s="890"/>
      <c r="I142" s="890"/>
      <c r="J142" s="891"/>
      <c r="K142" s="889"/>
    </row>
    <row r="143" spans="1:11">
      <c r="A143" s="919">
        <v>67</v>
      </c>
      <c r="B143" s="847" t="s">
        <v>2278</v>
      </c>
      <c r="C143" s="847" t="s">
        <v>2578</v>
      </c>
      <c r="D143" s="847" t="s">
        <v>13</v>
      </c>
      <c r="E143" s="848">
        <v>60</v>
      </c>
      <c r="F143" s="849"/>
      <c r="G143" s="849"/>
      <c r="H143" s="849"/>
      <c r="I143" s="849"/>
      <c r="J143" s="905">
        <v>2.2499999999999998E-3</v>
      </c>
      <c r="K143" s="848">
        <v>0.13500000000000001</v>
      </c>
    </row>
    <row r="144" spans="1:11" ht="22.5">
      <c r="A144" s="919">
        <v>68</v>
      </c>
      <c r="B144" s="847" t="s">
        <v>2579</v>
      </c>
      <c r="C144" s="847" t="s">
        <v>2580</v>
      </c>
      <c r="D144" s="847" t="s">
        <v>2240</v>
      </c>
      <c r="E144" s="848">
        <v>50</v>
      </c>
      <c r="F144" s="849"/>
      <c r="G144" s="849"/>
      <c r="H144" s="849"/>
      <c r="I144" s="849"/>
      <c r="J144" s="905">
        <v>1E-4</v>
      </c>
      <c r="K144" s="848">
        <v>5.0000000000000001E-3</v>
      </c>
    </row>
    <row r="145" spans="1:11">
      <c r="A145" s="920"/>
      <c r="B145" s="863"/>
      <c r="C145" s="863" t="s">
        <v>2581</v>
      </c>
      <c r="D145" s="863"/>
      <c r="E145" s="864"/>
      <c r="F145" s="865"/>
      <c r="G145" s="865"/>
      <c r="H145" s="865"/>
      <c r="I145" s="865"/>
      <c r="J145" s="921"/>
      <c r="K145" s="864"/>
    </row>
    <row r="146" spans="1:11">
      <c r="A146" s="881"/>
      <c r="B146" s="837" t="s">
        <v>1606</v>
      </c>
      <c r="C146" s="837" t="s">
        <v>1904</v>
      </c>
      <c r="D146" s="837"/>
      <c r="E146" s="838"/>
      <c r="F146" s="839"/>
      <c r="G146" s="839">
        <f>SUM(G147)</f>
        <v>0</v>
      </c>
      <c r="H146" s="839">
        <f t="shared" ref="H146:I146" si="3">SUM(H147)</f>
        <v>0</v>
      </c>
      <c r="I146" s="839">
        <f t="shared" si="3"/>
        <v>0</v>
      </c>
      <c r="J146" s="882"/>
      <c r="K146" s="838">
        <v>0</v>
      </c>
    </row>
    <row r="147" spans="1:11" ht="22.5">
      <c r="A147" s="918">
        <v>69</v>
      </c>
      <c r="B147" s="883" t="s">
        <v>2310</v>
      </c>
      <c r="C147" s="883" t="s">
        <v>2311</v>
      </c>
      <c r="D147" s="883" t="s">
        <v>15</v>
      </c>
      <c r="E147" s="884">
        <v>167.52199999999999</v>
      </c>
      <c r="F147" s="885"/>
      <c r="G147" s="885"/>
      <c r="H147" s="885"/>
      <c r="I147" s="885"/>
      <c r="J147" s="886">
        <v>0</v>
      </c>
      <c r="K147" s="884">
        <v>0</v>
      </c>
    </row>
    <row r="148" spans="1:11">
      <c r="A148" s="892"/>
      <c r="B148" s="852"/>
      <c r="C148" s="852" t="s">
        <v>1910</v>
      </c>
      <c r="D148" s="852"/>
      <c r="E148" s="853"/>
      <c r="F148" s="854"/>
      <c r="G148" s="854">
        <f>G13</f>
        <v>0</v>
      </c>
      <c r="H148" s="854">
        <f t="shared" ref="H148:I148" si="4">H13</f>
        <v>0</v>
      </c>
      <c r="I148" s="854">
        <f t="shared" si="4"/>
        <v>0</v>
      </c>
      <c r="J148" s="893"/>
      <c r="K148" s="853">
        <v>167.52222900000001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scale="97" fitToHeight="4" orientation="landscape" horizontalDpi="4294967295" verticalDpi="4294967295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workbookViewId="0">
      <selection activeCell="C18" sqref="C18"/>
    </sheetView>
  </sheetViews>
  <sheetFormatPr defaultRowHeight="15"/>
  <cols>
    <col min="1" max="1" width="11.5703125" style="374" customWidth="1"/>
    <col min="2" max="2" width="46.85546875" style="374" customWidth="1"/>
    <col min="3" max="3" width="14.5703125" style="374" customWidth="1"/>
    <col min="4" max="5" width="12" style="374" customWidth="1"/>
    <col min="6" max="7" width="9.140625" style="336"/>
    <col min="8" max="8" width="14.28515625" style="336" customWidth="1"/>
    <col min="9" max="256" width="9.140625" style="336"/>
    <col min="257" max="257" width="8.7109375" style="336" customWidth="1"/>
    <col min="258" max="258" width="53.5703125" style="336" customWidth="1"/>
    <col min="259" max="259" width="12" style="336" customWidth="1"/>
    <col min="260" max="261" width="0" style="336" hidden="1" customWidth="1"/>
    <col min="262" max="512" width="9.140625" style="336"/>
    <col min="513" max="513" width="8.7109375" style="336" customWidth="1"/>
    <col min="514" max="514" width="53.5703125" style="336" customWidth="1"/>
    <col min="515" max="515" width="12" style="336" customWidth="1"/>
    <col min="516" max="517" width="0" style="336" hidden="1" customWidth="1"/>
    <col min="518" max="768" width="9.140625" style="336"/>
    <col min="769" max="769" width="8.7109375" style="336" customWidth="1"/>
    <col min="770" max="770" width="53.5703125" style="336" customWidth="1"/>
    <col min="771" max="771" width="12" style="336" customWidth="1"/>
    <col min="772" max="773" width="0" style="336" hidden="1" customWidth="1"/>
    <col min="774" max="1024" width="9.140625" style="336"/>
    <col min="1025" max="1025" width="8.7109375" style="336" customWidth="1"/>
    <col min="1026" max="1026" width="53.5703125" style="336" customWidth="1"/>
    <col min="1027" max="1027" width="12" style="336" customWidth="1"/>
    <col min="1028" max="1029" width="0" style="336" hidden="1" customWidth="1"/>
    <col min="1030" max="1280" width="9.140625" style="336"/>
    <col min="1281" max="1281" width="8.7109375" style="336" customWidth="1"/>
    <col min="1282" max="1282" width="53.5703125" style="336" customWidth="1"/>
    <col min="1283" max="1283" width="12" style="336" customWidth="1"/>
    <col min="1284" max="1285" width="0" style="336" hidden="1" customWidth="1"/>
    <col min="1286" max="1536" width="9.140625" style="336"/>
    <col min="1537" max="1537" width="8.7109375" style="336" customWidth="1"/>
    <col min="1538" max="1538" width="53.5703125" style="336" customWidth="1"/>
    <col min="1539" max="1539" width="12" style="336" customWidth="1"/>
    <col min="1540" max="1541" width="0" style="336" hidden="1" customWidth="1"/>
    <col min="1542" max="1792" width="9.140625" style="336"/>
    <col min="1793" max="1793" width="8.7109375" style="336" customWidth="1"/>
    <col min="1794" max="1794" width="53.5703125" style="336" customWidth="1"/>
    <col min="1795" max="1795" width="12" style="336" customWidth="1"/>
    <col min="1796" max="1797" width="0" style="336" hidden="1" customWidth="1"/>
    <col min="1798" max="2048" width="9.140625" style="336"/>
    <col min="2049" max="2049" width="8.7109375" style="336" customWidth="1"/>
    <col min="2050" max="2050" width="53.5703125" style="336" customWidth="1"/>
    <col min="2051" max="2051" width="12" style="336" customWidth="1"/>
    <col min="2052" max="2053" width="0" style="336" hidden="1" customWidth="1"/>
    <col min="2054" max="2304" width="9.140625" style="336"/>
    <col min="2305" max="2305" width="8.7109375" style="336" customWidth="1"/>
    <col min="2306" max="2306" width="53.5703125" style="336" customWidth="1"/>
    <col min="2307" max="2307" width="12" style="336" customWidth="1"/>
    <col min="2308" max="2309" width="0" style="336" hidden="1" customWidth="1"/>
    <col min="2310" max="2560" width="9.140625" style="336"/>
    <col min="2561" max="2561" width="8.7109375" style="336" customWidth="1"/>
    <col min="2562" max="2562" width="53.5703125" style="336" customWidth="1"/>
    <col min="2563" max="2563" width="12" style="336" customWidth="1"/>
    <col min="2564" max="2565" width="0" style="336" hidden="1" customWidth="1"/>
    <col min="2566" max="2816" width="9.140625" style="336"/>
    <col min="2817" max="2817" width="8.7109375" style="336" customWidth="1"/>
    <col min="2818" max="2818" width="53.5703125" style="336" customWidth="1"/>
    <col min="2819" max="2819" width="12" style="336" customWidth="1"/>
    <col min="2820" max="2821" width="0" style="336" hidden="1" customWidth="1"/>
    <col min="2822" max="3072" width="9.140625" style="336"/>
    <col min="3073" max="3073" width="8.7109375" style="336" customWidth="1"/>
    <col min="3074" max="3074" width="53.5703125" style="336" customWidth="1"/>
    <col min="3075" max="3075" width="12" style="336" customWidth="1"/>
    <col min="3076" max="3077" width="0" style="336" hidden="1" customWidth="1"/>
    <col min="3078" max="3328" width="9.140625" style="336"/>
    <col min="3329" max="3329" width="8.7109375" style="336" customWidth="1"/>
    <col min="3330" max="3330" width="53.5703125" style="336" customWidth="1"/>
    <col min="3331" max="3331" width="12" style="336" customWidth="1"/>
    <col min="3332" max="3333" width="0" style="336" hidden="1" customWidth="1"/>
    <col min="3334" max="3584" width="9.140625" style="336"/>
    <col min="3585" max="3585" width="8.7109375" style="336" customWidth="1"/>
    <col min="3586" max="3586" width="53.5703125" style="336" customWidth="1"/>
    <col min="3587" max="3587" width="12" style="336" customWidth="1"/>
    <col min="3588" max="3589" width="0" style="336" hidden="1" customWidth="1"/>
    <col min="3590" max="3840" width="9.140625" style="336"/>
    <col min="3841" max="3841" width="8.7109375" style="336" customWidth="1"/>
    <col min="3842" max="3842" width="53.5703125" style="336" customWidth="1"/>
    <col min="3843" max="3843" width="12" style="336" customWidth="1"/>
    <col min="3844" max="3845" width="0" style="336" hidden="1" customWidth="1"/>
    <col min="3846" max="4096" width="9.140625" style="336"/>
    <col min="4097" max="4097" width="8.7109375" style="336" customWidth="1"/>
    <col min="4098" max="4098" width="53.5703125" style="336" customWidth="1"/>
    <col min="4099" max="4099" width="12" style="336" customWidth="1"/>
    <col min="4100" max="4101" width="0" style="336" hidden="1" customWidth="1"/>
    <col min="4102" max="4352" width="9.140625" style="336"/>
    <col min="4353" max="4353" width="8.7109375" style="336" customWidth="1"/>
    <col min="4354" max="4354" width="53.5703125" style="336" customWidth="1"/>
    <col min="4355" max="4355" width="12" style="336" customWidth="1"/>
    <col min="4356" max="4357" width="0" style="336" hidden="1" customWidth="1"/>
    <col min="4358" max="4608" width="9.140625" style="336"/>
    <col min="4609" max="4609" width="8.7109375" style="336" customWidth="1"/>
    <col min="4610" max="4610" width="53.5703125" style="336" customWidth="1"/>
    <col min="4611" max="4611" width="12" style="336" customWidth="1"/>
    <col min="4612" max="4613" width="0" style="336" hidden="1" customWidth="1"/>
    <col min="4614" max="4864" width="9.140625" style="336"/>
    <col min="4865" max="4865" width="8.7109375" style="336" customWidth="1"/>
    <col min="4866" max="4866" width="53.5703125" style="336" customWidth="1"/>
    <col min="4867" max="4867" width="12" style="336" customWidth="1"/>
    <col min="4868" max="4869" width="0" style="336" hidden="1" customWidth="1"/>
    <col min="4870" max="5120" width="9.140625" style="336"/>
    <col min="5121" max="5121" width="8.7109375" style="336" customWidth="1"/>
    <col min="5122" max="5122" width="53.5703125" style="336" customWidth="1"/>
    <col min="5123" max="5123" width="12" style="336" customWidth="1"/>
    <col min="5124" max="5125" width="0" style="336" hidden="1" customWidth="1"/>
    <col min="5126" max="5376" width="9.140625" style="336"/>
    <col min="5377" max="5377" width="8.7109375" style="336" customWidth="1"/>
    <col min="5378" max="5378" width="53.5703125" style="336" customWidth="1"/>
    <col min="5379" max="5379" width="12" style="336" customWidth="1"/>
    <col min="5380" max="5381" width="0" style="336" hidden="1" customWidth="1"/>
    <col min="5382" max="5632" width="9.140625" style="336"/>
    <col min="5633" max="5633" width="8.7109375" style="336" customWidth="1"/>
    <col min="5634" max="5634" width="53.5703125" style="336" customWidth="1"/>
    <col min="5635" max="5635" width="12" style="336" customWidth="1"/>
    <col min="5636" max="5637" width="0" style="336" hidden="1" customWidth="1"/>
    <col min="5638" max="5888" width="9.140625" style="336"/>
    <col min="5889" max="5889" width="8.7109375" style="336" customWidth="1"/>
    <col min="5890" max="5890" width="53.5703125" style="336" customWidth="1"/>
    <col min="5891" max="5891" width="12" style="336" customWidth="1"/>
    <col min="5892" max="5893" width="0" style="336" hidden="1" customWidth="1"/>
    <col min="5894" max="6144" width="9.140625" style="336"/>
    <col min="6145" max="6145" width="8.7109375" style="336" customWidth="1"/>
    <col min="6146" max="6146" width="53.5703125" style="336" customWidth="1"/>
    <col min="6147" max="6147" width="12" style="336" customWidth="1"/>
    <col min="6148" max="6149" width="0" style="336" hidden="1" customWidth="1"/>
    <col min="6150" max="6400" width="9.140625" style="336"/>
    <col min="6401" max="6401" width="8.7109375" style="336" customWidth="1"/>
    <col min="6402" max="6402" width="53.5703125" style="336" customWidth="1"/>
    <col min="6403" max="6403" width="12" style="336" customWidth="1"/>
    <col min="6404" max="6405" width="0" style="336" hidden="1" customWidth="1"/>
    <col min="6406" max="6656" width="9.140625" style="336"/>
    <col min="6657" max="6657" width="8.7109375" style="336" customWidth="1"/>
    <col min="6658" max="6658" width="53.5703125" style="336" customWidth="1"/>
    <col min="6659" max="6659" width="12" style="336" customWidth="1"/>
    <col min="6660" max="6661" width="0" style="336" hidden="1" customWidth="1"/>
    <col min="6662" max="6912" width="9.140625" style="336"/>
    <col min="6913" max="6913" width="8.7109375" style="336" customWidth="1"/>
    <col min="6914" max="6914" width="53.5703125" style="336" customWidth="1"/>
    <col min="6915" max="6915" width="12" style="336" customWidth="1"/>
    <col min="6916" max="6917" width="0" style="336" hidden="1" customWidth="1"/>
    <col min="6918" max="7168" width="9.140625" style="336"/>
    <col min="7169" max="7169" width="8.7109375" style="336" customWidth="1"/>
    <col min="7170" max="7170" width="53.5703125" style="336" customWidth="1"/>
    <col min="7171" max="7171" width="12" style="336" customWidth="1"/>
    <col min="7172" max="7173" width="0" style="336" hidden="1" customWidth="1"/>
    <col min="7174" max="7424" width="9.140625" style="336"/>
    <col min="7425" max="7425" width="8.7109375" style="336" customWidth="1"/>
    <col min="7426" max="7426" width="53.5703125" style="336" customWidth="1"/>
    <col min="7427" max="7427" width="12" style="336" customWidth="1"/>
    <col min="7428" max="7429" width="0" style="336" hidden="1" customWidth="1"/>
    <col min="7430" max="7680" width="9.140625" style="336"/>
    <col min="7681" max="7681" width="8.7109375" style="336" customWidth="1"/>
    <col min="7682" max="7682" width="53.5703125" style="336" customWidth="1"/>
    <col min="7683" max="7683" width="12" style="336" customWidth="1"/>
    <col min="7684" max="7685" width="0" style="336" hidden="1" customWidth="1"/>
    <col min="7686" max="7936" width="9.140625" style="336"/>
    <col min="7937" max="7937" width="8.7109375" style="336" customWidth="1"/>
    <col min="7938" max="7938" width="53.5703125" style="336" customWidth="1"/>
    <col min="7939" max="7939" width="12" style="336" customWidth="1"/>
    <col min="7940" max="7941" width="0" style="336" hidden="1" customWidth="1"/>
    <col min="7942" max="8192" width="9.140625" style="336"/>
    <col min="8193" max="8193" width="8.7109375" style="336" customWidth="1"/>
    <col min="8194" max="8194" width="53.5703125" style="336" customWidth="1"/>
    <col min="8195" max="8195" width="12" style="336" customWidth="1"/>
    <col min="8196" max="8197" width="0" style="336" hidden="1" customWidth="1"/>
    <col min="8198" max="8448" width="9.140625" style="336"/>
    <col min="8449" max="8449" width="8.7109375" style="336" customWidth="1"/>
    <col min="8450" max="8450" width="53.5703125" style="336" customWidth="1"/>
    <col min="8451" max="8451" width="12" style="336" customWidth="1"/>
    <col min="8452" max="8453" width="0" style="336" hidden="1" customWidth="1"/>
    <col min="8454" max="8704" width="9.140625" style="336"/>
    <col min="8705" max="8705" width="8.7109375" style="336" customWidth="1"/>
    <col min="8706" max="8706" width="53.5703125" style="336" customWidth="1"/>
    <col min="8707" max="8707" width="12" style="336" customWidth="1"/>
    <col min="8708" max="8709" width="0" style="336" hidden="1" customWidth="1"/>
    <col min="8710" max="8960" width="9.140625" style="336"/>
    <col min="8961" max="8961" width="8.7109375" style="336" customWidth="1"/>
    <col min="8962" max="8962" width="53.5703125" style="336" customWidth="1"/>
    <col min="8963" max="8963" width="12" style="336" customWidth="1"/>
    <col min="8964" max="8965" width="0" style="336" hidden="1" customWidth="1"/>
    <col min="8966" max="9216" width="9.140625" style="336"/>
    <col min="9217" max="9217" width="8.7109375" style="336" customWidth="1"/>
    <col min="9218" max="9218" width="53.5703125" style="336" customWidth="1"/>
    <col min="9219" max="9219" width="12" style="336" customWidth="1"/>
    <col min="9220" max="9221" width="0" style="336" hidden="1" customWidth="1"/>
    <col min="9222" max="9472" width="9.140625" style="336"/>
    <col min="9473" max="9473" width="8.7109375" style="336" customWidth="1"/>
    <col min="9474" max="9474" width="53.5703125" style="336" customWidth="1"/>
    <col min="9475" max="9475" width="12" style="336" customWidth="1"/>
    <col min="9476" max="9477" width="0" style="336" hidden="1" customWidth="1"/>
    <col min="9478" max="9728" width="9.140625" style="336"/>
    <col min="9729" max="9729" width="8.7109375" style="336" customWidth="1"/>
    <col min="9730" max="9730" width="53.5703125" style="336" customWidth="1"/>
    <col min="9731" max="9731" width="12" style="336" customWidth="1"/>
    <col min="9732" max="9733" width="0" style="336" hidden="1" customWidth="1"/>
    <col min="9734" max="9984" width="9.140625" style="336"/>
    <col min="9985" max="9985" width="8.7109375" style="336" customWidth="1"/>
    <col min="9986" max="9986" width="53.5703125" style="336" customWidth="1"/>
    <col min="9987" max="9987" width="12" style="336" customWidth="1"/>
    <col min="9988" max="9989" width="0" style="336" hidden="1" customWidth="1"/>
    <col min="9990" max="10240" width="9.140625" style="336"/>
    <col min="10241" max="10241" width="8.7109375" style="336" customWidth="1"/>
    <col min="10242" max="10242" width="53.5703125" style="336" customWidth="1"/>
    <col min="10243" max="10243" width="12" style="336" customWidth="1"/>
    <col min="10244" max="10245" width="0" style="336" hidden="1" customWidth="1"/>
    <col min="10246" max="10496" width="9.140625" style="336"/>
    <col min="10497" max="10497" width="8.7109375" style="336" customWidth="1"/>
    <col min="10498" max="10498" width="53.5703125" style="336" customWidth="1"/>
    <col min="10499" max="10499" width="12" style="336" customWidth="1"/>
    <col min="10500" max="10501" width="0" style="336" hidden="1" customWidth="1"/>
    <col min="10502" max="10752" width="9.140625" style="336"/>
    <col min="10753" max="10753" width="8.7109375" style="336" customWidth="1"/>
    <col min="10754" max="10754" width="53.5703125" style="336" customWidth="1"/>
    <col min="10755" max="10755" width="12" style="336" customWidth="1"/>
    <col min="10756" max="10757" width="0" style="336" hidden="1" customWidth="1"/>
    <col min="10758" max="11008" width="9.140625" style="336"/>
    <col min="11009" max="11009" width="8.7109375" style="336" customWidth="1"/>
    <col min="11010" max="11010" width="53.5703125" style="336" customWidth="1"/>
    <col min="11011" max="11011" width="12" style="336" customWidth="1"/>
    <col min="11012" max="11013" width="0" style="336" hidden="1" customWidth="1"/>
    <col min="11014" max="11264" width="9.140625" style="336"/>
    <col min="11265" max="11265" width="8.7109375" style="336" customWidth="1"/>
    <col min="11266" max="11266" width="53.5703125" style="336" customWidth="1"/>
    <col min="11267" max="11267" width="12" style="336" customWidth="1"/>
    <col min="11268" max="11269" width="0" style="336" hidden="1" customWidth="1"/>
    <col min="11270" max="11520" width="9.140625" style="336"/>
    <col min="11521" max="11521" width="8.7109375" style="336" customWidth="1"/>
    <col min="11522" max="11522" width="53.5703125" style="336" customWidth="1"/>
    <col min="11523" max="11523" width="12" style="336" customWidth="1"/>
    <col min="11524" max="11525" width="0" style="336" hidden="1" customWidth="1"/>
    <col min="11526" max="11776" width="9.140625" style="336"/>
    <col min="11777" max="11777" width="8.7109375" style="336" customWidth="1"/>
    <col min="11778" max="11778" width="53.5703125" style="336" customWidth="1"/>
    <col min="11779" max="11779" width="12" style="336" customWidth="1"/>
    <col min="11780" max="11781" width="0" style="336" hidden="1" customWidth="1"/>
    <col min="11782" max="12032" width="9.140625" style="336"/>
    <col min="12033" max="12033" width="8.7109375" style="336" customWidth="1"/>
    <col min="12034" max="12034" width="53.5703125" style="336" customWidth="1"/>
    <col min="12035" max="12035" width="12" style="336" customWidth="1"/>
    <col min="12036" max="12037" width="0" style="336" hidden="1" customWidth="1"/>
    <col min="12038" max="12288" width="9.140625" style="336"/>
    <col min="12289" max="12289" width="8.7109375" style="336" customWidth="1"/>
    <col min="12290" max="12290" width="53.5703125" style="336" customWidth="1"/>
    <col min="12291" max="12291" width="12" style="336" customWidth="1"/>
    <col min="12292" max="12293" width="0" style="336" hidden="1" customWidth="1"/>
    <col min="12294" max="12544" width="9.140625" style="336"/>
    <col min="12545" max="12545" width="8.7109375" style="336" customWidth="1"/>
    <col min="12546" max="12546" width="53.5703125" style="336" customWidth="1"/>
    <col min="12547" max="12547" width="12" style="336" customWidth="1"/>
    <col min="12548" max="12549" width="0" style="336" hidden="1" customWidth="1"/>
    <col min="12550" max="12800" width="9.140625" style="336"/>
    <col min="12801" max="12801" width="8.7109375" style="336" customWidth="1"/>
    <col min="12802" max="12802" width="53.5703125" style="336" customWidth="1"/>
    <col min="12803" max="12803" width="12" style="336" customWidth="1"/>
    <col min="12804" max="12805" width="0" style="336" hidden="1" customWidth="1"/>
    <col min="12806" max="13056" width="9.140625" style="336"/>
    <col min="13057" max="13057" width="8.7109375" style="336" customWidth="1"/>
    <col min="13058" max="13058" width="53.5703125" style="336" customWidth="1"/>
    <col min="13059" max="13059" width="12" style="336" customWidth="1"/>
    <col min="13060" max="13061" width="0" style="336" hidden="1" customWidth="1"/>
    <col min="13062" max="13312" width="9.140625" style="336"/>
    <col min="13313" max="13313" width="8.7109375" style="336" customWidth="1"/>
    <col min="13314" max="13314" width="53.5703125" style="336" customWidth="1"/>
    <col min="13315" max="13315" width="12" style="336" customWidth="1"/>
    <col min="13316" max="13317" width="0" style="336" hidden="1" customWidth="1"/>
    <col min="13318" max="13568" width="9.140625" style="336"/>
    <col min="13569" max="13569" width="8.7109375" style="336" customWidth="1"/>
    <col min="13570" max="13570" width="53.5703125" style="336" customWidth="1"/>
    <col min="13571" max="13571" width="12" style="336" customWidth="1"/>
    <col min="13572" max="13573" width="0" style="336" hidden="1" customWidth="1"/>
    <col min="13574" max="13824" width="9.140625" style="336"/>
    <col min="13825" max="13825" width="8.7109375" style="336" customWidth="1"/>
    <col min="13826" max="13826" width="53.5703125" style="336" customWidth="1"/>
    <col min="13827" max="13827" width="12" style="336" customWidth="1"/>
    <col min="13828" max="13829" width="0" style="336" hidden="1" customWidth="1"/>
    <col min="13830" max="14080" width="9.140625" style="336"/>
    <col min="14081" max="14081" width="8.7109375" style="336" customWidth="1"/>
    <col min="14082" max="14082" width="53.5703125" style="336" customWidth="1"/>
    <col min="14083" max="14083" width="12" style="336" customWidth="1"/>
    <col min="14084" max="14085" width="0" style="336" hidden="1" customWidth="1"/>
    <col min="14086" max="14336" width="9.140625" style="336"/>
    <col min="14337" max="14337" width="8.7109375" style="336" customWidth="1"/>
    <col min="14338" max="14338" width="53.5703125" style="336" customWidth="1"/>
    <col min="14339" max="14339" width="12" style="336" customWidth="1"/>
    <col min="14340" max="14341" width="0" style="336" hidden="1" customWidth="1"/>
    <col min="14342" max="14592" width="9.140625" style="336"/>
    <col min="14593" max="14593" width="8.7109375" style="336" customWidth="1"/>
    <col min="14594" max="14594" width="53.5703125" style="336" customWidth="1"/>
    <col min="14595" max="14595" width="12" style="336" customWidth="1"/>
    <col min="14596" max="14597" width="0" style="336" hidden="1" customWidth="1"/>
    <col min="14598" max="14848" width="9.140625" style="336"/>
    <col min="14849" max="14849" width="8.7109375" style="336" customWidth="1"/>
    <col min="14850" max="14850" width="53.5703125" style="336" customWidth="1"/>
    <col min="14851" max="14851" width="12" style="336" customWidth="1"/>
    <col min="14852" max="14853" width="0" style="336" hidden="1" customWidth="1"/>
    <col min="14854" max="15104" width="9.140625" style="336"/>
    <col min="15105" max="15105" width="8.7109375" style="336" customWidth="1"/>
    <col min="15106" max="15106" width="53.5703125" style="336" customWidth="1"/>
    <col min="15107" max="15107" width="12" style="336" customWidth="1"/>
    <col min="15108" max="15109" width="0" style="336" hidden="1" customWidth="1"/>
    <col min="15110" max="15360" width="9.140625" style="336"/>
    <col min="15361" max="15361" width="8.7109375" style="336" customWidth="1"/>
    <col min="15362" max="15362" width="53.5703125" style="336" customWidth="1"/>
    <col min="15363" max="15363" width="12" style="336" customWidth="1"/>
    <col min="15364" max="15365" width="0" style="336" hidden="1" customWidth="1"/>
    <col min="15366" max="15616" width="9.140625" style="336"/>
    <col min="15617" max="15617" width="8.7109375" style="336" customWidth="1"/>
    <col min="15618" max="15618" width="53.5703125" style="336" customWidth="1"/>
    <col min="15619" max="15619" width="12" style="336" customWidth="1"/>
    <col min="15620" max="15621" width="0" style="336" hidden="1" customWidth="1"/>
    <col min="15622" max="15872" width="9.140625" style="336"/>
    <col min="15873" max="15873" width="8.7109375" style="336" customWidth="1"/>
    <col min="15874" max="15874" width="53.5703125" style="336" customWidth="1"/>
    <col min="15875" max="15875" width="12" style="336" customWidth="1"/>
    <col min="15876" max="15877" width="0" style="336" hidden="1" customWidth="1"/>
    <col min="15878" max="16128" width="9.140625" style="336"/>
    <col min="16129" max="16129" width="8.7109375" style="336" customWidth="1"/>
    <col min="16130" max="16130" width="53.5703125" style="336" customWidth="1"/>
    <col min="16131" max="16131" width="12" style="336" customWidth="1"/>
    <col min="16132" max="16133" width="0" style="336" hidden="1" customWidth="1"/>
    <col min="16134" max="16384" width="9.140625" style="336"/>
  </cols>
  <sheetData>
    <row r="1" spans="1:5" ht="18">
      <c r="A1" s="334" t="s">
        <v>503</v>
      </c>
      <c r="B1" s="335"/>
      <c r="C1" s="335"/>
      <c r="D1" s="335"/>
      <c r="E1" s="335"/>
    </row>
    <row r="2" spans="1:5" ht="9" customHeight="1">
      <c r="A2" s="337"/>
      <c r="B2" s="335"/>
      <c r="C2" s="335"/>
      <c r="D2" s="335"/>
      <c r="E2" s="335"/>
    </row>
    <row r="3" spans="1:5" ht="15.75">
      <c r="A3" s="338" t="s">
        <v>504</v>
      </c>
      <c r="B3" s="376" t="s">
        <v>2664</v>
      </c>
      <c r="C3" s="339"/>
      <c r="D3" s="339"/>
      <c r="E3" s="340"/>
    </row>
    <row r="4" spans="1:5">
      <c r="A4" s="337" t="s">
        <v>505</v>
      </c>
      <c r="B4" s="341"/>
      <c r="C4" s="337"/>
      <c r="D4" s="337" t="s">
        <v>2652</v>
      </c>
      <c r="E4" s="342"/>
    </row>
    <row r="5" spans="1:5">
      <c r="A5" s="337" t="s">
        <v>506</v>
      </c>
      <c r="B5" s="342"/>
      <c r="C5" s="337"/>
      <c r="D5" s="337"/>
      <c r="E5" s="342"/>
    </row>
    <row r="6" spans="1:5" ht="15.75" thickBot="1">
      <c r="A6" s="337"/>
      <c r="B6" s="335"/>
      <c r="C6" s="343"/>
      <c r="D6" s="335"/>
      <c r="E6" s="335"/>
    </row>
    <row r="7" spans="1:5" ht="23.25" customHeight="1" thickBot="1">
      <c r="A7" s="344" t="s">
        <v>507</v>
      </c>
      <c r="B7" s="345" t="s">
        <v>508</v>
      </c>
      <c r="C7" s="346" t="s">
        <v>509</v>
      </c>
      <c r="D7" s="347" t="s">
        <v>496</v>
      </c>
      <c r="E7" s="348" t="s">
        <v>510</v>
      </c>
    </row>
    <row r="8" spans="1:5">
      <c r="A8" s="349"/>
      <c r="B8" s="350"/>
      <c r="C8" s="351"/>
      <c r="D8" s="335"/>
      <c r="E8" s="335"/>
    </row>
    <row r="9" spans="1:5" ht="15.75">
      <c r="A9" s="352" t="s">
        <v>511</v>
      </c>
      <c r="B9" s="911" t="s">
        <v>207</v>
      </c>
      <c r="C9" s="353" t="e">
        <f>SUM(C11,C16:C26,C32:C35)</f>
        <v>#REF!</v>
      </c>
      <c r="D9" s="802" t="e">
        <f>C9*0.2</f>
        <v>#REF!</v>
      </c>
      <c r="E9" s="354" t="e">
        <f>C9+D9</f>
        <v>#REF!</v>
      </c>
    </row>
    <row r="10" spans="1:5">
      <c r="A10" s="355"/>
      <c r="B10" s="356" t="s">
        <v>2526</v>
      </c>
      <c r="C10" s="357" t="e">
        <f>SUM(C11,C16:C26,C32:C34)</f>
        <v>#REF!</v>
      </c>
      <c r="D10" s="802" t="e">
        <f>C10*0.2</f>
        <v>#REF!</v>
      </c>
      <c r="E10" s="354" t="e">
        <f>C10+D10</f>
        <v>#REF!</v>
      </c>
    </row>
    <row r="11" spans="1:5">
      <c r="A11" s="358" t="s">
        <v>515</v>
      </c>
      <c r="B11" s="377" t="s">
        <v>524</v>
      </c>
      <c r="C11" s="381">
        <f>SUM(C12:C15)</f>
        <v>0</v>
      </c>
      <c r="D11" s="802">
        <f>C11*0.2</f>
        <v>0</v>
      </c>
      <c r="E11" s="354">
        <f t="shared" ref="E11:E35" si="0">C11+D11</f>
        <v>0</v>
      </c>
    </row>
    <row r="12" spans="1:5">
      <c r="A12" s="361" t="s">
        <v>516</v>
      </c>
      <c r="B12" s="378" t="s">
        <v>658</v>
      </c>
      <c r="C12" s="587">
        <f>'SO 01-E1.1,2'!H389</f>
        <v>0</v>
      </c>
      <c r="D12" s="804">
        <f t="shared" ref="D12:D16" si="1">C12*0.2</f>
        <v>0</v>
      </c>
      <c r="E12" s="805">
        <f t="shared" si="0"/>
        <v>0</v>
      </c>
    </row>
    <row r="13" spans="1:5">
      <c r="A13" s="361" t="s">
        <v>520</v>
      </c>
      <c r="B13" s="378" t="s">
        <v>517</v>
      </c>
      <c r="C13" s="587">
        <f>'SO 01-E1.3'!K15</f>
        <v>0</v>
      </c>
      <c r="D13" s="804">
        <f t="shared" si="1"/>
        <v>0</v>
      </c>
      <c r="E13" s="805">
        <f t="shared" si="0"/>
        <v>0</v>
      </c>
    </row>
    <row r="14" spans="1:5">
      <c r="A14" s="361" t="s">
        <v>521</v>
      </c>
      <c r="B14" s="379" t="s">
        <v>518</v>
      </c>
      <c r="C14" s="587">
        <f>'SO 01-E1.4'!I13</f>
        <v>0</v>
      </c>
      <c r="D14" s="804">
        <f t="shared" si="1"/>
        <v>0</v>
      </c>
      <c r="E14" s="805">
        <f t="shared" si="0"/>
        <v>0</v>
      </c>
    </row>
    <row r="15" spans="1:5">
      <c r="A15" s="361" t="s">
        <v>522</v>
      </c>
      <c r="B15" s="379" t="s">
        <v>519</v>
      </c>
      <c r="C15" s="587">
        <f>'SO 01-E1.5'!G60+'SO 01-E1.5'!I60</f>
        <v>0</v>
      </c>
      <c r="D15" s="804">
        <f t="shared" si="1"/>
        <v>0</v>
      </c>
      <c r="E15" s="805">
        <f t="shared" si="0"/>
        <v>0</v>
      </c>
    </row>
    <row r="16" spans="1:5">
      <c r="A16" s="358" t="s">
        <v>526</v>
      </c>
      <c r="B16" s="380" t="s">
        <v>523</v>
      </c>
      <c r="C16" s="381">
        <f>'SO 02'!H122</f>
        <v>0</v>
      </c>
      <c r="D16" s="802">
        <f t="shared" si="1"/>
        <v>0</v>
      </c>
      <c r="E16" s="354">
        <f t="shared" si="0"/>
        <v>0</v>
      </c>
    </row>
    <row r="17" spans="1:5">
      <c r="A17" s="358" t="s">
        <v>527</v>
      </c>
      <c r="B17" s="380" t="s">
        <v>525</v>
      </c>
      <c r="C17" s="381">
        <f>'SO 03'!J11</f>
        <v>0</v>
      </c>
      <c r="D17" s="802">
        <f t="shared" ref="D17:D34" si="2">C17*0.2</f>
        <v>0</v>
      </c>
      <c r="E17" s="354">
        <f t="shared" ref="E17:E34" si="3">C17+D17</f>
        <v>0</v>
      </c>
    </row>
    <row r="18" spans="1:5">
      <c r="A18" s="358" t="s">
        <v>529</v>
      </c>
      <c r="B18" s="380" t="s">
        <v>528</v>
      </c>
      <c r="C18" s="381">
        <f>'SO 04'!H173</f>
        <v>0</v>
      </c>
      <c r="D18" s="802">
        <f t="shared" si="2"/>
        <v>0</v>
      </c>
      <c r="E18" s="354">
        <f t="shared" si="3"/>
        <v>0</v>
      </c>
    </row>
    <row r="19" spans="1:5">
      <c r="A19" s="358" t="s">
        <v>541</v>
      </c>
      <c r="B19" s="380" t="s">
        <v>530</v>
      </c>
      <c r="C19" s="381">
        <f>'SO 05'!J14</f>
        <v>0</v>
      </c>
      <c r="D19" s="802">
        <f t="shared" si="2"/>
        <v>0</v>
      </c>
      <c r="E19" s="354">
        <f t="shared" si="3"/>
        <v>0</v>
      </c>
    </row>
    <row r="20" spans="1:5">
      <c r="A20" s="358" t="s">
        <v>542</v>
      </c>
      <c r="B20" s="380" t="s">
        <v>531</v>
      </c>
      <c r="C20" s="381">
        <f>'SO 06'!J58</f>
        <v>0</v>
      </c>
      <c r="D20" s="802">
        <f t="shared" si="2"/>
        <v>0</v>
      </c>
      <c r="E20" s="354">
        <f t="shared" si="3"/>
        <v>0</v>
      </c>
    </row>
    <row r="21" spans="1:5">
      <c r="A21" s="358" t="s">
        <v>543</v>
      </c>
      <c r="B21" s="380" t="s">
        <v>532</v>
      </c>
      <c r="C21" s="381">
        <f>'SO 07'!J40</f>
        <v>0</v>
      </c>
      <c r="D21" s="802">
        <f t="shared" si="2"/>
        <v>0</v>
      </c>
      <c r="E21" s="354">
        <f t="shared" si="3"/>
        <v>0</v>
      </c>
    </row>
    <row r="22" spans="1:5">
      <c r="A22" s="358" t="s">
        <v>544</v>
      </c>
      <c r="B22" s="380" t="s">
        <v>533</v>
      </c>
      <c r="C22" s="381">
        <f>'SO 08'!J50</f>
        <v>0</v>
      </c>
      <c r="D22" s="802">
        <f t="shared" si="2"/>
        <v>0</v>
      </c>
      <c r="E22" s="354">
        <f t="shared" si="3"/>
        <v>0</v>
      </c>
    </row>
    <row r="23" spans="1:5" ht="24">
      <c r="A23" s="358" t="s">
        <v>545</v>
      </c>
      <c r="B23" s="910" t="s">
        <v>534</v>
      </c>
      <c r="C23" s="381">
        <f>'SO 09'!J51</f>
        <v>0</v>
      </c>
      <c r="D23" s="802">
        <f t="shared" si="2"/>
        <v>0</v>
      </c>
      <c r="E23" s="354">
        <f t="shared" si="3"/>
        <v>0</v>
      </c>
    </row>
    <row r="24" spans="1:5">
      <c r="A24" s="358" t="s">
        <v>546</v>
      </c>
      <c r="B24" s="380" t="s">
        <v>535</v>
      </c>
      <c r="C24" s="381">
        <f>'SO 10'!J88</f>
        <v>0</v>
      </c>
      <c r="D24" s="802">
        <f t="shared" si="2"/>
        <v>0</v>
      </c>
      <c r="E24" s="354">
        <f t="shared" si="3"/>
        <v>0</v>
      </c>
    </row>
    <row r="25" spans="1:5">
      <c r="A25" s="358" t="s">
        <v>547</v>
      </c>
      <c r="B25" s="380" t="s">
        <v>536</v>
      </c>
      <c r="C25" s="381">
        <f>'SO 11'!I12</f>
        <v>0</v>
      </c>
      <c r="D25" s="802">
        <f t="shared" si="2"/>
        <v>0</v>
      </c>
      <c r="E25" s="354">
        <f t="shared" si="3"/>
        <v>0</v>
      </c>
    </row>
    <row r="26" spans="1:5">
      <c r="A26" s="358" t="s">
        <v>548</v>
      </c>
      <c r="B26" s="380" t="s">
        <v>537</v>
      </c>
      <c r="C26" s="381" t="e">
        <f>SUM(C27:C30)</f>
        <v>#REF!</v>
      </c>
      <c r="D26" s="802" t="e">
        <f>C26*0.2</f>
        <v>#REF!</v>
      </c>
      <c r="E26" s="354" t="e">
        <f t="shared" si="3"/>
        <v>#REF!</v>
      </c>
    </row>
    <row r="27" spans="1:5">
      <c r="A27" s="906" t="s">
        <v>2317</v>
      </c>
      <c r="B27" s="378" t="s">
        <v>2528</v>
      </c>
      <c r="C27" s="587">
        <f>'SO 12-1'!I55</f>
        <v>0</v>
      </c>
      <c r="D27" s="804">
        <f t="shared" si="2"/>
        <v>0</v>
      </c>
      <c r="E27" s="805">
        <f t="shared" si="3"/>
        <v>0</v>
      </c>
    </row>
    <row r="28" spans="1:5">
      <c r="A28" s="906" t="s">
        <v>2318</v>
      </c>
      <c r="B28" s="378" t="s">
        <v>2529</v>
      </c>
      <c r="C28" s="587">
        <f>'SO 12-2'!I26</f>
        <v>0</v>
      </c>
      <c r="D28" s="804">
        <f t="shared" si="2"/>
        <v>0</v>
      </c>
      <c r="E28" s="805">
        <f t="shared" si="3"/>
        <v>0</v>
      </c>
    </row>
    <row r="29" spans="1:5">
      <c r="A29" s="906" t="s">
        <v>2319</v>
      </c>
      <c r="B29" s="379" t="s">
        <v>2530</v>
      </c>
      <c r="C29" s="587">
        <f>'SO 12-3'!I148</f>
        <v>0</v>
      </c>
      <c r="D29" s="804">
        <f t="shared" si="2"/>
        <v>0</v>
      </c>
      <c r="E29" s="805">
        <f t="shared" si="3"/>
        <v>0</v>
      </c>
    </row>
    <row r="30" spans="1:5">
      <c r="A30" s="906" t="s">
        <v>2320</v>
      </c>
      <c r="B30" s="379" t="s">
        <v>2531</v>
      </c>
      <c r="C30" s="587" t="e">
        <f>#REF!</f>
        <v>#REF!</v>
      </c>
      <c r="D30" s="804" t="e">
        <f t="shared" si="2"/>
        <v>#REF!</v>
      </c>
      <c r="E30" s="805" t="e">
        <f t="shared" si="3"/>
        <v>#REF!</v>
      </c>
    </row>
    <row r="31" spans="1:5">
      <c r="A31" s="906" t="s">
        <v>2605</v>
      </c>
      <c r="B31" s="379" t="s">
        <v>2606</v>
      </c>
      <c r="C31" s="587">
        <f>'SO 12-5'!I31</f>
        <v>0</v>
      </c>
      <c r="D31" s="804">
        <f t="shared" ref="D31" si="4">C31*0.2</f>
        <v>0</v>
      </c>
      <c r="E31" s="805">
        <f t="shared" ref="E31" si="5">C31+D31</f>
        <v>0</v>
      </c>
    </row>
    <row r="32" spans="1:5">
      <c r="A32" s="358" t="s">
        <v>549</v>
      </c>
      <c r="B32" s="380" t="s">
        <v>538</v>
      </c>
      <c r="C32" s="381">
        <f>'SO 13'!J11</f>
        <v>0</v>
      </c>
      <c r="D32" s="802">
        <f t="shared" si="2"/>
        <v>0</v>
      </c>
      <c r="E32" s="354">
        <f t="shared" si="3"/>
        <v>0</v>
      </c>
    </row>
    <row r="33" spans="1:24">
      <c r="A33" s="358" t="s">
        <v>550</v>
      </c>
      <c r="B33" s="380" t="s">
        <v>539</v>
      </c>
      <c r="C33" s="381">
        <f>'SO 14'!H116</f>
        <v>0</v>
      </c>
      <c r="D33" s="802">
        <f t="shared" si="2"/>
        <v>0</v>
      </c>
      <c r="E33" s="354">
        <f t="shared" si="3"/>
        <v>0</v>
      </c>
    </row>
    <row r="34" spans="1:24">
      <c r="A34" s="358" t="s">
        <v>551</v>
      </c>
      <c r="B34" s="380" t="s">
        <v>540</v>
      </c>
      <c r="C34" s="381">
        <f>'SO 15'!H58</f>
        <v>0</v>
      </c>
      <c r="D34" s="802">
        <f t="shared" si="2"/>
        <v>0</v>
      </c>
      <c r="E34" s="354">
        <f t="shared" si="3"/>
        <v>0</v>
      </c>
    </row>
    <row r="35" spans="1:24" ht="24">
      <c r="A35" s="364" t="s">
        <v>512</v>
      </c>
      <c r="B35" s="359" t="s">
        <v>513</v>
      </c>
      <c r="C35" s="365" t="e">
        <f>(C11+C16+C17+C18+C19+C20+C21+C22+C23+C24+C25+C26+C32+C33+C34)*0.03</f>
        <v>#REF!</v>
      </c>
      <c r="D35" s="803" t="e">
        <f t="shared" ref="D35" si="6">C35*0.2</f>
        <v>#REF!</v>
      </c>
      <c r="E35" s="360" t="e">
        <f t="shared" si="0"/>
        <v>#REF!</v>
      </c>
      <c r="F35" s="366"/>
      <c r="G35" s="366"/>
      <c r="H35" s="366"/>
      <c r="I35" s="366"/>
      <c r="J35" s="366"/>
      <c r="K35" s="366"/>
    </row>
    <row r="36" spans="1:24" ht="15.75" thickBot="1">
      <c r="A36" s="367"/>
      <c r="B36" s="368"/>
      <c r="C36" s="369"/>
      <c r="D36" s="362"/>
      <c r="E36" s="363"/>
    </row>
    <row r="37" spans="1:24" ht="23.25" customHeight="1">
      <c r="A37" s="370"/>
      <c r="B37" s="371" t="s">
        <v>514</v>
      </c>
      <c r="C37" s="372" t="e">
        <f>C9</f>
        <v>#REF!</v>
      </c>
      <c r="D37" s="373" t="e">
        <f>D9</f>
        <v>#REF!</v>
      </c>
      <c r="E37" s="373" t="e">
        <f>E9</f>
        <v>#REF!</v>
      </c>
    </row>
    <row r="44" spans="1:24"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</row>
    <row r="45" spans="1:24" ht="15" customHeight="1"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  <c r="X45" s="375"/>
    </row>
    <row r="46" spans="1:24"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375"/>
      <c r="S46" s="375"/>
      <c r="T46" s="375"/>
      <c r="U46" s="375"/>
      <c r="V46" s="375"/>
      <c r="W46" s="375"/>
      <c r="X46" s="375"/>
    </row>
    <row r="47" spans="1:24" ht="15" customHeight="1"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</row>
    <row r="48" spans="1:24"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</row>
    <row r="49" spans="2:24" ht="15" customHeight="1"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</row>
  </sheetData>
  <pageMargins left="0.59055118110236227" right="0.39370078740157483" top="0.59055118110236227" bottom="0.39370078740157483" header="0.31496062992125984" footer="0.31496062992125984"/>
  <pageSetup paperSize="9" scale="95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31"/>
  <sheetViews>
    <sheetView workbookViewId="0">
      <selection activeCell="E33" sqref="E33"/>
    </sheetView>
  </sheetViews>
  <sheetFormatPr defaultRowHeight="15"/>
  <cols>
    <col min="1" max="1" width="7.85546875" customWidth="1"/>
    <col min="2" max="2" width="12.85546875" customWidth="1"/>
    <col min="3" max="3" width="44.5703125" customWidth="1"/>
    <col min="4" max="4" width="5.85546875" customWidth="1"/>
    <col min="8" max="8" width="11.85546875" customWidth="1"/>
    <col min="9" max="9" width="12" customWidth="1"/>
    <col min="10" max="11" width="0" hidden="1" customWidth="1"/>
  </cols>
  <sheetData>
    <row r="1" spans="1:11" ht="18">
      <c r="A1" s="1110" t="s">
        <v>2588</v>
      </c>
      <c r="B1" s="1110"/>
      <c r="C1" s="1110"/>
      <c r="D1" s="1110"/>
      <c r="E1" s="1110"/>
      <c r="F1" s="1110"/>
      <c r="G1" s="1110"/>
      <c r="H1" s="1110"/>
      <c r="I1" s="909"/>
      <c r="J1" s="909"/>
      <c r="K1" s="909"/>
    </row>
    <row r="2" spans="1:11" s="374" customFormat="1">
      <c r="A2" s="875" t="s">
        <v>77</v>
      </c>
      <c r="B2" s="875" t="s">
        <v>1041</v>
      </c>
      <c r="C2" s="917"/>
      <c r="D2" s="917"/>
      <c r="E2" s="917"/>
      <c r="F2" s="917"/>
      <c r="G2" s="917"/>
      <c r="H2" s="917"/>
      <c r="I2" s="917"/>
      <c r="J2" s="917"/>
      <c r="K2" s="917"/>
    </row>
    <row r="3" spans="1:11" s="374" customFormat="1">
      <c r="A3" s="875" t="s">
        <v>2082</v>
      </c>
      <c r="B3" s="875" t="s">
        <v>2313</v>
      </c>
      <c r="C3" s="917"/>
      <c r="D3" s="917"/>
      <c r="E3" s="917"/>
      <c r="F3" s="917"/>
      <c r="G3" s="917"/>
      <c r="H3" s="917"/>
      <c r="I3" s="917"/>
      <c r="J3" s="917"/>
      <c r="K3" s="917"/>
    </row>
    <row r="4" spans="1:11" s="374" customFormat="1">
      <c r="A4" s="876" t="s">
        <v>2312</v>
      </c>
      <c r="B4" s="917" t="s">
        <v>2604</v>
      </c>
      <c r="C4" s="917"/>
      <c r="D4" s="917"/>
      <c r="E4" s="917"/>
      <c r="F4" s="917"/>
      <c r="G4" s="917"/>
      <c r="H4" s="917"/>
      <c r="I4" s="917"/>
      <c r="J4" s="917"/>
      <c r="K4" s="917"/>
    </row>
    <row r="5" spans="1:11" ht="6.75" customHeight="1">
      <c r="A5" s="922"/>
      <c r="B5" s="922"/>
      <c r="C5" s="922"/>
      <c r="D5" s="922"/>
      <c r="E5" s="922"/>
      <c r="F5" s="922"/>
      <c r="G5" s="922"/>
      <c r="H5" s="922"/>
      <c r="I5" s="922"/>
      <c r="J5" s="922"/>
      <c r="K5" s="922"/>
    </row>
    <row r="6" spans="1:11">
      <c r="A6" s="922" t="s">
        <v>1817</v>
      </c>
      <c r="B6" s="923"/>
      <c r="C6" s="923"/>
      <c r="D6" s="923"/>
      <c r="E6" s="924"/>
      <c r="F6" s="925"/>
      <c r="G6" s="925"/>
      <c r="H6" s="925"/>
      <c r="I6" s="925"/>
      <c r="J6" s="926"/>
      <c r="K6" s="924"/>
    </row>
    <row r="7" spans="1:11">
      <c r="A7" s="922" t="s">
        <v>1818</v>
      </c>
      <c r="B7" s="923"/>
      <c r="C7" s="923"/>
      <c r="D7" s="923"/>
      <c r="E7" s="924"/>
      <c r="F7" s="925"/>
      <c r="G7" s="925"/>
      <c r="H7" s="1137" t="s">
        <v>1819</v>
      </c>
      <c r="I7" s="1138"/>
      <c r="J7" s="1139"/>
      <c r="K7" s="924"/>
    </row>
    <row r="8" spans="1:11">
      <c r="A8" s="922" t="s">
        <v>2085</v>
      </c>
      <c r="B8" s="923"/>
      <c r="C8" s="923"/>
      <c r="D8" s="923"/>
      <c r="E8" s="924"/>
      <c r="F8" s="925"/>
      <c r="G8" s="925"/>
      <c r="H8" s="1137" t="s">
        <v>2589</v>
      </c>
      <c r="I8" s="1138"/>
      <c r="J8" s="1139"/>
      <c r="K8" s="924"/>
    </row>
    <row r="9" spans="1:11" ht="4.5" customHeight="1">
      <c r="A9" s="927"/>
      <c r="B9" s="927"/>
      <c r="C9" s="927"/>
      <c r="D9" s="927"/>
      <c r="E9" s="927"/>
      <c r="F9" s="927"/>
      <c r="G9" s="927"/>
      <c r="H9" s="927"/>
      <c r="I9" s="927"/>
      <c r="J9" s="927"/>
      <c r="K9" s="927"/>
    </row>
    <row r="10" spans="1:11" ht="22.5">
      <c r="A10" s="928" t="s">
        <v>1821</v>
      </c>
      <c r="B10" s="928" t="s">
        <v>5</v>
      </c>
      <c r="C10" s="928" t="s">
        <v>777</v>
      </c>
      <c r="D10" s="928" t="s">
        <v>7</v>
      </c>
      <c r="E10" s="928" t="s">
        <v>778</v>
      </c>
      <c r="F10" s="928" t="s">
        <v>9</v>
      </c>
      <c r="G10" s="928" t="s">
        <v>2086</v>
      </c>
      <c r="H10" s="928" t="s">
        <v>2087</v>
      </c>
      <c r="I10" s="928" t="s">
        <v>10</v>
      </c>
      <c r="J10" s="928" t="s">
        <v>779</v>
      </c>
      <c r="K10" s="928" t="s">
        <v>780</v>
      </c>
    </row>
    <row r="11" spans="1:11">
      <c r="A11" s="928" t="s">
        <v>791</v>
      </c>
      <c r="B11" s="928" t="s">
        <v>795</v>
      </c>
      <c r="C11" s="928" t="s">
        <v>987</v>
      </c>
      <c r="D11" s="928" t="s">
        <v>1065</v>
      </c>
      <c r="E11" s="928" t="s">
        <v>1074</v>
      </c>
      <c r="F11" s="928" t="s">
        <v>1176</v>
      </c>
      <c r="G11" s="928" t="s">
        <v>1182</v>
      </c>
      <c r="H11" s="928" t="s">
        <v>1071</v>
      </c>
      <c r="I11" s="928" t="s">
        <v>1193</v>
      </c>
      <c r="J11" s="928" t="s">
        <v>1175</v>
      </c>
      <c r="K11" s="928" t="s">
        <v>1200</v>
      </c>
    </row>
    <row r="12" spans="1:11">
      <c r="A12" s="927"/>
      <c r="B12" s="927"/>
      <c r="C12" s="927"/>
      <c r="D12" s="927"/>
      <c r="E12" s="927"/>
      <c r="F12" s="927"/>
      <c r="G12" s="927"/>
      <c r="H12" s="927"/>
      <c r="I12" s="927"/>
      <c r="J12" s="927"/>
      <c r="K12" s="927"/>
    </row>
    <row r="13" spans="1:11" ht="24" customHeight="1">
      <c r="A13" s="929"/>
      <c r="B13" s="930" t="s">
        <v>22</v>
      </c>
      <c r="C13" s="930" t="s">
        <v>1823</v>
      </c>
      <c r="D13" s="930"/>
      <c r="E13" s="931"/>
      <c r="F13" s="932"/>
      <c r="G13" s="932">
        <f>G14</f>
        <v>0</v>
      </c>
      <c r="H13" s="932">
        <f t="shared" ref="H13:I13" si="0">H14</f>
        <v>0</v>
      </c>
      <c r="I13" s="932">
        <f t="shared" si="0"/>
        <v>0</v>
      </c>
      <c r="J13" s="933"/>
      <c r="K13" s="931">
        <v>1.4E-2</v>
      </c>
    </row>
    <row r="14" spans="1:11">
      <c r="A14" s="934"/>
      <c r="B14" s="935" t="s">
        <v>791</v>
      </c>
      <c r="C14" s="935" t="s">
        <v>1824</v>
      </c>
      <c r="D14" s="935"/>
      <c r="E14" s="936"/>
      <c r="F14" s="937"/>
      <c r="G14" s="937">
        <f>SUM(G15:G29)</f>
        <v>0</v>
      </c>
      <c r="H14" s="937">
        <f t="shared" ref="H14:I14" si="1">SUM(H15:H29)</f>
        <v>0</v>
      </c>
      <c r="I14" s="937">
        <f t="shared" si="1"/>
        <v>0</v>
      </c>
      <c r="J14" s="938"/>
      <c r="K14" s="936">
        <v>1.4E-2</v>
      </c>
    </row>
    <row r="15" spans="1:11">
      <c r="A15" s="939">
        <v>1</v>
      </c>
      <c r="B15" s="940" t="s">
        <v>2167</v>
      </c>
      <c r="C15" s="940" t="s">
        <v>2590</v>
      </c>
      <c r="D15" s="940" t="s">
        <v>13</v>
      </c>
      <c r="E15" s="941">
        <v>350</v>
      </c>
      <c r="F15" s="942"/>
      <c r="G15" s="942"/>
      <c r="H15" s="942"/>
      <c r="I15" s="942"/>
      <c r="J15" s="943">
        <v>0</v>
      </c>
      <c r="K15" s="941">
        <v>0</v>
      </c>
    </row>
    <row r="16" spans="1:11">
      <c r="A16" s="944"/>
      <c r="B16" s="945"/>
      <c r="C16" s="945" t="s">
        <v>2591</v>
      </c>
      <c r="D16" s="945"/>
      <c r="E16" s="946">
        <v>350</v>
      </c>
      <c r="F16" s="947"/>
      <c r="G16" s="947"/>
      <c r="H16" s="947"/>
      <c r="I16" s="947"/>
      <c r="J16" s="948"/>
      <c r="K16" s="946"/>
    </row>
    <row r="17" spans="1:11" ht="23.25">
      <c r="A17" s="949">
        <v>2</v>
      </c>
      <c r="B17" s="950" t="s">
        <v>2592</v>
      </c>
      <c r="C17" s="950" t="s">
        <v>2593</v>
      </c>
      <c r="D17" s="950" t="s">
        <v>20</v>
      </c>
      <c r="E17" s="951">
        <v>14</v>
      </c>
      <c r="F17" s="952"/>
      <c r="G17" s="952"/>
      <c r="H17" s="952"/>
      <c r="I17" s="952"/>
      <c r="J17" s="953">
        <v>1E-3</v>
      </c>
      <c r="K17" s="951">
        <v>1.4E-2</v>
      </c>
    </row>
    <row r="18" spans="1:11">
      <c r="A18" s="944"/>
      <c r="B18" s="945"/>
      <c r="C18" s="945" t="s">
        <v>2591</v>
      </c>
      <c r="D18" s="945"/>
      <c r="E18" s="946">
        <v>350</v>
      </c>
      <c r="F18" s="947"/>
      <c r="G18" s="947"/>
      <c r="H18" s="947"/>
      <c r="I18" s="947"/>
      <c r="J18" s="948"/>
      <c r="K18" s="946"/>
    </row>
    <row r="19" spans="1:11" ht="23.25">
      <c r="A19" s="939">
        <v>3</v>
      </c>
      <c r="B19" s="940" t="s">
        <v>2594</v>
      </c>
      <c r="C19" s="940" t="s">
        <v>2595</v>
      </c>
      <c r="D19" s="940" t="s">
        <v>13</v>
      </c>
      <c r="E19" s="941">
        <v>350</v>
      </c>
      <c r="F19" s="942"/>
      <c r="G19" s="942"/>
      <c r="H19" s="942"/>
      <c r="I19" s="942"/>
      <c r="J19" s="943">
        <v>0</v>
      </c>
      <c r="K19" s="941">
        <v>0</v>
      </c>
    </row>
    <row r="20" spans="1:11">
      <c r="A20" s="944"/>
      <c r="B20" s="945"/>
      <c r="C20" s="945" t="s">
        <v>2591</v>
      </c>
      <c r="D20" s="945"/>
      <c r="E20" s="946">
        <v>350</v>
      </c>
      <c r="F20" s="947"/>
      <c r="G20" s="947"/>
      <c r="H20" s="947"/>
      <c r="I20" s="947"/>
      <c r="J20" s="948"/>
      <c r="K20" s="946"/>
    </row>
    <row r="21" spans="1:11" ht="23.25">
      <c r="A21" s="939">
        <v>4</v>
      </c>
      <c r="B21" s="940" t="s">
        <v>2596</v>
      </c>
      <c r="C21" s="940" t="s">
        <v>2597</v>
      </c>
      <c r="D21" s="940" t="s">
        <v>13</v>
      </c>
      <c r="E21" s="941">
        <v>350</v>
      </c>
      <c r="F21" s="942"/>
      <c r="G21" s="942"/>
      <c r="H21" s="942"/>
      <c r="I21" s="942"/>
      <c r="J21" s="943">
        <v>0</v>
      </c>
      <c r="K21" s="941">
        <v>0</v>
      </c>
    </row>
    <row r="22" spans="1:11">
      <c r="A22" s="944"/>
      <c r="B22" s="945"/>
      <c r="C22" s="945" t="s">
        <v>2591</v>
      </c>
      <c r="D22" s="945"/>
      <c r="E22" s="946">
        <v>350</v>
      </c>
      <c r="F22" s="947"/>
      <c r="G22" s="947"/>
      <c r="H22" s="947"/>
      <c r="I22" s="947"/>
      <c r="J22" s="948"/>
      <c r="K22" s="946"/>
    </row>
    <row r="23" spans="1:11" ht="23.25">
      <c r="A23" s="939">
        <v>5</v>
      </c>
      <c r="B23" s="940" t="s">
        <v>2598</v>
      </c>
      <c r="C23" s="940" t="s">
        <v>2599</v>
      </c>
      <c r="D23" s="940" t="s">
        <v>13</v>
      </c>
      <c r="E23" s="941">
        <v>70</v>
      </c>
      <c r="F23" s="942"/>
      <c r="G23" s="942"/>
      <c r="H23" s="942"/>
      <c r="I23" s="942"/>
      <c r="J23" s="943">
        <v>0</v>
      </c>
      <c r="K23" s="941">
        <v>0</v>
      </c>
    </row>
    <row r="24" spans="1:11">
      <c r="A24" s="944"/>
      <c r="B24" s="945"/>
      <c r="C24" s="945" t="s">
        <v>2600</v>
      </c>
      <c r="D24" s="945"/>
      <c r="E24" s="946">
        <v>70</v>
      </c>
      <c r="F24" s="947"/>
      <c r="G24" s="947"/>
      <c r="H24" s="947"/>
      <c r="I24" s="947"/>
      <c r="J24" s="948"/>
      <c r="K24" s="946"/>
    </row>
    <row r="25" spans="1:11">
      <c r="A25" s="939">
        <v>6</v>
      </c>
      <c r="B25" s="940" t="s">
        <v>2211</v>
      </c>
      <c r="C25" s="940" t="s">
        <v>2601</v>
      </c>
      <c r="D25" s="940" t="s">
        <v>13</v>
      </c>
      <c r="E25" s="941">
        <v>1750</v>
      </c>
      <c r="F25" s="942"/>
      <c r="G25" s="942"/>
      <c r="H25" s="942"/>
      <c r="I25" s="942"/>
      <c r="J25" s="943">
        <v>0</v>
      </c>
      <c r="K25" s="941">
        <v>0</v>
      </c>
    </row>
    <row r="26" spans="1:11">
      <c r="A26" s="944"/>
      <c r="B26" s="945"/>
      <c r="C26" s="945" t="s">
        <v>2602</v>
      </c>
      <c r="D26" s="945"/>
      <c r="E26" s="946">
        <v>1750</v>
      </c>
      <c r="F26" s="947"/>
      <c r="G26" s="947"/>
      <c r="H26" s="947"/>
      <c r="I26" s="947"/>
      <c r="J26" s="948"/>
      <c r="K26" s="946"/>
    </row>
    <row r="27" spans="1:11">
      <c r="A27" s="939">
        <v>7</v>
      </c>
      <c r="B27" s="940" t="s">
        <v>2216</v>
      </c>
      <c r="C27" s="940" t="s">
        <v>2603</v>
      </c>
      <c r="D27" s="940" t="s">
        <v>13</v>
      </c>
      <c r="E27" s="941">
        <v>1750</v>
      </c>
      <c r="F27" s="942"/>
      <c r="G27" s="942"/>
      <c r="H27" s="942"/>
      <c r="I27" s="942"/>
      <c r="J27" s="943">
        <v>0</v>
      </c>
      <c r="K27" s="941">
        <v>0</v>
      </c>
    </row>
    <row r="28" spans="1:11">
      <c r="A28" s="944"/>
      <c r="B28" s="945"/>
      <c r="C28" s="945" t="s">
        <v>2602</v>
      </c>
      <c r="D28" s="945"/>
      <c r="E28" s="946">
        <v>1750</v>
      </c>
      <c r="F28" s="947"/>
      <c r="G28" s="947"/>
      <c r="H28" s="947"/>
      <c r="I28" s="947"/>
      <c r="J28" s="948"/>
      <c r="K28" s="946"/>
    </row>
    <row r="29" spans="1:11">
      <c r="A29" s="939">
        <v>8</v>
      </c>
      <c r="B29" s="940" t="s">
        <v>2218</v>
      </c>
      <c r="C29" s="940" t="s">
        <v>2219</v>
      </c>
      <c r="D29" s="940" t="s">
        <v>13</v>
      </c>
      <c r="E29" s="941">
        <v>1750</v>
      </c>
      <c r="F29" s="942"/>
      <c r="G29" s="942"/>
      <c r="H29" s="942"/>
      <c r="I29" s="942"/>
      <c r="J29" s="943">
        <v>0</v>
      </c>
      <c r="K29" s="941">
        <v>0</v>
      </c>
    </row>
    <row r="30" spans="1:11">
      <c r="A30" s="944"/>
      <c r="B30" s="945"/>
      <c r="C30" s="945" t="s">
        <v>2602</v>
      </c>
      <c r="D30" s="945"/>
      <c r="E30" s="946">
        <v>1750</v>
      </c>
      <c r="F30" s="947"/>
      <c r="G30" s="947"/>
      <c r="H30" s="947"/>
      <c r="I30" s="947"/>
      <c r="J30" s="948"/>
      <c r="K30" s="946"/>
    </row>
    <row r="31" spans="1:11">
      <c r="A31" s="954"/>
      <c r="B31" s="955"/>
      <c r="C31" s="955" t="s">
        <v>1910</v>
      </c>
      <c r="D31" s="955"/>
      <c r="E31" s="956"/>
      <c r="F31" s="957"/>
      <c r="G31" s="957">
        <f>G13</f>
        <v>0</v>
      </c>
      <c r="H31" s="957">
        <f t="shared" ref="H31:I31" si="2">H13</f>
        <v>0</v>
      </c>
      <c r="I31" s="957">
        <f t="shared" si="2"/>
        <v>0</v>
      </c>
      <c r="J31" s="958"/>
      <c r="K31" s="956">
        <v>1.4E-2</v>
      </c>
    </row>
  </sheetData>
  <mergeCells count="3">
    <mergeCell ref="H7:J7"/>
    <mergeCell ref="H8:J8"/>
    <mergeCell ref="A1:H1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66"/>
    <pageSetUpPr fitToPage="1"/>
  </sheetPr>
  <dimension ref="A1:BR65"/>
  <sheetViews>
    <sheetView tabSelected="1" workbookViewId="0">
      <selection activeCell="I23" sqref="I23"/>
    </sheetView>
  </sheetViews>
  <sheetFormatPr defaultRowHeight="15"/>
  <cols>
    <col min="1" max="1" width="1.5703125" customWidth="1"/>
    <col min="2" max="2" width="1" customWidth="1"/>
    <col min="3" max="3" width="3.5703125" customWidth="1"/>
    <col min="4" max="4" width="5.5703125" customWidth="1"/>
    <col min="5" max="5" width="14.42578125" customWidth="1"/>
    <col min="6" max="6" width="47.5703125" customWidth="1"/>
    <col min="7" max="7" width="6.42578125" customWidth="1"/>
    <col min="8" max="8" width="9.85546875" customWidth="1"/>
    <col min="9" max="9" width="11.85546875" customWidth="1"/>
    <col min="10" max="10" width="15.5703125" customWidth="1"/>
    <col min="11" max="11" width="17.28515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69" width="0" hidden="1" customWidth="1"/>
  </cols>
  <sheetData>
    <row r="1" spans="1:65" s="634" customFormat="1" ht="6.95" customHeight="1">
      <c r="A1" s="630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</row>
    <row r="2" spans="1:65" s="634" customFormat="1" ht="24.95" customHeight="1">
      <c r="A2" s="630"/>
      <c r="B2" s="631"/>
      <c r="C2" s="1110" t="s">
        <v>662</v>
      </c>
      <c r="D2" s="1110"/>
      <c r="E2" s="1110"/>
      <c r="F2" s="1110"/>
      <c r="G2" s="1110"/>
      <c r="H2" s="1110"/>
      <c r="I2" s="1110"/>
      <c r="J2" s="1110"/>
      <c r="K2" s="630"/>
      <c r="L2" s="633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</row>
    <row r="3" spans="1:65" s="634" customFormat="1" ht="6.95" customHeight="1">
      <c r="A3" s="630"/>
      <c r="B3" s="631"/>
      <c r="C3" s="630"/>
      <c r="D3" s="630"/>
      <c r="E3" s="630"/>
      <c r="F3" s="630"/>
      <c r="G3" s="630"/>
      <c r="H3" s="630"/>
      <c r="I3" s="630"/>
      <c r="J3" s="630"/>
      <c r="K3" s="630"/>
      <c r="L3" s="633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</row>
    <row r="4" spans="1:65" s="634" customFormat="1" ht="15.75">
      <c r="A4" s="630"/>
      <c r="B4" s="631"/>
      <c r="C4" s="632" t="s">
        <v>504</v>
      </c>
      <c r="D4" s="630"/>
      <c r="E4" s="704" t="s">
        <v>1041</v>
      </c>
      <c r="F4" s="630"/>
      <c r="G4" s="630"/>
      <c r="H4" s="630"/>
      <c r="I4" s="630"/>
      <c r="J4" s="630"/>
      <c r="K4" s="630"/>
      <c r="L4" s="633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</row>
    <row r="5" spans="1:65" s="634" customFormat="1" ht="16.5" customHeight="1">
      <c r="A5" s="630"/>
      <c r="B5" s="631"/>
      <c r="C5" s="630" t="s">
        <v>65</v>
      </c>
      <c r="D5" s="630"/>
      <c r="E5" s="1118" t="s">
        <v>1123</v>
      </c>
      <c r="F5" s="1119"/>
      <c r="G5" s="1119"/>
      <c r="H5" s="1119"/>
      <c r="I5" s="630"/>
      <c r="J5" s="1049" t="s">
        <v>2690</v>
      </c>
      <c r="K5" s="630"/>
      <c r="L5" s="633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</row>
    <row r="6" spans="1:65" s="634" customFormat="1" ht="6.95" customHeight="1">
      <c r="A6" s="630"/>
      <c r="B6" s="631"/>
      <c r="C6" s="630"/>
      <c r="D6" s="630"/>
      <c r="E6" s="630"/>
      <c r="F6" s="630"/>
      <c r="G6" s="630"/>
      <c r="H6" s="630"/>
      <c r="I6" s="630"/>
      <c r="J6" s="630"/>
      <c r="K6" s="630"/>
      <c r="L6" s="633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</row>
    <row r="7" spans="1:65" s="634" customFormat="1" ht="15.2" customHeight="1">
      <c r="A7" s="630"/>
      <c r="B7" s="631"/>
      <c r="C7" s="632" t="s">
        <v>1045</v>
      </c>
      <c r="D7" s="630"/>
      <c r="E7" s="630"/>
      <c r="F7" s="635"/>
      <c r="G7" s="630"/>
      <c r="H7" s="630"/>
      <c r="I7" s="632" t="s">
        <v>1044</v>
      </c>
      <c r="J7" s="636">
        <v>44670</v>
      </c>
      <c r="K7" s="630"/>
      <c r="L7" s="633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</row>
    <row r="8" spans="1:65" s="634" customFormat="1" ht="15.2" customHeight="1">
      <c r="A8" s="630"/>
      <c r="B8" s="631"/>
      <c r="C8" s="632" t="s">
        <v>1046</v>
      </c>
      <c r="D8" s="630"/>
      <c r="E8" s="630"/>
      <c r="F8" s="635"/>
      <c r="G8" s="630"/>
      <c r="H8" s="630"/>
      <c r="I8" s="632" t="s">
        <v>1047</v>
      </c>
      <c r="J8" s="642"/>
      <c r="K8" s="630"/>
      <c r="L8" s="633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</row>
    <row r="9" spans="1:65" s="634" customFormat="1" ht="10.35" customHeight="1">
      <c r="A9" s="630"/>
      <c r="B9" s="631"/>
      <c r="C9" s="630"/>
      <c r="D9" s="630"/>
      <c r="E9" s="630"/>
      <c r="F9" s="630"/>
      <c r="G9" s="630"/>
      <c r="H9" s="630"/>
      <c r="I9" s="630"/>
      <c r="J9" s="630"/>
      <c r="K9" s="630"/>
      <c r="L9" s="633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</row>
    <row r="10" spans="1:65" s="653" customFormat="1" ht="29.25" customHeight="1">
      <c r="A10" s="643"/>
      <c r="B10" s="644"/>
      <c r="C10" s="645" t="s">
        <v>1051</v>
      </c>
      <c r="D10" s="646" t="s">
        <v>1052</v>
      </c>
      <c r="E10" s="646" t="s">
        <v>507</v>
      </c>
      <c r="F10" s="646" t="s">
        <v>777</v>
      </c>
      <c r="G10" s="646" t="s">
        <v>7</v>
      </c>
      <c r="H10" s="646" t="s">
        <v>1053</v>
      </c>
      <c r="I10" s="646" t="s">
        <v>1054</v>
      </c>
      <c r="J10" s="647" t="s">
        <v>1049</v>
      </c>
      <c r="K10" s="648" t="s">
        <v>1055</v>
      </c>
      <c r="L10" s="649"/>
      <c r="M10" s="650" t="s">
        <v>1043</v>
      </c>
      <c r="N10" s="651" t="s">
        <v>496</v>
      </c>
      <c r="O10" s="651" t="s">
        <v>1056</v>
      </c>
      <c r="P10" s="651" t="s">
        <v>1057</v>
      </c>
      <c r="Q10" s="651" t="s">
        <v>1058</v>
      </c>
      <c r="R10" s="651" t="s">
        <v>1059</v>
      </c>
      <c r="S10" s="651" t="s">
        <v>1060</v>
      </c>
      <c r="T10" s="652" t="s">
        <v>1061</v>
      </c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</row>
    <row r="11" spans="1:65" s="634" customFormat="1" ht="22.9" customHeight="1">
      <c r="A11" s="630"/>
      <c r="B11" s="631"/>
      <c r="C11" s="654" t="s">
        <v>1105</v>
      </c>
      <c r="D11" s="630"/>
      <c r="E11" s="630"/>
      <c r="F11" s="630"/>
      <c r="G11" s="630"/>
      <c r="H11" s="630"/>
      <c r="I11" s="630"/>
      <c r="J11" s="655">
        <f>J12+J48+J63</f>
        <v>0</v>
      </c>
      <c r="K11" s="630"/>
      <c r="L11" s="631"/>
      <c r="M11" s="656"/>
      <c r="N11" s="657"/>
      <c r="O11" s="637"/>
      <c r="P11" s="658">
        <f>P12+P48+P63</f>
        <v>29.815999999999999</v>
      </c>
      <c r="Q11" s="637"/>
      <c r="R11" s="658">
        <f>R12+R48+R63</f>
        <v>96.073700000000002</v>
      </c>
      <c r="S11" s="637"/>
      <c r="T11" s="659">
        <f>T12+T48+T63</f>
        <v>0</v>
      </c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T11" s="629" t="s">
        <v>491</v>
      </c>
      <c r="AU11" s="629" t="s">
        <v>1050</v>
      </c>
      <c r="BK11" s="660">
        <f>BK12+BK48+BK63</f>
        <v>0</v>
      </c>
    </row>
    <row r="12" spans="1:65" s="661" customFormat="1" ht="25.9" customHeight="1">
      <c r="B12" s="662"/>
      <c r="D12" s="663" t="s">
        <v>491</v>
      </c>
      <c r="E12" s="664" t="s">
        <v>22</v>
      </c>
      <c r="F12" s="664" t="s">
        <v>1062</v>
      </c>
      <c r="J12" s="665">
        <f>J13+J16+J23</f>
        <v>0</v>
      </c>
      <c r="L12" s="662"/>
      <c r="M12" s="666"/>
      <c r="N12" s="667"/>
      <c r="O12" s="667"/>
      <c r="P12" s="668">
        <f>P13+P16+P23</f>
        <v>29.75</v>
      </c>
      <c r="Q12" s="667"/>
      <c r="R12" s="668">
        <f>R13+R16+R23</f>
        <v>96.073700000000002</v>
      </c>
      <c r="S12" s="667"/>
      <c r="T12" s="669">
        <f>T13+T16+T23</f>
        <v>0</v>
      </c>
      <c r="AR12" s="663" t="s">
        <v>791</v>
      </c>
      <c r="AT12" s="670" t="s">
        <v>491</v>
      </c>
      <c r="AU12" s="670" t="s">
        <v>788</v>
      </c>
      <c r="AY12" s="663" t="s">
        <v>1063</v>
      </c>
      <c r="BK12" s="671">
        <f>BK13+BK16+BK23</f>
        <v>0</v>
      </c>
    </row>
    <row r="13" spans="1:65" s="661" customFormat="1" ht="22.9" customHeight="1">
      <c r="B13" s="662"/>
      <c r="D13" s="663" t="s">
        <v>491</v>
      </c>
      <c r="E13" s="672" t="s">
        <v>791</v>
      </c>
      <c r="F13" s="672" t="s">
        <v>30</v>
      </c>
      <c r="J13" s="673">
        <f>SUM(J14)</f>
        <v>0</v>
      </c>
      <c r="L13" s="662"/>
      <c r="M13" s="666"/>
      <c r="N13" s="667"/>
      <c r="O13" s="667"/>
      <c r="P13" s="668">
        <f>SUM(P14:P15)</f>
        <v>0</v>
      </c>
      <c r="Q13" s="667"/>
      <c r="R13" s="668">
        <f>SUM(R14:R15)</f>
        <v>0</v>
      </c>
      <c r="S13" s="667"/>
      <c r="T13" s="669">
        <f>SUM(T14:T15)</f>
        <v>0</v>
      </c>
      <c r="AR13" s="663" t="s">
        <v>791</v>
      </c>
      <c r="AT13" s="670" t="s">
        <v>491</v>
      </c>
      <c r="AU13" s="670" t="s">
        <v>791</v>
      </c>
      <c r="AY13" s="663" t="s">
        <v>1063</v>
      </c>
      <c r="BK13" s="671">
        <f>SUM(BK14:BK15)</f>
        <v>0</v>
      </c>
    </row>
    <row r="14" spans="1:65" s="634" customFormat="1" ht="29.45" customHeight="1">
      <c r="A14" s="630"/>
      <c r="B14" s="674"/>
      <c r="C14" s="675">
        <v>1</v>
      </c>
      <c r="D14" s="675" t="s">
        <v>29</v>
      </c>
      <c r="E14" s="676" t="s">
        <v>1064</v>
      </c>
      <c r="F14" s="677" t="s">
        <v>2615</v>
      </c>
      <c r="G14" s="678" t="s">
        <v>12</v>
      </c>
      <c r="H14" s="679">
        <v>74.5</v>
      </c>
      <c r="I14" s="680"/>
      <c r="J14" s="680">
        <f>ROUND(I14*H14,2)</f>
        <v>0</v>
      </c>
      <c r="K14" s="681"/>
      <c r="L14" s="631"/>
      <c r="M14" s="682" t="s">
        <v>1043</v>
      </c>
      <c r="N14" s="683" t="s">
        <v>1048</v>
      </c>
      <c r="O14" s="684">
        <v>0</v>
      </c>
      <c r="P14" s="684">
        <f>O14*H14</f>
        <v>0</v>
      </c>
      <c r="Q14" s="684">
        <v>0</v>
      </c>
      <c r="R14" s="684">
        <f>Q14*H14</f>
        <v>0</v>
      </c>
      <c r="S14" s="684">
        <v>0</v>
      </c>
      <c r="T14" s="685">
        <f>S14*H14</f>
        <v>0</v>
      </c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R14" s="686" t="s">
        <v>1065</v>
      </c>
      <c r="AT14" s="686" t="s">
        <v>29</v>
      </c>
      <c r="AU14" s="686" t="s">
        <v>795</v>
      </c>
      <c r="AY14" s="629" t="s">
        <v>1063</v>
      </c>
      <c r="BE14" s="687">
        <f>IF(N14="základní",J14,0)</f>
        <v>0</v>
      </c>
      <c r="BF14" s="687">
        <f>IF(N14="snížená",J14,0)</f>
        <v>0</v>
      </c>
      <c r="BG14" s="687">
        <f>IF(N14="zákl. přenesená",J14,0)</f>
        <v>0</v>
      </c>
      <c r="BH14" s="687">
        <f>IF(N14="sníž. přenesená",J14,0)</f>
        <v>0</v>
      </c>
      <c r="BI14" s="687">
        <f>IF(N14="nulová",J14,0)</f>
        <v>0</v>
      </c>
      <c r="BJ14" s="629" t="s">
        <v>791</v>
      </c>
      <c r="BK14" s="687">
        <f>ROUND(I14*H14,2)</f>
        <v>0</v>
      </c>
      <c r="BL14" s="629" t="s">
        <v>1065</v>
      </c>
      <c r="BM14" s="686" t="s">
        <v>1066</v>
      </c>
    </row>
    <row r="15" spans="1:65" s="634" customFormat="1">
      <c r="A15" s="630"/>
      <c r="B15" s="631"/>
      <c r="C15" s="630"/>
      <c r="D15" s="688" t="s">
        <v>1067</v>
      </c>
      <c r="E15" s="630"/>
      <c r="F15" s="689" t="s">
        <v>2653</v>
      </c>
      <c r="G15" s="630"/>
      <c r="H15" s="630"/>
      <c r="I15" s="630"/>
      <c r="J15" s="630"/>
      <c r="K15" s="630"/>
      <c r="L15" s="631"/>
      <c r="M15" s="690"/>
      <c r="N15" s="691"/>
      <c r="O15" s="692"/>
      <c r="P15" s="692"/>
      <c r="Q15" s="692"/>
      <c r="R15" s="692"/>
      <c r="S15" s="692"/>
      <c r="T15" s="693"/>
      <c r="U15" s="630"/>
      <c r="V15" s="630"/>
      <c r="W15" s="630"/>
      <c r="X15" s="630"/>
      <c r="Y15" s="630"/>
      <c r="Z15" s="630"/>
      <c r="AA15" s="630"/>
      <c r="AB15" s="630"/>
      <c r="AC15" s="630"/>
      <c r="AD15" s="630"/>
      <c r="AE15" s="630"/>
      <c r="AT15" s="629" t="s">
        <v>1067</v>
      </c>
      <c r="AU15" s="629" t="s">
        <v>795</v>
      </c>
    </row>
    <row r="16" spans="1:65" s="661" customFormat="1" ht="22.9" customHeight="1">
      <c r="B16" s="662"/>
      <c r="D16" s="663" t="s">
        <v>491</v>
      </c>
      <c r="E16" s="672" t="s">
        <v>795</v>
      </c>
      <c r="F16" s="672" t="s">
        <v>16</v>
      </c>
      <c r="J16" s="1152">
        <f>SUM(J17:J22)</f>
        <v>0</v>
      </c>
      <c r="L16" s="662"/>
      <c r="M16" s="666"/>
      <c r="N16" s="667"/>
      <c r="O16" s="667"/>
      <c r="P16" s="668">
        <f>SUM(P17:P18)</f>
        <v>0</v>
      </c>
      <c r="Q16" s="667"/>
      <c r="R16" s="668">
        <f>SUM(R17:R18)</f>
        <v>0</v>
      </c>
      <c r="S16" s="667"/>
      <c r="T16" s="669">
        <f>SUM(T17:T18)</f>
        <v>0</v>
      </c>
      <c r="AR16" s="663" t="s">
        <v>791</v>
      </c>
      <c r="AT16" s="670" t="s">
        <v>491</v>
      </c>
      <c r="AU16" s="670" t="s">
        <v>791</v>
      </c>
      <c r="AY16" s="663" t="s">
        <v>1063</v>
      </c>
      <c r="BK16" s="671">
        <f>SUM(BK17:BK18)</f>
        <v>0</v>
      </c>
    </row>
    <row r="17" spans="1:70" s="634" customFormat="1" ht="14.45" customHeight="1">
      <c r="A17" s="630"/>
      <c r="B17" s="674"/>
      <c r="C17" s="694">
        <v>2</v>
      </c>
      <c r="D17" s="694" t="s">
        <v>83</v>
      </c>
      <c r="E17" s="695" t="s">
        <v>1069</v>
      </c>
      <c r="F17" s="696" t="s">
        <v>1070</v>
      </c>
      <c r="G17" s="697" t="s">
        <v>13</v>
      </c>
      <c r="H17" s="698">
        <v>386.2</v>
      </c>
      <c r="I17" s="699"/>
      <c r="J17" s="699">
        <f>ROUND(I17*H17,2)</f>
        <v>0</v>
      </c>
      <c r="K17" s="700"/>
      <c r="L17" s="701"/>
      <c r="M17" s="702" t="s">
        <v>1043</v>
      </c>
      <c r="N17" s="703" t="s">
        <v>1048</v>
      </c>
      <c r="O17" s="684">
        <v>0</v>
      </c>
      <c r="P17" s="684">
        <f>O17*H17</f>
        <v>0</v>
      </c>
      <c r="Q17" s="684">
        <v>0</v>
      </c>
      <c r="R17" s="684">
        <f>Q17*H17</f>
        <v>0</v>
      </c>
      <c r="S17" s="684">
        <v>0</v>
      </c>
      <c r="T17" s="685">
        <f>S17*H17</f>
        <v>0</v>
      </c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R17" s="686" t="s">
        <v>1071</v>
      </c>
      <c r="AT17" s="686" t="s">
        <v>83</v>
      </c>
      <c r="AU17" s="686" t="s">
        <v>795</v>
      </c>
      <c r="AY17" s="629" t="s">
        <v>1063</v>
      </c>
      <c r="BE17" s="687">
        <f>IF(N17="základní",J17,0)</f>
        <v>0</v>
      </c>
      <c r="BF17" s="687">
        <f>IF(N17="snížená",J17,0)</f>
        <v>0</v>
      </c>
      <c r="BG17" s="687">
        <f>IF(N17="zákl. přenesená",J17,0)</f>
        <v>0</v>
      </c>
      <c r="BH17" s="687">
        <f>IF(N17="sníž. přenesená",J17,0)</f>
        <v>0</v>
      </c>
      <c r="BI17" s="687">
        <f>IF(N17="nulová",J17,0)</f>
        <v>0</v>
      </c>
      <c r="BJ17" s="629" t="s">
        <v>791</v>
      </c>
      <c r="BK17" s="687">
        <f>ROUND(I17*H17,2)</f>
        <v>0</v>
      </c>
      <c r="BL17" s="629" t="s">
        <v>1065</v>
      </c>
      <c r="BM17" s="686" t="s">
        <v>1072</v>
      </c>
    </row>
    <row r="18" spans="1:70" s="634" customFormat="1">
      <c r="A18" s="630"/>
      <c r="B18" s="631"/>
      <c r="C18" s="630"/>
      <c r="D18" s="688" t="s">
        <v>1067</v>
      </c>
      <c r="E18" s="630"/>
      <c r="F18" s="689" t="s">
        <v>2654</v>
      </c>
      <c r="G18" s="630"/>
      <c r="H18" s="630"/>
      <c r="I18" s="630"/>
      <c r="J18" s="630"/>
      <c r="K18" s="630"/>
      <c r="L18" s="631"/>
      <c r="M18" s="690"/>
      <c r="N18" s="691"/>
      <c r="O18" s="692"/>
      <c r="P18" s="692"/>
      <c r="Q18" s="692"/>
      <c r="R18" s="692"/>
      <c r="S18" s="692"/>
      <c r="T18" s="693"/>
      <c r="U18" s="630"/>
      <c r="V18" s="630"/>
      <c r="W18" s="630"/>
      <c r="X18" s="630"/>
      <c r="Y18" s="630"/>
      <c r="Z18" s="630"/>
      <c r="AA18" s="630"/>
      <c r="AB18" s="630"/>
      <c r="AC18" s="630"/>
      <c r="AD18" s="630"/>
      <c r="AE18" s="630"/>
      <c r="AT18" s="629" t="s">
        <v>1067</v>
      </c>
      <c r="AU18" s="629" t="s">
        <v>795</v>
      </c>
    </row>
    <row r="19" spans="1:70" s="634" customFormat="1" ht="18" customHeight="1">
      <c r="A19" s="630"/>
      <c r="B19" s="631"/>
      <c r="C19" s="1073">
        <v>3</v>
      </c>
      <c r="D19" s="1073" t="s">
        <v>83</v>
      </c>
      <c r="E19" s="1074" t="s">
        <v>1073</v>
      </c>
      <c r="F19" s="1075" t="s">
        <v>2705</v>
      </c>
      <c r="G19" s="1076" t="s">
        <v>19</v>
      </c>
      <c r="H19" s="1077">
        <v>68</v>
      </c>
      <c r="I19" s="1078"/>
      <c r="J19" s="1078">
        <f>ROUND(I19*H19,2)</f>
        <v>0</v>
      </c>
      <c r="K19" s="630"/>
      <c r="L19" s="631"/>
      <c r="M19" s="690"/>
      <c r="N19" s="691"/>
      <c r="O19" s="692"/>
      <c r="P19" s="692"/>
      <c r="Q19" s="692"/>
      <c r="R19" s="692"/>
      <c r="S19" s="692"/>
      <c r="T19" s="693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T19" s="629"/>
      <c r="AU19" s="629"/>
    </row>
    <row r="20" spans="1:70" s="634" customFormat="1">
      <c r="A20" s="630"/>
      <c r="B20" s="631"/>
      <c r="C20" s="1079"/>
      <c r="D20" s="1080" t="s">
        <v>1067</v>
      </c>
      <c r="E20" s="1079"/>
      <c r="F20" s="1067" t="s">
        <v>2705</v>
      </c>
      <c r="G20" s="1079"/>
      <c r="H20" s="1079"/>
      <c r="I20" s="1079"/>
      <c r="J20" s="1079"/>
      <c r="K20" s="630"/>
      <c r="L20" s="631"/>
      <c r="M20" s="690"/>
      <c r="N20" s="691"/>
      <c r="O20" s="692"/>
      <c r="P20" s="692"/>
      <c r="Q20" s="692"/>
      <c r="R20" s="692"/>
      <c r="S20" s="692"/>
      <c r="T20" s="693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T20" s="629"/>
      <c r="AU20" s="629"/>
    </row>
    <row r="21" spans="1:70" s="634" customFormat="1" ht="18" customHeight="1">
      <c r="A21" s="1050"/>
      <c r="B21" s="631"/>
      <c r="C21" s="1082" t="s">
        <v>2698</v>
      </c>
      <c r="D21" s="1073" t="s">
        <v>83</v>
      </c>
      <c r="E21" s="1074" t="s">
        <v>2699</v>
      </c>
      <c r="F21" s="1075" t="s">
        <v>2700</v>
      </c>
      <c r="G21" s="1076" t="s">
        <v>19</v>
      </c>
      <c r="H21" s="1077">
        <v>52</v>
      </c>
      <c r="I21" s="1078"/>
      <c r="J21" s="1078">
        <f>ROUND(I21*H21,2)</f>
        <v>0</v>
      </c>
      <c r="K21" s="1050"/>
      <c r="L21" s="631"/>
      <c r="M21" s="690"/>
      <c r="N21" s="691"/>
      <c r="O21" s="692"/>
      <c r="P21" s="692"/>
      <c r="Q21" s="692"/>
      <c r="R21" s="692"/>
      <c r="S21" s="692"/>
      <c r="T21" s="693"/>
      <c r="U21" s="1050"/>
      <c r="V21" s="1050"/>
      <c r="W21" s="1050"/>
      <c r="X21" s="1050"/>
      <c r="Y21" s="1050"/>
      <c r="Z21" s="1050"/>
      <c r="AA21" s="1050"/>
      <c r="AB21" s="1050"/>
      <c r="AC21" s="1050"/>
      <c r="AD21" s="1050"/>
      <c r="AE21" s="1050"/>
      <c r="AT21" s="629"/>
      <c r="AU21" s="629"/>
    </row>
    <row r="22" spans="1:70" s="634" customFormat="1">
      <c r="A22" s="1050"/>
      <c r="B22" s="631"/>
      <c r="C22" s="1079"/>
      <c r="D22" s="1080" t="s">
        <v>1067</v>
      </c>
      <c r="E22" s="1079"/>
      <c r="F22" s="1081" t="s">
        <v>2612</v>
      </c>
      <c r="G22" s="1079"/>
      <c r="H22" s="1079"/>
      <c r="I22" s="1079"/>
      <c r="J22" s="1079"/>
      <c r="K22" s="1050"/>
      <c r="L22" s="631"/>
      <c r="M22" s="690"/>
      <c r="N22" s="691"/>
      <c r="O22" s="692"/>
      <c r="P22" s="692"/>
      <c r="Q22" s="692"/>
      <c r="R22" s="692"/>
      <c r="S22" s="692"/>
      <c r="T22" s="693"/>
      <c r="U22" s="1050"/>
      <c r="V22" s="1050"/>
      <c r="W22" s="1050"/>
      <c r="X22" s="1050"/>
      <c r="Y22" s="1050"/>
      <c r="Z22" s="1050"/>
      <c r="AA22" s="1050"/>
      <c r="AB22" s="1050"/>
      <c r="AC22" s="1050"/>
      <c r="AD22" s="1050"/>
      <c r="AE22" s="1050"/>
      <c r="AT22" s="629"/>
      <c r="AU22" s="629"/>
    </row>
    <row r="23" spans="1:70" s="661" customFormat="1" ht="22.9" customHeight="1">
      <c r="B23" s="662"/>
      <c r="D23" s="663" t="s">
        <v>491</v>
      </c>
      <c r="E23" s="672" t="s">
        <v>1074</v>
      </c>
      <c r="F23" s="672" t="s">
        <v>52</v>
      </c>
      <c r="J23" s="673">
        <f>SUM(J24:J46)</f>
        <v>0</v>
      </c>
      <c r="L23" s="662"/>
      <c r="M23" s="666"/>
      <c r="N23" s="667"/>
      <c r="O23" s="667"/>
      <c r="P23" s="668">
        <f>SUM(P24:P41)</f>
        <v>29.75</v>
      </c>
      <c r="Q23" s="667"/>
      <c r="R23" s="668">
        <f>SUM(R24:R41)</f>
        <v>96.073700000000002</v>
      </c>
      <c r="S23" s="667"/>
      <c r="T23" s="669">
        <f>SUM(T24:T41)</f>
        <v>0</v>
      </c>
      <c r="AR23" s="663" t="s">
        <v>791</v>
      </c>
      <c r="AT23" s="670" t="s">
        <v>491</v>
      </c>
      <c r="AU23" s="670" t="s">
        <v>791</v>
      </c>
      <c r="AY23" s="663" t="s">
        <v>1063</v>
      </c>
      <c r="BK23" s="671">
        <f>SUM(BK24:BK41)</f>
        <v>0</v>
      </c>
    </row>
    <row r="24" spans="1:70" s="634" customFormat="1" ht="24">
      <c r="A24" s="630"/>
      <c r="B24" s="674"/>
      <c r="C24" s="1083">
        <v>4</v>
      </c>
      <c r="D24" s="1083" t="s">
        <v>29</v>
      </c>
      <c r="E24" s="1084" t="s">
        <v>1076</v>
      </c>
      <c r="F24" s="1066" t="s">
        <v>2701</v>
      </c>
      <c r="G24" s="1085" t="s">
        <v>13</v>
      </c>
      <c r="H24" s="1086">
        <v>170</v>
      </c>
      <c r="I24" s="1087"/>
      <c r="J24" s="1087">
        <f>ROUND(I24*H24,2)</f>
        <v>0</v>
      </c>
      <c r="K24" s="681"/>
      <c r="L24" s="631"/>
      <c r="M24" s="682" t="s">
        <v>1043</v>
      </c>
      <c r="N24" s="683" t="s">
        <v>1048</v>
      </c>
      <c r="O24" s="684">
        <v>0</v>
      </c>
      <c r="P24" s="684">
        <f>O24*H24</f>
        <v>0</v>
      </c>
      <c r="Q24" s="684">
        <v>8.1100000000000005E-2</v>
      </c>
      <c r="R24" s="684">
        <f>Q24*H24</f>
        <v>13.787000000000001</v>
      </c>
      <c r="S24" s="684">
        <v>0</v>
      </c>
      <c r="T24" s="685">
        <f>S24*H24</f>
        <v>0</v>
      </c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R24" s="686" t="s">
        <v>1065</v>
      </c>
      <c r="AT24" s="686" t="s">
        <v>29</v>
      </c>
      <c r="AU24" s="686" t="s">
        <v>795</v>
      </c>
      <c r="AY24" s="629" t="s">
        <v>1063</v>
      </c>
      <c r="BE24" s="687">
        <f>IF(N24="základní",J24,0)</f>
        <v>0</v>
      </c>
      <c r="BF24" s="687">
        <f>IF(N24="snížená",J24,0)</f>
        <v>0</v>
      </c>
      <c r="BG24" s="687">
        <f>IF(N24="zákl. přenesená",J24,0)</f>
        <v>0</v>
      </c>
      <c r="BH24" s="687">
        <f>IF(N24="sníž. přenesená",J24,0)</f>
        <v>0</v>
      </c>
      <c r="BI24" s="687">
        <f>IF(N24="nulová",J24,0)</f>
        <v>0</v>
      </c>
      <c r="BJ24" s="629" t="s">
        <v>791</v>
      </c>
      <c r="BK24" s="687">
        <f>ROUND(I24*H24,2)</f>
        <v>0</v>
      </c>
      <c r="BL24" s="629" t="s">
        <v>1065</v>
      </c>
      <c r="BM24" s="686" t="s">
        <v>1077</v>
      </c>
      <c r="BR24" s="661"/>
    </row>
    <row r="25" spans="1:70" s="634" customFormat="1" ht="19.5">
      <c r="A25" s="630"/>
      <c r="B25" s="631"/>
      <c r="C25" s="1079"/>
      <c r="D25" s="1080" t="s">
        <v>1067</v>
      </c>
      <c r="E25" s="1079"/>
      <c r="F25" s="1067" t="s">
        <v>2701</v>
      </c>
      <c r="G25" s="1079"/>
      <c r="H25" s="1079"/>
      <c r="I25" s="1079"/>
      <c r="J25" s="1079"/>
      <c r="K25" s="630"/>
      <c r="L25" s="631"/>
      <c r="M25" s="690"/>
      <c r="N25" s="691"/>
      <c r="O25" s="692"/>
      <c r="P25" s="692"/>
      <c r="Q25" s="692"/>
      <c r="R25" s="692"/>
      <c r="S25" s="692"/>
      <c r="T25" s="693"/>
      <c r="U25" s="630"/>
      <c r="V25" s="630"/>
      <c r="W25" s="630"/>
      <c r="X25" s="630"/>
      <c r="Y25" s="630"/>
      <c r="Z25" s="630"/>
      <c r="AA25" s="630"/>
      <c r="AB25" s="630"/>
      <c r="AC25" s="630"/>
      <c r="AD25" s="630"/>
      <c r="AE25" s="630"/>
      <c r="AT25" s="629" t="s">
        <v>1067</v>
      </c>
      <c r="AU25" s="629" t="s">
        <v>795</v>
      </c>
      <c r="BR25" s="661"/>
    </row>
    <row r="26" spans="1:70" s="634" customFormat="1" ht="24.2" customHeight="1">
      <c r="A26" s="630"/>
      <c r="B26" s="674"/>
      <c r="C26" s="1083">
        <v>5</v>
      </c>
      <c r="D26" s="1083" t="s">
        <v>29</v>
      </c>
      <c r="E26" s="1089" t="s">
        <v>2703</v>
      </c>
      <c r="F26" s="1066" t="s">
        <v>2702</v>
      </c>
      <c r="G26" s="1085" t="s">
        <v>13</v>
      </c>
      <c r="H26" s="1086">
        <v>170</v>
      </c>
      <c r="I26" s="1087"/>
      <c r="J26" s="1087">
        <f>ROUND(I26*H26,2)</f>
        <v>0</v>
      </c>
      <c r="K26" s="681"/>
      <c r="L26" s="631"/>
      <c r="M26" s="682" t="s">
        <v>1043</v>
      </c>
      <c r="N26" s="683" t="s">
        <v>1048</v>
      </c>
      <c r="O26" s="684">
        <v>2.8000000000000001E-2</v>
      </c>
      <c r="P26" s="684">
        <f>O26*H26</f>
        <v>4.76</v>
      </c>
      <c r="Q26" s="684">
        <v>0</v>
      </c>
      <c r="R26" s="684">
        <f>Q26*H26</f>
        <v>0</v>
      </c>
      <c r="S26" s="684">
        <v>0</v>
      </c>
      <c r="T26" s="685">
        <f>S26*H26</f>
        <v>0</v>
      </c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R26" s="686" t="s">
        <v>1065</v>
      </c>
      <c r="AT26" s="686" t="s">
        <v>29</v>
      </c>
      <c r="AU26" s="686" t="s">
        <v>795</v>
      </c>
      <c r="AY26" s="629" t="s">
        <v>1063</v>
      </c>
      <c r="BE26" s="687">
        <f>IF(N26="základní",J26,0)</f>
        <v>0</v>
      </c>
      <c r="BF26" s="687">
        <f>IF(N26="snížená",J26,0)</f>
        <v>0</v>
      </c>
      <c r="BG26" s="687">
        <f>IF(N26="zákl. přenesená",J26,0)</f>
        <v>0</v>
      </c>
      <c r="BH26" s="687">
        <f>IF(N26="sníž. přenesená",J26,0)</f>
        <v>0</v>
      </c>
      <c r="BI26" s="687">
        <f>IF(N26="nulová",J26,0)</f>
        <v>0</v>
      </c>
      <c r="BJ26" s="629" t="s">
        <v>791</v>
      </c>
      <c r="BK26" s="687">
        <f>ROUND(I26*H26,2)</f>
        <v>0</v>
      </c>
      <c r="BL26" s="629" t="s">
        <v>1065</v>
      </c>
      <c r="BM26" s="686" t="s">
        <v>1079</v>
      </c>
      <c r="BR26" s="661"/>
    </row>
    <row r="27" spans="1:70" s="634" customFormat="1" ht="19.5">
      <c r="A27" s="630"/>
      <c r="B27" s="631"/>
      <c r="C27" s="1079"/>
      <c r="D27" s="1080" t="s">
        <v>1067</v>
      </c>
      <c r="E27" s="1079"/>
      <c r="F27" s="1067" t="s">
        <v>2702</v>
      </c>
      <c r="G27" s="1079"/>
      <c r="H27" s="1079"/>
      <c r="I27" s="1079"/>
      <c r="J27" s="1079"/>
      <c r="K27" s="630"/>
      <c r="L27" s="631"/>
      <c r="M27" s="690"/>
      <c r="N27" s="691"/>
      <c r="O27" s="692"/>
      <c r="P27" s="692"/>
      <c r="Q27" s="692"/>
      <c r="R27" s="692"/>
      <c r="S27" s="692"/>
      <c r="T27" s="693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T27" s="629" t="s">
        <v>1067</v>
      </c>
      <c r="AU27" s="629" t="s">
        <v>795</v>
      </c>
      <c r="BR27" s="661"/>
    </row>
    <row r="28" spans="1:70" s="634" customFormat="1" ht="24.2" customHeight="1">
      <c r="A28" s="1050"/>
      <c r="B28" s="674"/>
      <c r="C28" s="1088" t="s">
        <v>127</v>
      </c>
      <c r="D28" s="1083" t="s">
        <v>29</v>
      </c>
      <c r="E28" s="1084" t="s">
        <v>1078</v>
      </c>
      <c r="F28" s="1066" t="s">
        <v>2704</v>
      </c>
      <c r="G28" s="1085" t="s">
        <v>13</v>
      </c>
      <c r="H28" s="1086">
        <v>170</v>
      </c>
      <c r="I28" s="1087"/>
      <c r="J28" s="1087">
        <f>ROUND(I28*H28,2)</f>
        <v>0</v>
      </c>
      <c r="K28" s="681"/>
      <c r="L28" s="631"/>
      <c r="M28" s="682" t="s">
        <v>1043</v>
      </c>
      <c r="N28" s="683" t="s">
        <v>1048</v>
      </c>
      <c r="O28" s="684">
        <v>2.8000000000000001E-2</v>
      </c>
      <c r="P28" s="684">
        <f>O28*H28</f>
        <v>4.76</v>
      </c>
      <c r="Q28" s="684">
        <v>0</v>
      </c>
      <c r="R28" s="684">
        <f>Q28*H28</f>
        <v>0</v>
      </c>
      <c r="S28" s="684">
        <v>0</v>
      </c>
      <c r="T28" s="685">
        <f>S28*H28</f>
        <v>0</v>
      </c>
      <c r="U28" s="1050"/>
      <c r="V28" s="1050"/>
      <c r="W28" s="1050"/>
      <c r="X28" s="1050"/>
      <c r="Y28" s="1050"/>
      <c r="Z28" s="1050"/>
      <c r="AA28" s="1050"/>
      <c r="AB28" s="1050"/>
      <c r="AC28" s="1050"/>
      <c r="AD28" s="1050"/>
      <c r="AE28" s="1050"/>
      <c r="AR28" s="686" t="s">
        <v>1065</v>
      </c>
      <c r="AT28" s="686" t="s">
        <v>29</v>
      </c>
      <c r="AU28" s="686" t="s">
        <v>795</v>
      </c>
      <c r="AY28" s="629" t="s">
        <v>1063</v>
      </c>
      <c r="BE28" s="687">
        <f>IF(N28="základní",J28,0)</f>
        <v>0</v>
      </c>
      <c r="BF28" s="687">
        <f>IF(N28="snížená",J28,0)</f>
        <v>0</v>
      </c>
      <c r="BG28" s="687">
        <f>IF(N28="zákl. přenesená",J28,0)</f>
        <v>0</v>
      </c>
      <c r="BH28" s="687">
        <f>IF(N28="sníž. přenesená",J28,0)</f>
        <v>0</v>
      </c>
      <c r="BI28" s="687">
        <f>IF(N28="nulová",J28,0)</f>
        <v>0</v>
      </c>
      <c r="BJ28" s="629" t="s">
        <v>791</v>
      </c>
      <c r="BK28" s="687">
        <f>ROUND(I28*H28,2)</f>
        <v>0</v>
      </c>
      <c r="BL28" s="629" t="s">
        <v>1065</v>
      </c>
      <c r="BM28" s="686" t="s">
        <v>1079</v>
      </c>
      <c r="BR28" s="661"/>
    </row>
    <row r="29" spans="1:70" s="634" customFormat="1" ht="19.5">
      <c r="A29" s="1050"/>
      <c r="B29" s="631"/>
      <c r="C29" s="1079"/>
      <c r="D29" s="1080" t="s">
        <v>1067</v>
      </c>
      <c r="E29" s="1079"/>
      <c r="F29" s="1081" t="s">
        <v>2704</v>
      </c>
      <c r="G29" s="1079"/>
      <c r="H29" s="1079"/>
      <c r="I29" s="1079"/>
      <c r="J29" s="1079"/>
      <c r="K29" s="1050"/>
      <c r="L29" s="631"/>
      <c r="M29" s="690"/>
      <c r="N29" s="691"/>
      <c r="O29" s="692"/>
      <c r="P29" s="692"/>
      <c r="Q29" s="692"/>
      <c r="R29" s="692"/>
      <c r="S29" s="692"/>
      <c r="T29" s="693"/>
      <c r="U29" s="1050"/>
      <c r="V29" s="1050"/>
      <c r="W29" s="1050"/>
      <c r="X29" s="1050"/>
      <c r="Y29" s="1050"/>
      <c r="Z29" s="1050"/>
      <c r="AA29" s="1050"/>
      <c r="AB29" s="1050"/>
      <c r="AC29" s="1050"/>
      <c r="AD29" s="1050"/>
      <c r="AE29" s="1050"/>
      <c r="AT29" s="629" t="s">
        <v>1067</v>
      </c>
      <c r="AU29" s="629" t="s">
        <v>795</v>
      </c>
      <c r="BR29" s="661"/>
    </row>
    <row r="30" spans="1:70" s="634" customFormat="1" ht="14.45" customHeight="1">
      <c r="A30" s="630"/>
      <c r="B30" s="674"/>
      <c r="C30" s="675">
        <v>6</v>
      </c>
      <c r="D30" s="675" t="s">
        <v>29</v>
      </c>
      <c r="E30" s="676" t="s">
        <v>1080</v>
      </c>
      <c r="F30" s="1066" t="s">
        <v>2696</v>
      </c>
      <c r="G30" s="678" t="s">
        <v>13</v>
      </c>
      <c r="H30" s="679">
        <v>170</v>
      </c>
      <c r="I30" s="680"/>
      <c r="J30" s="680">
        <f>ROUND(I30*H30,2)</f>
        <v>0</v>
      </c>
      <c r="K30" s="681"/>
      <c r="L30" s="631"/>
      <c r="M30" s="682" t="s">
        <v>1043</v>
      </c>
      <c r="N30" s="683" t="s">
        <v>1048</v>
      </c>
      <c r="O30" s="684">
        <v>0.11899999999999999</v>
      </c>
      <c r="P30" s="684">
        <f>O30*H30</f>
        <v>20.23</v>
      </c>
      <c r="Q30" s="684">
        <v>0.47720000000000001</v>
      </c>
      <c r="R30" s="684">
        <f>Q30*H30</f>
        <v>81.123999999999995</v>
      </c>
      <c r="S30" s="684">
        <v>0</v>
      </c>
      <c r="T30" s="685">
        <f>S30*H30</f>
        <v>0</v>
      </c>
      <c r="U30" s="630"/>
      <c r="V30" s="630"/>
      <c r="W30" s="630"/>
      <c r="X30" s="630"/>
      <c r="Y30" s="630"/>
      <c r="Z30" s="630"/>
      <c r="AA30" s="630"/>
      <c r="AB30" s="630"/>
      <c r="AC30" s="630"/>
      <c r="AD30" s="630"/>
      <c r="AE30" s="630"/>
      <c r="AR30" s="686" t="s">
        <v>1065</v>
      </c>
      <c r="AT30" s="686" t="s">
        <v>29</v>
      </c>
      <c r="AU30" s="686" t="s">
        <v>795</v>
      </c>
      <c r="AY30" s="629" t="s">
        <v>1063</v>
      </c>
      <c r="BE30" s="687">
        <f>IF(N30="základní",J30,0)</f>
        <v>0</v>
      </c>
      <c r="BF30" s="687">
        <f>IF(N30="snížená",J30,0)</f>
        <v>0</v>
      </c>
      <c r="BG30" s="687">
        <f>IF(N30="zákl. přenesená",J30,0)</f>
        <v>0</v>
      </c>
      <c r="BH30" s="687">
        <f>IF(N30="sníž. přenesená",J30,0)</f>
        <v>0</v>
      </c>
      <c r="BI30" s="687">
        <f>IF(N30="nulová",J30,0)</f>
        <v>0</v>
      </c>
      <c r="BJ30" s="629" t="s">
        <v>791</v>
      </c>
      <c r="BK30" s="687">
        <f>ROUND(I30*H30,2)</f>
        <v>0</v>
      </c>
      <c r="BL30" s="629" t="s">
        <v>1065</v>
      </c>
      <c r="BM30" s="686" t="s">
        <v>1081</v>
      </c>
      <c r="BR30" s="661"/>
    </row>
    <row r="31" spans="1:70" s="634" customFormat="1" ht="19.5">
      <c r="A31" s="630"/>
      <c r="B31" s="631"/>
      <c r="C31" s="630"/>
      <c r="D31" s="688" t="s">
        <v>1067</v>
      </c>
      <c r="E31" s="630"/>
      <c r="F31" s="1067" t="s">
        <v>2697</v>
      </c>
      <c r="G31" s="630"/>
      <c r="H31" s="630"/>
      <c r="I31" s="630"/>
      <c r="J31" s="630"/>
      <c r="K31" s="630"/>
      <c r="L31" s="631"/>
      <c r="M31" s="690"/>
      <c r="N31" s="691"/>
      <c r="O31" s="692"/>
      <c r="P31" s="692"/>
      <c r="Q31" s="692"/>
      <c r="R31" s="692"/>
      <c r="S31" s="692"/>
      <c r="T31" s="693"/>
      <c r="U31" s="630"/>
      <c r="V31" s="630"/>
      <c r="W31" s="630"/>
      <c r="X31" s="630"/>
      <c r="Y31" s="630"/>
      <c r="Z31" s="630"/>
      <c r="AA31" s="630"/>
      <c r="AB31" s="630"/>
      <c r="AC31" s="630"/>
      <c r="AD31" s="630"/>
      <c r="AE31" s="630"/>
      <c r="AT31" s="629" t="s">
        <v>1067</v>
      </c>
      <c r="AU31" s="629" t="s">
        <v>795</v>
      </c>
    </row>
    <row r="32" spans="1:70" s="634" customFormat="1" ht="24.2" customHeight="1">
      <c r="A32" s="630"/>
      <c r="B32" s="674"/>
      <c r="C32" s="675">
        <v>7</v>
      </c>
      <c r="D32" s="675" t="s">
        <v>29</v>
      </c>
      <c r="E32" s="676" t="s">
        <v>1082</v>
      </c>
      <c r="F32" s="677" t="s">
        <v>2655</v>
      </c>
      <c r="G32" s="678" t="s">
        <v>13</v>
      </c>
      <c r="H32" s="679">
        <v>67.5</v>
      </c>
      <c r="I32" s="680"/>
      <c r="J32" s="680">
        <f>ROUND(I32*H32,2)</f>
        <v>0</v>
      </c>
      <c r="K32" s="681"/>
      <c r="L32" s="631"/>
      <c r="M32" s="682" t="s">
        <v>1043</v>
      </c>
      <c r="N32" s="683" t="s">
        <v>1048</v>
      </c>
      <c r="O32" s="684">
        <v>0</v>
      </c>
      <c r="P32" s="684">
        <f>O32*H32</f>
        <v>0</v>
      </c>
      <c r="Q32" s="684">
        <v>1.54E-2</v>
      </c>
      <c r="R32" s="684">
        <f>Q32*H32</f>
        <v>1.0395000000000001</v>
      </c>
      <c r="S32" s="684">
        <v>0</v>
      </c>
      <c r="T32" s="685">
        <f>S32*H32</f>
        <v>0</v>
      </c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R32" s="686" t="s">
        <v>1065</v>
      </c>
      <c r="AT32" s="686" t="s">
        <v>29</v>
      </c>
      <c r="AU32" s="686" t="s">
        <v>795</v>
      </c>
      <c r="AY32" s="629" t="s">
        <v>1063</v>
      </c>
      <c r="BE32" s="687">
        <f>IF(N32="základní",J32,0)</f>
        <v>0</v>
      </c>
      <c r="BF32" s="687">
        <f>IF(N32="snížená",J32,0)</f>
        <v>0</v>
      </c>
      <c r="BG32" s="687">
        <f>IF(N32="zákl. přenesená",J32,0)</f>
        <v>0</v>
      </c>
      <c r="BH32" s="687">
        <f>IF(N32="sníž. přenesená",J32,0)</f>
        <v>0</v>
      </c>
      <c r="BI32" s="687">
        <f>IF(N32="nulová",J32,0)</f>
        <v>0</v>
      </c>
      <c r="BJ32" s="629" t="s">
        <v>791</v>
      </c>
      <c r="BK32" s="687">
        <f>ROUND(I32*H32,2)</f>
        <v>0</v>
      </c>
      <c r="BL32" s="629" t="s">
        <v>1065</v>
      </c>
      <c r="BM32" s="686" t="s">
        <v>1083</v>
      </c>
    </row>
    <row r="33" spans="1:65" s="634" customFormat="1">
      <c r="A33" s="630"/>
      <c r="B33" s="631"/>
      <c r="C33" s="630"/>
      <c r="D33" s="688" t="s">
        <v>1067</v>
      </c>
      <c r="E33" s="630"/>
      <c r="F33" s="689" t="s">
        <v>2656</v>
      </c>
      <c r="G33" s="630"/>
      <c r="H33" s="630"/>
      <c r="I33" s="630"/>
      <c r="J33" s="630"/>
      <c r="K33" s="630"/>
      <c r="L33" s="631"/>
      <c r="M33" s="690"/>
      <c r="N33" s="691"/>
      <c r="O33" s="692"/>
      <c r="P33" s="692"/>
      <c r="Q33" s="692"/>
      <c r="R33" s="692"/>
      <c r="S33" s="692"/>
      <c r="T33" s="693"/>
      <c r="U33" s="630"/>
      <c r="V33" s="630"/>
      <c r="W33" s="630"/>
      <c r="X33" s="630"/>
      <c r="Y33" s="630"/>
      <c r="Z33" s="630"/>
      <c r="AA33" s="630"/>
      <c r="AB33" s="630"/>
      <c r="AC33" s="630"/>
      <c r="AD33" s="630"/>
      <c r="AE33" s="630"/>
      <c r="AT33" s="629" t="s">
        <v>1067</v>
      </c>
      <c r="AU33" s="629" t="s">
        <v>795</v>
      </c>
    </row>
    <row r="34" spans="1:65" s="634" customFormat="1" ht="24">
      <c r="A34" s="630"/>
      <c r="B34" s="631"/>
      <c r="C34" s="675">
        <v>8</v>
      </c>
      <c r="D34" s="675" t="s">
        <v>29</v>
      </c>
      <c r="E34" s="676" t="s">
        <v>1082</v>
      </c>
      <c r="F34" s="677" t="s">
        <v>2657</v>
      </c>
      <c r="G34" s="678" t="s">
        <v>13</v>
      </c>
      <c r="H34" s="679">
        <v>31.5</v>
      </c>
      <c r="I34" s="680"/>
      <c r="J34" s="680">
        <f>ROUND(I34*H34,2)</f>
        <v>0</v>
      </c>
      <c r="K34" s="630"/>
      <c r="L34" s="631"/>
      <c r="M34" s="690"/>
      <c r="N34" s="691"/>
      <c r="O34" s="692"/>
      <c r="P34" s="692"/>
      <c r="Q34" s="692"/>
      <c r="R34" s="692"/>
      <c r="S34" s="692"/>
      <c r="T34" s="693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T34" s="629"/>
      <c r="AU34" s="629"/>
    </row>
    <row r="35" spans="1:65" s="634" customFormat="1">
      <c r="A35" s="630"/>
      <c r="B35" s="631"/>
      <c r="C35" s="630"/>
      <c r="D35" s="688" t="s">
        <v>1067</v>
      </c>
      <c r="E35" s="630"/>
      <c r="F35" s="689" t="s">
        <v>2656</v>
      </c>
      <c r="G35" s="630"/>
      <c r="H35" s="630"/>
      <c r="I35" s="630"/>
      <c r="J35" s="630"/>
      <c r="K35" s="630"/>
      <c r="L35" s="631"/>
      <c r="M35" s="690"/>
      <c r="N35" s="691"/>
      <c r="O35" s="692"/>
      <c r="P35" s="692"/>
      <c r="Q35" s="692"/>
      <c r="R35" s="692"/>
      <c r="S35" s="692"/>
      <c r="T35" s="693"/>
      <c r="U35" s="630"/>
      <c r="V35" s="630"/>
      <c r="W35" s="630"/>
      <c r="X35" s="630"/>
      <c r="Y35" s="630"/>
      <c r="Z35" s="630"/>
      <c r="AA35" s="630"/>
      <c r="AB35" s="630"/>
      <c r="AC35" s="630"/>
      <c r="AD35" s="630"/>
      <c r="AE35" s="630"/>
      <c r="AT35" s="629"/>
      <c r="AU35" s="629"/>
    </row>
    <row r="36" spans="1:65" s="634" customFormat="1" ht="24">
      <c r="A36" s="630"/>
      <c r="B36" s="631"/>
      <c r="C36" s="675">
        <v>9</v>
      </c>
      <c r="D36" s="675" t="s">
        <v>29</v>
      </c>
      <c r="E36" s="676" t="s">
        <v>1082</v>
      </c>
      <c r="F36" s="677" t="s">
        <v>2658</v>
      </c>
      <c r="G36" s="678" t="s">
        <v>13</v>
      </c>
      <c r="H36" s="679">
        <v>40</v>
      </c>
      <c r="I36" s="680"/>
      <c r="J36" s="680">
        <f>ROUND(I36*H36,2)</f>
        <v>0</v>
      </c>
      <c r="K36" s="630"/>
      <c r="L36" s="631"/>
      <c r="M36" s="690"/>
      <c r="N36" s="691"/>
      <c r="O36" s="692"/>
      <c r="P36" s="692"/>
      <c r="Q36" s="692"/>
      <c r="R36" s="692"/>
      <c r="S36" s="692"/>
      <c r="T36" s="693"/>
      <c r="U36" s="630"/>
      <c r="V36" s="630"/>
      <c r="W36" s="630"/>
      <c r="X36" s="630"/>
      <c r="Y36" s="630"/>
      <c r="Z36" s="630"/>
      <c r="AA36" s="630"/>
      <c r="AB36" s="630"/>
      <c r="AC36" s="630"/>
      <c r="AD36" s="630"/>
      <c r="AE36" s="630"/>
      <c r="AT36" s="629"/>
      <c r="AU36" s="629"/>
    </row>
    <row r="37" spans="1:65" s="634" customFormat="1">
      <c r="A37" s="630"/>
      <c r="B37" s="631"/>
      <c r="C37" s="630"/>
      <c r="D37" s="688" t="s">
        <v>1067</v>
      </c>
      <c r="E37" s="630"/>
      <c r="F37" s="689" t="s">
        <v>2656</v>
      </c>
      <c r="G37" s="630"/>
      <c r="H37" s="630"/>
      <c r="I37" s="630"/>
      <c r="J37" s="630"/>
      <c r="K37" s="630"/>
      <c r="L37" s="631"/>
      <c r="M37" s="690"/>
      <c r="N37" s="691"/>
      <c r="O37" s="692"/>
      <c r="P37" s="692"/>
      <c r="Q37" s="692"/>
      <c r="R37" s="692"/>
      <c r="S37" s="692"/>
      <c r="T37" s="693"/>
      <c r="U37" s="630"/>
      <c r="V37" s="630"/>
      <c r="W37" s="630"/>
      <c r="X37" s="630"/>
      <c r="Y37" s="630"/>
      <c r="Z37" s="630"/>
      <c r="AA37" s="630"/>
      <c r="AB37" s="630"/>
      <c r="AC37" s="630"/>
      <c r="AD37" s="630"/>
      <c r="AE37" s="630"/>
      <c r="AT37" s="629"/>
      <c r="AU37" s="629"/>
    </row>
    <row r="38" spans="1:65" s="634" customFormat="1" ht="24">
      <c r="A38" s="630"/>
      <c r="B38" s="631"/>
      <c r="C38" s="675">
        <v>10</v>
      </c>
      <c r="D38" s="675" t="s">
        <v>29</v>
      </c>
      <c r="E38" s="676" t="s">
        <v>1082</v>
      </c>
      <c r="F38" s="677" t="s">
        <v>2659</v>
      </c>
      <c r="G38" s="678" t="s">
        <v>13</v>
      </c>
      <c r="H38" s="679">
        <v>23</v>
      </c>
      <c r="I38" s="680"/>
      <c r="J38" s="680">
        <f>ROUND(I38*H38,2)</f>
        <v>0</v>
      </c>
      <c r="K38" s="630"/>
      <c r="L38" s="631"/>
      <c r="M38" s="690"/>
      <c r="N38" s="691"/>
      <c r="O38" s="692"/>
      <c r="P38" s="692"/>
      <c r="Q38" s="692"/>
      <c r="R38" s="692"/>
      <c r="S38" s="692"/>
      <c r="T38" s="693"/>
      <c r="U38" s="630"/>
      <c r="V38" s="630"/>
      <c r="W38" s="630"/>
      <c r="X38" s="630"/>
      <c r="Y38" s="630"/>
      <c r="Z38" s="630"/>
      <c r="AA38" s="630"/>
      <c r="AB38" s="630"/>
      <c r="AC38" s="630"/>
      <c r="AD38" s="630"/>
      <c r="AE38" s="630"/>
      <c r="AT38" s="629"/>
      <c r="AU38" s="629"/>
    </row>
    <row r="39" spans="1:65" s="634" customFormat="1">
      <c r="A39" s="630"/>
      <c r="B39" s="631"/>
      <c r="C39" s="630"/>
      <c r="D39" s="688" t="s">
        <v>1067</v>
      </c>
      <c r="E39" s="630"/>
      <c r="F39" s="689" t="s">
        <v>2656</v>
      </c>
      <c r="G39" s="630"/>
      <c r="H39" s="630"/>
      <c r="I39" s="630"/>
      <c r="J39" s="630"/>
      <c r="K39" s="630"/>
      <c r="L39" s="631"/>
      <c r="M39" s="690"/>
      <c r="N39" s="691"/>
      <c r="O39" s="692"/>
      <c r="P39" s="692"/>
      <c r="Q39" s="692"/>
      <c r="R39" s="692"/>
      <c r="S39" s="692"/>
      <c r="T39" s="693"/>
      <c r="U39" s="630"/>
      <c r="V39" s="630"/>
      <c r="W39" s="630"/>
      <c r="X39" s="630"/>
      <c r="Y39" s="630"/>
      <c r="Z39" s="630"/>
      <c r="AA39" s="630"/>
      <c r="AB39" s="630"/>
      <c r="AC39" s="630"/>
      <c r="AD39" s="630"/>
      <c r="AE39" s="630"/>
      <c r="AT39" s="629"/>
      <c r="AU39" s="629"/>
    </row>
    <row r="40" spans="1:65" s="634" customFormat="1" ht="24.2" customHeight="1">
      <c r="A40" s="630"/>
      <c r="B40" s="674"/>
      <c r="C40" s="675">
        <v>11</v>
      </c>
      <c r="D40" s="675" t="s">
        <v>29</v>
      </c>
      <c r="E40" s="676" t="s">
        <v>1082</v>
      </c>
      <c r="F40" s="677" t="s">
        <v>2660</v>
      </c>
      <c r="G40" s="678" t="s">
        <v>13</v>
      </c>
      <c r="H40" s="679">
        <v>8</v>
      </c>
      <c r="I40" s="680"/>
      <c r="J40" s="680">
        <f>ROUND(I40*H40,2)</f>
        <v>0</v>
      </c>
      <c r="K40" s="681"/>
      <c r="L40" s="631"/>
      <c r="M40" s="682" t="s">
        <v>1043</v>
      </c>
      <c r="N40" s="683" t="s">
        <v>1048</v>
      </c>
      <c r="O40" s="684">
        <v>0</v>
      </c>
      <c r="P40" s="684">
        <f>O40*H40</f>
        <v>0</v>
      </c>
      <c r="Q40" s="684">
        <v>1.54E-2</v>
      </c>
      <c r="R40" s="684">
        <f>Q40*H40</f>
        <v>0.1232</v>
      </c>
      <c r="S40" s="684">
        <v>0</v>
      </c>
      <c r="T40" s="685">
        <f>S40*H40</f>
        <v>0</v>
      </c>
      <c r="U40" s="630"/>
      <c r="V40" s="630"/>
      <c r="W40" s="630"/>
      <c r="X40" s="630"/>
      <c r="Y40" s="630"/>
      <c r="Z40" s="630"/>
      <c r="AA40" s="630"/>
      <c r="AB40" s="630"/>
      <c r="AC40" s="630"/>
      <c r="AD40" s="630"/>
      <c r="AE40" s="630"/>
      <c r="AR40" s="686" t="s">
        <v>1065</v>
      </c>
      <c r="AT40" s="686" t="s">
        <v>29</v>
      </c>
      <c r="AU40" s="686" t="s">
        <v>795</v>
      </c>
      <c r="AY40" s="629" t="s">
        <v>1063</v>
      </c>
      <c r="BE40" s="687">
        <f>IF(N40="základní",J40,0)</f>
        <v>0</v>
      </c>
      <c r="BF40" s="687">
        <f>IF(N40="snížená",J40,0)</f>
        <v>0</v>
      </c>
      <c r="BG40" s="687">
        <f>IF(N40="zákl. přenesená",J40,0)</f>
        <v>0</v>
      </c>
      <c r="BH40" s="687">
        <f>IF(N40="sníž. přenesená",J40,0)</f>
        <v>0</v>
      </c>
      <c r="BI40" s="687">
        <f>IF(N40="nulová",J40,0)</f>
        <v>0</v>
      </c>
      <c r="BJ40" s="629" t="s">
        <v>791</v>
      </c>
      <c r="BK40" s="687">
        <f>ROUND(I40*H40,2)</f>
        <v>0</v>
      </c>
      <c r="BL40" s="629" t="s">
        <v>1065</v>
      </c>
      <c r="BM40" s="686" t="s">
        <v>1106</v>
      </c>
    </row>
    <row r="41" spans="1:65" s="634" customFormat="1">
      <c r="A41" s="630"/>
      <c r="B41" s="631"/>
      <c r="C41" s="630"/>
      <c r="D41" s="688" t="s">
        <v>1067</v>
      </c>
      <c r="E41" s="630"/>
      <c r="F41" s="689" t="s">
        <v>2656</v>
      </c>
      <c r="G41" s="630"/>
      <c r="H41" s="630"/>
      <c r="I41" s="630"/>
      <c r="J41" s="630"/>
      <c r="K41" s="630"/>
      <c r="L41" s="631"/>
      <c r="M41" s="690"/>
      <c r="N41" s="691"/>
      <c r="O41" s="692"/>
      <c r="P41" s="692"/>
      <c r="Q41" s="692"/>
      <c r="R41" s="692"/>
      <c r="S41" s="692"/>
      <c r="T41" s="693"/>
      <c r="U41" s="630"/>
      <c r="V41" s="630"/>
      <c r="W41" s="630"/>
      <c r="X41" s="630"/>
      <c r="Y41" s="630"/>
      <c r="Z41" s="630"/>
      <c r="AA41" s="630"/>
      <c r="AB41" s="630"/>
      <c r="AC41" s="630"/>
      <c r="AD41" s="630"/>
      <c r="AE41" s="630"/>
      <c r="AT41" s="629" t="s">
        <v>1067</v>
      </c>
      <c r="AU41" s="629" t="s">
        <v>795</v>
      </c>
    </row>
    <row r="42" spans="1:65" s="634" customFormat="1">
      <c r="A42" s="630"/>
      <c r="B42" s="631"/>
      <c r="C42" s="675">
        <v>12</v>
      </c>
      <c r="D42" s="675" t="s">
        <v>29</v>
      </c>
      <c r="E42" s="676" t="s">
        <v>1107</v>
      </c>
      <c r="F42" s="677" t="s">
        <v>2661</v>
      </c>
      <c r="G42" s="678" t="s">
        <v>13</v>
      </c>
      <c r="H42" s="679">
        <v>71</v>
      </c>
      <c r="I42" s="680"/>
      <c r="J42" s="680">
        <f>ROUND(I42*H42,2)</f>
        <v>0</v>
      </c>
      <c r="K42" s="630"/>
      <c r="L42" s="631"/>
      <c r="M42" s="690"/>
      <c r="N42" s="691"/>
      <c r="O42" s="692"/>
      <c r="P42" s="692"/>
      <c r="Q42" s="692"/>
      <c r="R42" s="692"/>
      <c r="S42" s="692"/>
      <c r="T42" s="693"/>
      <c r="U42" s="630"/>
      <c r="V42" s="630"/>
      <c r="W42" s="630"/>
      <c r="X42" s="630"/>
      <c r="Y42" s="630"/>
      <c r="Z42" s="630"/>
      <c r="AA42" s="630"/>
      <c r="AB42" s="630"/>
      <c r="AC42" s="630"/>
      <c r="AD42" s="630"/>
      <c r="AE42" s="630"/>
      <c r="AT42" s="629"/>
      <c r="AU42" s="629"/>
    </row>
    <row r="43" spans="1:65" s="634" customFormat="1">
      <c r="A43" s="630"/>
      <c r="B43" s="631"/>
      <c r="C43" s="630"/>
      <c r="D43" s="688" t="s">
        <v>1067</v>
      </c>
      <c r="E43" s="630"/>
      <c r="F43" s="689" t="s">
        <v>2661</v>
      </c>
      <c r="G43" s="630"/>
      <c r="H43" s="630"/>
      <c r="I43" s="630"/>
      <c r="J43" s="630"/>
      <c r="K43" s="630"/>
      <c r="L43" s="631"/>
      <c r="M43" s="690"/>
      <c r="N43" s="691"/>
      <c r="O43" s="692"/>
      <c r="P43" s="692"/>
      <c r="Q43" s="692"/>
      <c r="R43" s="692"/>
      <c r="S43" s="692"/>
      <c r="T43" s="693"/>
      <c r="U43" s="630"/>
      <c r="V43" s="630"/>
      <c r="W43" s="630"/>
      <c r="X43" s="630"/>
      <c r="Y43" s="630"/>
      <c r="Z43" s="630"/>
      <c r="AA43" s="630"/>
      <c r="AB43" s="630"/>
      <c r="AC43" s="630"/>
      <c r="AD43" s="630"/>
      <c r="AE43" s="630"/>
      <c r="AT43" s="629"/>
      <c r="AU43" s="629"/>
    </row>
    <row r="44" spans="1:65" s="634" customFormat="1">
      <c r="A44" s="630"/>
      <c r="B44" s="631"/>
      <c r="C44" s="675">
        <v>13</v>
      </c>
      <c r="D44" s="675" t="s">
        <v>29</v>
      </c>
      <c r="E44" s="676" t="s">
        <v>1108</v>
      </c>
      <c r="F44" s="677" t="s">
        <v>2662</v>
      </c>
      <c r="G44" s="678" t="s">
        <v>13</v>
      </c>
      <c r="H44" s="679">
        <v>92</v>
      </c>
      <c r="I44" s="680"/>
      <c r="J44" s="680">
        <f>ROUND(I44*H44,2)</f>
        <v>0</v>
      </c>
      <c r="K44" s="630"/>
      <c r="L44" s="631"/>
      <c r="M44" s="690"/>
      <c r="N44" s="691"/>
      <c r="O44" s="692"/>
      <c r="P44" s="692"/>
      <c r="Q44" s="692"/>
      <c r="R44" s="692"/>
      <c r="S44" s="692"/>
      <c r="T44" s="693"/>
      <c r="U44" s="630"/>
      <c r="V44" s="630"/>
      <c r="W44" s="630"/>
      <c r="X44" s="630"/>
      <c r="Y44" s="630"/>
      <c r="Z44" s="630"/>
      <c r="AA44" s="630"/>
      <c r="AB44" s="630"/>
      <c r="AC44" s="630"/>
      <c r="AD44" s="630"/>
      <c r="AE44" s="630"/>
      <c r="AT44" s="629"/>
      <c r="AU44" s="629"/>
    </row>
    <row r="45" spans="1:65" s="634" customFormat="1">
      <c r="A45" s="630"/>
      <c r="B45" s="631"/>
      <c r="C45" s="630"/>
      <c r="D45" s="688" t="s">
        <v>1067</v>
      </c>
      <c r="E45" s="630"/>
      <c r="F45" s="689" t="s">
        <v>2662</v>
      </c>
      <c r="G45" s="630"/>
      <c r="H45" s="630"/>
      <c r="I45" s="630"/>
      <c r="J45" s="630"/>
      <c r="K45" s="630"/>
      <c r="L45" s="631"/>
      <c r="M45" s="690"/>
      <c r="N45" s="691"/>
      <c r="O45" s="692"/>
      <c r="P45" s="692"/>
      <c r="Q45" s="692"/>
      <c r="R45" s="692"/>
      <c r="S45" s="692"/>
      <c r="T45" s="693"/>
      <c r="U45" s="630"/>
      <c r="V45" s="630"/>
      <c r="W45" s="630"/>
      <c r="X45" s="630"/>
      <c r="Y45" s="630"/>
      <c r="Z45" s="630"/>
      <c r="AA45" s="630"/>
      <c r="AB45" s="630"/>
      <c r="AC45" s="630"/>
      <c r="AD45" s="630"/>
      <c r="AE45" s="630"/>
      <c r="AT45" s="629"/>
      <c r="AU45" s="629"/>
    </row>
    <row r="46" spans="1:65" s="634" customFormat="1">
      <c r="A46" s="630"/>
      <c r="B46" s="631"/>
      <c r="C46" s="675">
        <v>14</v>
      </c>
      <c r="D46" s="675" t="s">
        <v>29</v>
      </c>
      <c r="E46" s="676" t="s">
        <v>1109</v>
      </c>
      <c r="F46" s="677" t="s">
        <v>1110</v>
      </c>
      <c r="G46" s="678" t="s">
        <v>13</v>
      </c>
      <c r="H46" s="679">
        <v>23.7</v>
      </c>
      <c r="I46" s="680"/>
      <c r="J46" s="680">
        <f>ROUND(I46*H46,2)</f>
        <v>0</v>
      </c>
      <c r="K46" s="630"/>
      <c r="L46" s="631"/>
      <c r="M46" s="690"/>
      <c r="N46" s="691"/>
      <c r="O46" s="692"/>
      <c r="P46" s="692"/>
      <c r="Q46" s="692"/>
      <c r="R46" s="692"/>
      <c r="S46" s="692"/>
      <c r="T46" s="693"/>
      <c r="U46" s="630"/>
      <c r="V46" s="630"/>
      <c r="W46" s="630"/>
      <c r="X46" s="630"/>
      <c r="Y46" s="630"/>
      <c r="Z46" s="630"/>
      <c r="AA46" s="630"/>
      <c r="AB46" s="630"/>
      <c r="AC46" s="630"/>
      <c r="AD46" s="630"/>
      <c r="AE46" s="630"/>
      <c r="AT46" s="629"/>
      <c r="AU46" s="629"/>
    </row>
    <row r="47" spans="1:65" s="634" customFormat="1">
      <c r="A47" s="630"/>
      <c r="B47" s="631"/>
      <c r="C47" s="630"/>
      <c r="D47" s="688" t="s">
        <v>1067</v>
      </c>
      <c r="E47" s="630"/>
      <c r="F47" s="689" t="s">
        <v>1110</v>
      </c>
      <c r="G47" s="630"/>
      <c r="H47" s="630"/>
      <c r="I47" s="630"/>
      <c r="J47" s="630"/>
      <c r="K47" s="630"/>
      <c r="L47" s="631"/>
      <c r="M47" s="690"/>
      <c r="N47" s="691"/>
      <c r="O47" s="692"/>
      <c r="P47" s="692"/>
      <c r="Q47" s="692"/>
      <c r="R47" s="692"/>
      <c r="S47" s="692"/>
      <c r="T47" s="693"/>
      <c r="U47" s="630"/>
      <c r="V47" s="630"/>
      <c r="W47" s="630"/>
      <c r="X47" s="630"/>
      <c r="Y47" s="630"/>
      <c r="Z47" s="630"/>
      <c r="AA47" s="630"/>
      <c r="AB47" s="630"/>
      <c r="AC47" s="630"/>
      <c r="AD47" s="630"/>
      <c r="AE47" s="630"/>
      <c r="AT47" s="629"/>
      <c r="AU47" s="629"/>
    </row>
    <row r="48" spans="1:65" s="661" customFormat="1" ht="25.9" customHeight="1">
      <c r="B48" s="662"/>
      <c r="D48" s="663" t="s">
        <v>491</v>
      </c>
      <c r="E48" s="664" t="s">
        <v>83</v>
      </c>
      <c r="F48" s="664" t="s">
        <v>787</v>
      </c>
      <c r="J48" s="665">
        <f>SUM(J49:J62)</f>
        <v>0</v>
      </c>
      <c r="L48" s="662"/>
      <c r="M48" s="666"/>
      <c r="N48" s="667"/>
      <c r="O48" s="667"/>
      <c r="P48" s="668">
        <f>SUM(P49:P62)</f>
        <v>0</v>
      </c>
      <c r="Q48" s="667"/>
      <c r="R48" s="668">
        <f>SUM(R49:R62)</f>
        <v>0</v>
      </c>
      <c r="S48" s="667"/>
      <c r="T48" s="669">
        <f>SUM(T49:T62)</f>
        <v>0</v>
      </c>
      <c r="AR48" s="663" t="s">
        <v>987</v>
      </c>
      <c r="AT48" s="670" t="s">
        <v>491</v>
      </c>
      <c r="AU48" s="670" t="s">
        <v>788</v>
      </c>
      <c r="AY48" s="663" t="s">
        <v>1063</v>
      </c>
      <c r="BK48" s="671">
        <f>SUM(BK49:BK62)</f>
        <v>0</v>
      </c>
    </row>
    <row r="49" spans="1:65" s="634" customFormat="1" ht="14.45" customHeight="1">
      <c r="A49" s="630"/>
      <c r="B49" s="674"/>
      <c r="C49" s="675">
        <v>15</v>
      </c>
      <c r="D49" s="675" t="s">
        <v>29</v>
      </c>
      <c r="E49" s="676" t="s">
        <v>791</v>
      </c>
      <c r="F49" s="677" t="s">
        <v>2607</v>
      </c>
      <c r="G49" s="678" t="s">
        <v>850</v>
      </c>
      <c r="H49" s="679">
        <v>1</v>
      </c>
      <c r="I49" s="680"/>
      <c r="J49" s="680">
        <f t="shared" ref="J49:J62" si="0">ROUND(I49*H49,2)</f>
        <v>0</v>
      </c>
      <c r="K49" s="681"/>
      <c r="L49" s="631"/>
      <c r="M49" s="682" t="s">
        <v>1043</v>
      </c>
      <c r="N49" s="683" t="s">
        <v>1048</v>
      </c>
      <c r="O49" s="684">
        <v>0</v>
      </c>
      <c r="P49" s="684">
        <f>O49*H49</f>
        <v>0</v>
      </c>
      <c r="Q49" s="684">
        <v>0</v>
      </c>
      <c r="R49" s="684">
        <f>Q49*H49</f>
        <v>0</v>
      </c>
      <c r="S49" s="684">
        <v>0</v>
      </c>
      <c r="T49" s="685">
        <f>S49*H49</f>
        <v>0</v>
      </c>
      <c r="U49" s="630"/>
      <c r="V49" s="630"/>
      <c r="W49" s="630"/>
      <c r="X49" s="630"/>
      <c r="Y49" s="630"/>
      <c r="Z49" s="630"/>
      <c r="AA49" s="630"/>
      <c r="AB49" s="630"/>
      <c r="AC49" s="630"/>
      <c r="AD49" s="630"/>
      <c r="AE49" s="630"/>
      <c r="AR49" s="686" t="s">
        <v>1065</v>
      </c>
      <c r="AT49" s="686" t="s">
        <v>29</v>
      </c>
      <c r="AU49" s="686" t="s">
        <v>791</v>
      </c>
      <c r="AY49" s="629" t="s">
        <v>1063</v>
      </c>
      <c r="BE49" s="687">
        <f>IF(N49="základní",J49,0)</f>
        <v>0</v>
      </c>
      <c r="BF49" s="687">
        <f>IF(N49="snížená",J49,0)</f>
        <v>0</v>
      </c>
      <c r="BG49" s="687">
        <f>IF(N49="zákl. přenesená",J49,0)</f>
        <v>0</v>
      </c>
      <c r="BH49" s="687">
        <f>IF(N49="sníž. přenesená",J49,0)</f>
        <v>0</v>
      </c>
      <c r="BI49" s="687">
        <f>IF(N49="nulová",J49,0)</f>
        <v>0</v>
      </c>
      <c r="BJ49" s="629" t="s">
        <v>791</v>
      </c>
      <c r="BK49" s="687">
        <f>ROUND(I49*H49,2)</f>
        <v>0</v>
      </c>
      <c r="BL49" s="629" t="s">
        <v>1065</v>
      </c>
      <c r="BM49" s="686" t="s">
        <v>1084</v>
      </c>
    </row>
    <row r="50" spans="1:65" s="634" customFormat="1" ht="14.45" customHeight="1">
      <c r="A50" s="630"/>
      <c r="B50" s="674"/>
      <c r="C50" s="675">
        <v>16</v>
      </c>
      <c r="D50" s="675" t="s">
        <v>29</v>
      </c>
      <c r="E50" s="676" t="s">
        <v>795</v>
      </c>
      <c r="F50" s="677" t="s">
        <v>2665</v>
      </c>
      <c r="G50" s="678" t="s">
        <v>850</v>
      </c>
      <c r="H50" s="679">
        <v>1</v>
      </c>
      <c r="I50" s="680"/>
      <c r="J50" s="680">
        <f t="shared" si="0"/>
        <v>0</v>
      </c>
      <c r="K50" s="681"/>
      <c r="L50" s="631"/>
      <c r="M50" s="682" t="s">
        <v>1043</v>
      </c>
      <c r="N50" s="683" t="s">
        <v>1048</v>
      </c>
      <c r="O50" s="684">
        <v>0</v>
      </c>
      <c r="P50" s="684">
        <f>O50*H50</f>
        <v>0</v>
      </c>
      <c r="Q50" s="684">
        <v>0</v>
      </c>
      <c r="R50" s="684">
        <f>Q50*H50</f>
        <v>0</v>
      </c>
      <c r="S50" s="684">
        <v>0</v>
      </c>
      <c r="T50" s="685">
        <f>S50*H50</f>
        <v>0</v>
      </c>
      <c r="U50" s="630"/>
      <c r="V50" s="630"/>
      <c r="W50" s="630"/>
      <c r="X50" s="630"/>
      <c r="Y50" s="630"/>
      <c r="Z50" s="630"/>
      <c r="AA50" s="630"/>
      <c r="AB50" s="630"/>
      <c r="AC50" s="630"/>
      <c r="AD50" s="630"/>
      <c r="AE50" s="630"/>
      <c r="AR50" s="686" t="s">
        <v>1065</v>
      </c>
      <c r="AT50" s="686" t="s">
        <v>29</v>
      </c>
      <c r="AU50" s="686" t="s">
        <v>791</v>
      </c>
      <c r="AY50" s="629" t="s">
        <v>1063</v>
      </c>
      <c r="BE50" s="687">
        <f>IF(N50="základní",J50,0)</f>
        <v>0</v>
      </c>
      <c r="BF50" s="687">
        <f>IF(N50="snížená",J50,0)</f>
        <v>0</v>
      </c>
      <c r="BG50" s="687">
        <f>IF(N50="zákl. přenesená",J50,0)</f>
        <v>0</v>
      </c>
      <c r="BH50" s="687">
        <f>IF(N50="sníž. přenesená",J50,0)</f>
        <v>0</v>
      </c>
      <c r="BI50" s="687">
        <f>IF(N50="nulová",J50,0)</f>
        <v>0</v>
      </c>
      <c r="BJ50" s="629" t="s">
        <v>791</v>
      </c>
      <c r="BK50" s="687">
        <f>ROUND(I50*H50,2)</f>
        <v>0</v>
      </c>
      <c r="BL50" s="629" t="s">
        <v>1065</v>
      </c>
      <c r="BM50" s="686" t="s">
        <v>1085</v>
      </c>
    </row>
    <row r="51" spans="1:65" s="634" customFormat="1" ht="11.45" customHeight="1">
      <c r="A51" s="630"/>
      <c r="B51" s="674"/>
      <c r="C51" s="675">
        <v>17</v>
      </c>
      <c r="D51" s="675" t="s">
        <v>29</v>
      </c>
      <c r="E51" s="676" t="s">
        <v>1111</v>
      </c>
      <c r="F51" s="677" t="s">
        <v>2677</v>
      </c>
      <c r="G51" s="678" t="s">
        <v>19</v>
      </c>
      <c r="H51" s="679">
        <v>1</v>
      </c>
      <c r="I51" s="680"/>
      <c r="J51" s="680">
        <f t="shared" si="0"/>
        <v>0</v>
      </c>
      <c r="K51" s="681"/>
      <c r="L51" s="631"/>
      <c r="M51" s="682" t="s">
        <v>1043</v>
      </c>
      <c r="N51" s="683" t="s">
        <v>1048</v>
      </c>
      <c r="O51" s="684">
        <v>0</v>
      </c>
      <c r="P51" s="684">
        <f>O51*H51</f>
        <v>0</v>
      </c>
      <c r="Q51" s="684">
        <v>0</v>
      </c>
      <c r="R51" s="684">
        <f>Q51*H51</f>
        <v>0</v>
      </c>
      <c r="S51" s="684">
        <v>0</v>
      </c>
      <c r="T51" s="685">
        <f>S51*H51</f>
        <v>0</v>
      </c>
      <c r="U51" s="630"/>
      <c r="V51" s="630"/>
      <c r="W51" s="630"/>
      <c r="X51" s="630"/>
      <c r="Y51" s="630"/>
      <c r="Z51" s="630"/>
      <c r="AA51" s="630"/>
      <c r="AB51" s="630"/>
      <c r="AC51" s="630"/>
      <c r="AD51" s="630"/>
      <c r="AE51" s="630"/>
      <c r="AR51" s="686" t="s">
        <v>1087</v>
      </c>
      <c r="AT51" s="686" t="s">
        <v>29</v>
      </c>
      <c r="AU51" s="686" t="s">
        <v>791</v>
      </c>
      <c r="AY51" s="629" t="s">
        <v>1063</v>
      </c>
      <c r="BE51" s="687">
        <f>IF(N51="základní",J51,0)</f>
        <v>0</v>
      </c>
      <c r="BF51" s="687">
        <f>IF(N51="snížená",J51,0)</f>
        <v>0</v>
      </c>
      <c r="BG51" s="687">
        <f>IF(N51="zákl. přenesená",J51,0)</f>
        <v>0</v>
      </c>
      <c r="BH51" s="687">
        <f>IF(N51="sníž. přenesená",J51,0)</f>
        <v>0</v>
      </c>
      <c r="BI51" s="687">
        <f>IF(N51="nulová",J51,0)</f>
        <v>0</v>
      </c>
      <c r="BJ51" s="629" t="s">
        <v>791</v>
      </c>
      <c r="BK51" s="687">
        <f>ROUND(I51*H51,2)</f>
        <v>0</v>
      </c>
      <c r="BL51" s="629" t="s">
        <v>1087</v>
      </c>
      <c r="BM51" s="686" t="s">
        <v>1088</v>
      </c>
    </row>
    <row r="52" spans="1:65" s="634" customFormat="1" ht="11.45" customHeight="1">
      <c r="A52" s="630"/>
      <c r="B52" s="674"/>
      <c r="C52" s="675">
        <v>18</v>
      </c>
      <c r="D52" s="675" t="s">
        <v>29</v>
      </c>
      <c r="E52" s="676" t="s">
        <v>1112</v>
      </c>
      <c r="F52" s="677" t="s">
        <v>2678</v>
      </c>
      <c r="G52" s="678" t="s">
        <v>19</v>
      </c>
      <c r="H52" s="679">
        <v>4</v>
      </c>
      <c r="I52" s="680"/>
      <c r="J52" s="680">
        <f t="shared" si="0"/>
        <v>0</v>
      </c>
      <c r="K52" s="681"/>
      <c r="L52" s="631"/>
      <c r="M52" s="682" t="s">
        <v>1043</v>
      </c>
      <c r="N52" s="683" t="s">
        <v>1048</v>
      </c>
      <c r="O52" s="684">
        <v>0</v>
      </c>
      <c r="P52" s="684">
        <f>O52*H52</f>
        <v>0</v>
      </c>
      <c r="Q52" s="684">
        <v>0</v>
      </c>
      <c r="R52" s="684">
        <f>Q52*H52</f>
        <v>0</v>
      </c>
      <c r="S52" s="684">
        <v>0</v>
      </c>
      <c r="T52" s="685">
        <f>S52*H52</f>
        <v>0</v>
      </c>
      <c r="U52" s="630"/>
      <c r="V52" s="630"/>
      <c r="W52" s="630"/>
      <c r="X52" s="630"/>
      <c r="Y52" s="630"/>
      <c r="Z52" s="630"/>
      <c r="AA52" s="630"/>
      <c r="AB52" s="630"/>
      <c r="AC52" s="630"/>
      <c r="AD52" s="630"/>
      <c r="AE52" s="630"/>
      <c r="AR52" s="686" t="s">
        <v>1087</v>
      </c>
      <c r="AT52" s="686" t="s">
        <v>29</v>
      </c>
      <c r="AU52" s="686" t="s">
        <v>791</v>
      </c>
      <c r="AY52" s="629" t="s">
        <v>1063</v>
      </c>
      <c r="BE52" s="687">
        <f>IF(N52="základní",J52,0)</f>
        <v>0</v>
      </c>
      <c r="BF52" s="687">
        <f>IF(N52="snížená",J52,0)</f>
        <v>0</v>
      </c>
      <c r="BG52" s="687">
        <f>IF(N52="zákl. přenesená",J52,0)</f>
        <v>0</v>
      </c>
      <c r="BH52" s="687">
        <f>IF(N52="sníž. přenesená",J52,0)</f>
        <v>0</v>
      </c>
      <c r="BI52" s="687">
        <f>IF(N52="nulová",J52,0)</f>
        <v>0</v>
      </c>
      <c r="BJ52" s="629" t="s">
        <v>791</v>
      </c>
      <c r="BK52" s="687">
        <f>ROUND(I52*H52,2)</f>
        <v>0</v>
      </c>
      <c r="BL52" s="629" t="s">
        <v>1087</v>
      </c>
      <c r="BM52" s="686" t="s">
        <v>1090</v>
      </c>
    </row>
    <row r="53" spans="1:65" s="634" customFormat="1">
      <c r="A53" s="630"/>
      <c r="B53" s="631"/>
      <c r="C53" s="675">
        <v>19</v>
      </c>
      <c r="D53" s="675" t="s">
        <v>29</v>
      </c>
      <c r="E53" s="676" t="s">
        <v>1113</v>
      </c>
      <c r="F53" s="677" t="s">
        <v>2679</v>
      </c>
      <c r="G53" s="678" t="s">
        <v>19</v>
      </c>
      <c r="H53" s="679">
        <v>1</v>
      </c>
      <c r="I53" s="680"/>
      <c r="J53" s="680">
        <f t="shared" si="0"/>
        <v>0</v>
      </c>
      <c r="K53" s="630"/>
      <c r="L53" s="631"/>
      <c r="M53" s="690"/>
      <c r="N53" s="691"/>
      <c r="O53" s="692"/>
      <c r="P53" s="692"/>
      <c r="Q53" s="692"/>
      <c r="R53" s="692"/>
      <c r="S53" s="692"/>
      <c r="T53" s="693"/>
      <c r="U53" s="630"/>
      <c r="V53" s="630"/>
      <c r="W53" s="630"/>
      <c r="X53" s="630"/>
      <c r="Y53" s="630"/>
      <c r="Z53" s="630"/>
      <c r="AA53" s="630"/>
      <c r="AB53" s="630"/>
      <c r="AC53" s="630"/>
      <c r="AD53" s="630"/>
      <c r="AE53" s="630"/>
      <c r="AT53" s="629"/>
      <c r="AU53" s="629"/>
    </row>
    <row r="54" spans="1:65" s="634" customFormat="1">
      <c r="A54" s="630"/>
      <c r="B54" s="631"/>
      <c r="C54" s="675">
        <v>20</v>
      </c>
      <c r="D54" s="675" t="s">
        <v>29</v>
      </c>
      <c r="E54" s="676" t="s">
        <v>1114</v>
      </c>
      <c r="F54" s="677" t="s">
        <v>2680</v>
      </c>
      <c r="G54" s="678" t="s">
        <v>19</v>
      </c>
      <c r="H54" s="679">
        <v>1</v>
      </c>
      <c r="I54" s="680"/>
      <c r="J54" s="680">
        <f t="shared" si="0"/>
        <v>0</v>
      </c>
      <c r="K54" s="630"/>
      <c r="L54" s="631"/>
      <c r="M54" s="690"/>
      <c r="N54" s="691"/>
      <c r="O54" s="692"/>
      <c r="P54" s="692"/>
      <c r="Q54" s="692"/>
      <c r="R54" s="692"/>
      <c r="S54" s="692"/>
      <c r="T54" s="693"/>
      <c r="U54" s="630"/>
      <c r="V54" s="630"/>
      <c r="W54" s="630"/>
      <c r="X54" s="630"/>
      <c r="Y54" s="630"/>
      <c r="Z54" s="630"/>
      <c r="AA54" s="630"/>
      <c r="AB54" s="630"/>
      <c r="AC54" s="630"/>
      <c r="AD54" s="630"/>
      <c r="AE54" s="630"/>
      <c r="AT54" s="629"/>
      <c r="AU54" s="629"/>
    </row>
    <row r="55" spans="1:65" s="634" customFormat="1">
      <c r="A55" s="630"/>
      <c r="B55" s="631"/>
      <c r="C55" s="675">
        <v>21</v>
      </c>
      <c r="D55" s="675" t="s">
        <v>29</v>
      </c>
      <c r="E55" s="676" t="s">
        <v>1115</v>
      </c>
      <c r="F55" s="677" t="s">
        <v>2681</v>
      </c>
      <c r="G55" s="678" t="s">
        <v>19</v>
      </c>
      <c r="H55" s="679">
        <v>1</v>
      </c>
      <c r="I55" s="680"/>
      <c r="J55" s="680">
        <f t="shared" si="0"/>
        <v>0</v>
      </c>
      <c r="K55" s="630"/>
      <c r="L55" s="631"/>
      <c r="M55" s="690"/>
      <c r="N55" s="691"/>
      <c r="O55" s="692"/>
      <c r="P55" s="692"/>
      <c r="Q55" s="692"/>
      <c r="R55" s="692"/>
      <c r="S55" s="692"/>
      <c r="T55" s="693"/>
      <c r="U55" s="630"/>
      <c r="V55" s="630"/>
      <c r="W55" s="630"/>
      <c r="X55" s="630"/>
      <c r="Y55" s="630"/>
      <c r="Z55" s="630"/>
      <c r="AA55" s="630"/>
      <c r="AB55" s="630"/>
      <c r="AC55" s="630"/>
      <c r="AD55" s="630"/>
      <c r="AE55" s="630"/>
      <c r="AT55" s="629"/>
      <c r="AU55" s="629"/>
    </row>
    <row r="56" spans="1:65" s="634" customFormat="1">
      <c r="A56" s="630"/>
      <c r="B56" s="631"/>
      <c r="C56" s="675">
        <v>22</v>
      </c>
      <c r="D56" s="675" t="s">
        <v>29</v>
      </c>
      <c r="E56" s="676" t="s">
        <v>1116</v>
      </c>
      <c r="F56" s="677" t="s">
        <v>2682</v>
      </c>
      <c r="G56" s="678" t="s">
        <v>19</v>
      </c>
      <c r="H56" s="679">
        <v>1</v>
      </c>
      <c r="I56" s="680"/>
      <c r="J56" s="680">
        <f t="shared" si="0"/>
        <v>0</v>
      </c>
      <c r="K56" s="630"/>
      <c r="L56" s="631"/>
      <c r="M56" s="690"/>
      <c r="N56" s="691"/>
      <c r="O56" s="692"/>
      <c r="P56" s="692"/>
      <c r="Q56" s="692"/>
      <c r="R56" s="692"/>
      <c r="S56" s="692"/>
      <c r="T56" s="693"/>
      <c r="U56" s="630"/>
      <c r="V56" s="630"/>
      <c r="W56" s="630"/>
      <c r="X56" s="630"/>
      <c r="Y56" s="630"/>
      <c r="Z56" s="630"/>
      <c r="AA56" s="630"/>
      <c r="AB56" s="630"/>
      <c r="AC56" s="630"/>
      <c r="AD56" s="630"/>
      <c r="AE56" s="630"/>
      <c r="AT56" s="629"/>
      <c r="AU56" s="629"/>
    </row>
    <row r="57" spans="1:65" s="634" customFormat="1">
      <c r="A57" s="630"/>
      <c r="B57" s="631"/>
      <c r="C57" s="675">
        <v>23</v>
      </c>
      <c r="D57" s="675" t="s">
        <v>29</v>
      </c>
      <c r="E57" s="676" t="s">
        <v>1117</v>
      </c>
      <c r="F57" s="677" t="s">
        <v>2683</v>
      </c>
      <c r="G57" s="678" t="s">
        <v>19</v>
      </c>
      <c r="H57" s="679">
        <v>1</v>
      </c>
      <c r="I57" s="680"/>
      <c r="J57" s="680">
        <f t="shared" si="0"/>
        <v>0</v>
      </c>
      <c r="K57" s="630"/>
      <c r="L57" s="631"/>
      <c r="M57" s="690"/>
      <c r="N57" s="691"/>
      <c r="O57" s="692"/>
      <c r="P57" s="692"/>
      <c r="Q57" s="692"/>
      <c r="R57" s="692"/>
      <c r="S57" s="692"/>
      <c r="T57" s="693"/>
      <c r="U57" s="630"/>
      <c r="V57" s="630"/>
      <c r="W57" s="630"/>
      <c r="X57" s="630"/>
      <c r="Y57" s="630"/>
      <c r="Z57" s="630"/>
      <c r="AA57" s="630"/>
      <c r="AB57" s="630"/>
      <c r="AC57" s="630"/>
      <c r="AD57" s="630"/>
      <c r="AE57" s="630"/>
      <c r="AT57" s="629"/>
      <c r="AU57" s="629"/>
    </row>
    <row r="58" spans="1:65" s="634" customFormat="1" ht="24">
      <c r="A58" s="630"/>
      <c r="B58" s="631"/>
      <c r="C58" s="675">
        <v>24</v>
      </c>
      <c r="D58" s="675" t="s">
        <v>29</v>
      </c>
      <c r="E58" s="676" t="s">
        <v>1118</v>
      </c>
      <c r="F58" s="677" t="s">
        <v>2684</v>
      </c>
      <c r="G58" s="678" t="s">
        <v>19</v>
      </c>
      <c r="H58" s="679">
        <v>1</v>
      </c>
      <c r="I58" s="680"/>
      <c r="J58" s="680">
        <f t="shared" si="0"/>
        <v>0</v>
      </c>
      <c r="K58" s="630"/>
      <c r="L58" s="631"/>
      <c r="M58" s="690"/>
      <c r="N58" s="691"/>
      <c r="O58" s="692"/>
      <c r="P58" s="692"/>
      <c r="Q58" s="692"/>
      <c r="R58" s="692"/>
      <c r="S58" s="692"/>
      <c r="T58" s="693"/>
      <c r="U58" s="630"/>
      <c r="V58" s="630"/>
      <c r="W58" s="630"/>
      <c r="X58" s="630"/>
      <c r="Y58" s="630"/>
      <c r="Z58" s="630"/>
      <c r="AA58" s="630"/>
      <c r="AB58" s="630"/>
      <c r="AC58" s="630"/>
      <c r="AD58" s="630"/>
      <c r="AE58" s="630"/>
      <c r="AT58" s="629"/>
      <c r="AU58" s="629"/>
    </row>
    <row r="59" spans="1:65" s="634" customFormat="1">
      <c r="A59" s="630"/>
      <c r="B59" s="631"/>
      <c r="C59" s="675">
        <v>25</v>
      </c>
      <c r="D59" s="675" t="s">
        <v>29</v>
      </c>
      <c r="E59" s="676" t="s">
        <v>1119</v>
      </c>
      <c r="F59" s="677" t="s">
        <v>2685</v>
      </c>
      <c r="G59" s="678" t="s">
        <v>19</v>
      </c>
      <c r="H59" s="679">
        <v>1</v>
      </c>
      <c r="I59" s="680"/>
      <c r="J59" s="680">
        <f t="shared" si="0"/>
        <v>0</v>
      </c>
      <c r="K59" s="630"/>
      <c r="L59" s="631"/>
      <c r="M59" s="690"/>
      <c r="N59" s="691"/>
      <c r="O59" s="692"/>
      <c r="P59" s="692"/>
      <c r="Q59" s="692"/>
      <c r="R59" s="692"/>
      <c r="S59" s="692"/>
      <c r="T59" s="693"/>
      <c r="U59" s="630"/>
      <c r="V59" s="630"/>
      <c r="W59" s="630"/>
      <c r="X59" s="630"/>
      <c r="Y59" s="630"/>
      <c r="Z59" s="630"/>
      <c r="AA59" s="630"/>
      <c r="AB59" s="630"/>
      <c r="AC59" s="630"/>
      <c r="AD59" s="630"/>
      <c r="AE59" s="630"/>
      <c r="AT59" s="629"/>
      <c r="AU59" s="629"/>
    </row>
    <row r="60" spans="1:65" s="634" customFormat="1">
      <c r="A60" s="630"/>
      <c r="B60" s="631"/>
      <c r="C60" s="675">
        <v>26</v>
      </c>
      <c r="D60" s="675" t="s">
        <v>29</v>
      </c>
      <c r="E60" s="676" t="s">
        <v>1120</v>
      </c>
      <c r="F60" s="677" t="s">
        <v>2686</v>
      </c>
      <c r="G60" s="678" t="s">
        <v>19</v>
      </c>
      <c r="H60" s="679">
        <v>1</v>
      </c>
      <c r="I60" s="680"/>
      <c r="J60" s="680">
        <f t="shared" si="0"/>
        <v>0</v>
      </c>
      <c r="K60" s="630"/>
      <c r="L60" s="631"/>
      <c r="M60" s="690"/>
      <c r="N60" s="691"/>
      <c r="O60" s="692"/>
      <c r="P60" s="692"/>
      <c r="Q60" s="692"/>
      <c r="R60" s="692"/>
      <c r="S60" s="692"/>
      <c r="T60" s="693"/>
      <c r="U60" s="630"/>
      <c r="V60" s="630"/>
      <c r="W60" s="630"/>
      <c r="X60" s="630"/>
      <c r="Y60" s="630"/>
      <c r="Z60" s="630"/>
      <c r="AA60" s="630"/>
      <c r="AB60" s="630"/>
      <c r="AC60" s="630"/>
      <c r="AD60" s="630"/>
      <c r="AE60" s="630"/>
      <c r="AT60" s="629"/>
      <c r="AU60" s="629"/>
    </row>
    <row r="61" spans="1:65" s="634" customFormat="1">
      <c r="A61" s="630"/>
      <c r="B61" s="631"/>
      <c r="C61" s="675">
        <v>27</v>
      </c>
      <c r="D61" s="675" t="s">
        <v>29</v>
      </c>
      <c r="E61" s="676" t="s">
        <v>1121</v>
      </c>
      <c r="F61" s="677" t="s">
        <v>2687</v>
      </c>
      <c r="G61" s="678" t="s">
        <v>19</v>
      </c>
      <c r="H61" s="679">
        <v>1</v>
      </c>
      <c r="I61" s="680"/>
      <c r="J61" s="680">
        <f t="shared" si="0"/>
        <v>0</v>
      </c>
      <c r="K61" s="630"/>
      <c r="L61" s="631"/>
      <c r="M61" s="690"/>
      <c r="N61" s="691"/>
      <c r="O61" s="692"/>
      <c r="P61" s="692"/>
      <c r="Q61" s="692"/>
      <c r="R61" s="692"/>
      <c r="S61" s="692"/>
      <c r="T61" s="693"/>
      <c r="U61" s="630"/>
      <c r="V61" s="630"/>
      <c r="W61" s="630"/>
      <c r="X61" s="630"/>
      <c r="Y61" s="630"/>
      <c r="Z61" s="630"/>
      <c r="AA61" s="630"/>
      <c r="AB61" s="630"/>
      <c r="AC61" s="630"/>
      <c r="AD61" s="630"/>
      <c r="AE61" s="630"/>
      <c r="AT61" s="629"/>
      <c r="AU61" s="629"/>
    </row>
    <row r="62" spans="1:65" s="634" customFormat="1">
      <c r="A62" s="630"/>
      <c r="B62" s="631"/>
      <c r="C62" s="675">
        <v>28</v>
      </c>
      <c r="D62" s="675" t="s">
        <v>29</v>
      </c>
      <c r="E62" s="676" t="s">
        <v>1122</v>
      </c>
      <c r="F62" s="677" t="s">
        <v>2688</v>
      </c>
      <c r="G62" s="678" t="s">
        <v>19</v>
      </c>
      <c r="H62" s="679">
        <v>1</v>
      </c>
      <c r="I62" s="680"/>
      <c r="J62" s="680">
        <f t="shared" si="0"/>
        <v>0</v>
      </c>
      <c r="K62" s="630"/>
      <c r="L62" s="631"/>
      <c r="M62" s="690"/>
      <c r="N62" s="691"/>
      <c r="O62" s="692"/>
      <c r="P62" s="692"/>
      <c r="Q62" s="692"/>
      <c r="R62" s="692"/>
      <c r="S62" s="692"/>
      <c r="T62" s="693"/>
      <c r="U62" s="630"/>
      <c r="V62" s="630"/>
      <c r="W62" s="630"/>
      <c r="X62" s="630"/>
      <c r="Y62" s="630"/>
      <c r="Z62" s="630"/>
      <c r="AA62" s="630"/>
      <c r="AB62" s="630"/>
      <c r="AC62" s="630"/>
      <c r="AD62" s="630"/>
      <c r="AE62" s="630"/>
      <c r="AT62" s="629"/>
      <c r="AU62" s="629"/>
    </row>
    <row r="63" spans="1:65" s="661" customFormat="1" ht="25.9" customHeight="1">
      <c r="B63" s="662"/>
      <c r="D63" s="663" t="s">
        <v>491</v>
      </c>
      <c r="E63" s="664" t="s">
        <v>1100</v>
      </c>
      <c r="F63" s="664" t="s">
        <v>27</v>
      </c>
      <c r="J63" s="665">
        <f>J64</f>
        <v>0</v>
      </c>
      <c r="L63" s="662"/>
      <c r="M63" s="666"/>
      <c r="N63" s="667"/>
      <c r="O63" s="667"/>
      <c r="P63" s="668">
        <f>SUM(P64:P64)</f>
        <v>6.6000000000000003E-2</v>
      </c>
      <c r="Q63" s="667"/>
      <c r="R63" s="668">
        <f>SUM(R64:R64)</f>
        <v>0</v>
      </c>
      <c r="S63" s="667"/>
      <c r="T63" s="669">
        <f>SUM(T64:T64)</f>
        <v>0</v>
      </c>
      <c r="AR63" s="663" t="s">
        <v>791</v>
      </c>
      <c r="AT63" s="670" t="s">
        <v>491</v>
      </c>
      <c r="AU63" s="670" t="s">
        <v>788</v>
      </c>
      <c r="AY63" s="663" t="s">
        <v>1063</v>
      </c>
      <c r="BK63" s="671">
        <f>SUM(BK64:BK64)</f>
        <v>0</v>
      </c>
    </row>
    <row r="64" spans="1:65" s="634" customFormat="1" ht="14.45" customHeight="1">
      <c r="A64" s="630"/>
      <c r="B64" s="674"/>
      <c r="C64" s="675">
        <v>29</v>
      </c>
      <c r="D64" s="675" t="s">
        <v>29</v>
      </c>
      <c r="E64" s="676" t="s">
        <v>1101</v>
      </c>
      <c r="F64" s="677" t="s">
        <v>2663</v>
      </c>
      <c r="G64" s="678" t="s">
        <v>850</v>
      </c>
      <c r="H64" s="679">
        <v>1</v>
      </c>
      <c r="I64" s="680"/>
      <c r="J64" s="680">
        <f>ROUND(I64*H64,2)</f>
        <v>0</v>
      </c>
      <c r="K64" s="681"/>
      <c r="L64" s="631"/>
      <c r="M64" s="682" t="s">
        <v>1043</v>
      </c>
      <c r="N64" s="683" t="s">
        <v>1048</v>
      </c>
      <c r="O64" s="684">
        <v>6.6000000000000003E-2</v>
      </c>
      <c r="P64" s="684">
        <f>O64*H64</f>
        <v>6.6000000000000003E-2</v>
      </c>
      <c r="Q64" s="684">
        <v>0</v>
      </c>
      <c r="R64" s="684">
        <f>Q64*H64</f>
        <v>0</v>
      </c>
      <c r="S64" s="684">
        <v>0</v>
      </c>
      <c r="T64" s="685">
        <f>S64*H64</f>
        <v>0</v>
      </c>
      <c r="U64" s="630"/>
      <c r="V64" s="630"/>
      <c r="W64" s="630"/>
      <c r="X64" s="630"/>
      <c r="Y64" s="630"/>
      <c r="Z64" s="630"/>
      <c r="AA64" s="630"/>
      <c r="AB64" s="630"/>
      <c r="AC64" s="630"/>
      <c r="AD64" s="630"/>
      <c r="AE64" s="630"/>
      <c r="AR64" s="686" t="s">
        <v>1065</v>
      </c>
      <c r="AT64" s="686" t="s">
        <v>29</v>
      </c>
      <c r="AU64" s="686" t="s">
        <v>791</v>
      </c>
      <c r="AY64" s="629" t="s">
        <v>1063</v>
      </c>
      <c r="BE64" s="687">
        <f>IF(N64="základní",J64,0)</f>
        <v>0</v>
      </c>
      <c r="BF64" s="687">
        <f>IF(N64="snížená",J64,0)</f>
        <v>0</v>
      </c>
      <c r="BG64" s="687">
        <f>IF(N64="zákl. přenesená",J64,0)</f>
        <v>0</v>
      </c>
      <c r="BH64" s="687">
        <f>IF(N64="sníž. přenesená",J64,0)</f>
        <v>0</v>
      </c>
      <c r="BI64" s="687">
        <f>IF(N64="nulová",J64,0)</f>
        <v>0</v>
      </c>
      <c r="BJ64" s="629" t="s">
        <v>791</v>
      </c>
      <c r="BK64" s="687">
        <f>ROUND(I64*H64,2)</f>
        <v>0</v>
      </c>
      <c r="BL64" s="629" t="s">
        <v>1065</v>
      </c>
      <c r="BM64" s="686" t="s">
        <v>1102</v>
      </c>
    </row>
    <row r="65" spans="1:31" s="634" customFormat="1" ht="6.95" customHeight="1">
      <c r="A65" s="630"/>
      <c r="B65" s="638"/>
      <c r="C65" s="639"/>
      <c r="D65" s="639"/>
      <c r="E65" s="639"/>
      <c r="F65" s="639"/>
      <c r="G65" s="639"/>
      <c r="H65" s="639"/>
      <c r="I65" s="639"/>
      <c r="J65" s="639"/>
      <c r="K65" s="639"/>
      <c r="L65" s="631"/>
      <c r="M65" s="630"/>
      <c r="O65" s="630"/>
      <c r="P65" s="630"/>
      <c r="Q65" s="630"/>
      <c r="R65" s="630"/>
      <c r="S65" s="630"/>
      <c r="T65" s="630"/>
      <c r="U65" s="630"/>
      <c r="V65" s="630"/>
      <c r="W65" s="630"/>
      <c r="X65" s="630"/>
      <c r="Y65" s="630"/>
      <c r="Z65" s="630"/>
      <c r="AA65" s="630"/>
      <c r="AB65" s="630"/>
      <c r="AC65" s="630"/>
      <c r="AD65" s="630"/>
      <c r="AE65" s="630"/>
    </row>
  </sheetData>
  <mergeCells count="2">
    <mergeCell ref="E5:H5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9" fitToHeight="0" orientation="portrait" horizontalDpi="4294967295" verticalDpi="4294967295" r:id="rId1"/>
  <headerFooter>
    <oddFooter>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66"/>
    <pageSetUpPr fitToPage="1"/>
  </sheetPr>
  <dimension ref="A1:Q119"/>
  <sheetViews>
    <sheetView topLeftCell="A94" workbookViewId="0">
      <selection activeCell="F67" sqref="F67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10" t="s">
        <v>662</v>
      </c>
      <c r="B1" s="1110"/>
      <c r="C1" s="1110"/>
      <c r="D1" s="1110"/>
      <c r="E1" s="1110"/>
      <c r="F1" s="1110"/>
      <c r="G1" s="1110"/>
      <c r="H1" s="1110"/>
    </row>
    <row r="2" spans="1:14" s="22" customFormat="1" ht="20.25" customHeight="1">
      <c r="A2" s="55" t="s">
        <v>77</v>
      </c>
      <c r="B2" s="29"/>
      <c r="C2" s="55" t="s">
        <v>2664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663</v>
      </c>
      <c r="D3" s="31"/>
      <c r="E3" s="76"/>
      <c r="F3" s="3" t="s">
        <v>2</v>
      </c>
      <c r="G3" s="155">
        <v>44670</v>
      </c>
      <c r="H3" s="1048" t="s">
        <v>2690</v>
      </c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SUM(H10,H36,H45,H62,H67,H78)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SUM(H11:H35)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664</v>
      </c>
      <c r="D11" s="158" t="s">
        <v>665</v>
      </c>
      <c r="E11" s="157" t="s">
        <v>12</v>
      </c>
      <c r="F11" s="159">
        <f>F16</f>
        <v>11.870000000000001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 ht="12">
      <c r="A12" s="161"/>
      <c r="B12" s="162"/>
      <c r="C12" s="162"/>
      <c r="D12" s="208" t="s">
        <v>666</v>
      </c>
      <c r="E12" s="164"/>
      <c r="F12" s="57"/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161"/>
      <c r="B13" s="162"/>
      <c r="C13" s="162"/>
      <c r="D13" s="163" t="s">
        <v>667</v>
      </c>
      <c r="E13" s="164"/>
      <c r="F13" s="57">
        <f>ROUND(3*0.5*0.3*0.8+3*0.5*0.3*0.7+(2.98+0.76)*0.3*0.2,2)</f>
        <v>0.9</v>
      </c>
      <c r="G13" s="162"/>
      <c r="H13" s="165"/>
      <c r="I13" s="23"/>
      <c r="J13" s="39"/>
      <c r="K13" s="43"/>
      <c r="L13" s="23"/>
      <c r="M13" s="54"/>
    </row>
    <row r="14" spans="1:14" s="145" customFormat="1" ht="12">
      <c r="A14" s="161"/>
      <c r="B14" s="162"/>
      <c r="C14" s="162"/>
      <c r="D14" s="208" t="s">
        <v>668</v>
      </c>
      <c r="E14" s="164"/>
      <c r="F14" s="57"/>
      <c r="G14" s="162"/>
      <c r="H14" s="165"/>
      <c r="I14" s="23"/>
      <c r="J14" s="39"/>
      <c r="K14" s="43"/>
      <c r="L14" s="23"/>
      <c r="M14" s="54"/>
    </row>
    <row r="15" spans="1:14" s="145" customFormat="1" ht="12">
      <c r="A15" s="161"/>
      <c r="B15" s="162"/>
      <c r="C15" s="162"/>
      <c r="D15" s="163" t="s">
        <v>669</v>
      </c>
      <c r="E15" s="164"/>
      <c r="F15" s="57">
        <f>ROUND(76*0.5*0.5*3.14/4*0.7+2*0.75*0.5*0.7,2)</f>
        <v>10.97</v>
      </c>
      <c r="G15" s="162"/>
      <c r="H15" s="165"/>
      <c r="I15" s="23"/>
      <c r="J15" s="39"/>
      <c r="K15" s="43"/>
      <c r="L15" s="23"/>
      <c r="M15" s="54"/>
    </row>
    <row r="16" spans="1:14" s="145" customFormat="1" ht="12">
      <c r="A16" s="6"/>
      <c r="B16" s="166"/>
      <c r="C16" s="166"/>
      <c r="D16" s="167" t="s">
        <v>26</v>
      </c>
      <c r="E16" s="62"/>
      <c r="F16" s="168">
        <f>SUM(F12:F15)</f>
        <v>11.870000000000001</v>
      </c>
      <c r="G16" s="166"/>
      <c r="H16" s="169"/>
      <c r="I16" s="23"/>
      <c r="J16" s="39"/>
      <c r="K16" s="43"/>
      <c r="L16" s="23"/>
      <c r="M16" s="54"/>
    </row>
    <row r="17" spans="1:13" s="145" customFormat="1" ht="36">
      <c r="A17" s="156">
        <f>A11+1</f>
        <v>2</v>
      </c>
      <c r="B17" s="157" t="s">
        <v>29</v>
      </c>
      <c r="C17" s="158">
        <v>162501102</v>
      </c>
      <c r="D17" s="158" t="s">
        <v>144</v>
      </c>
      <c r="E17" s="157" t="s">
        <v>12</v>
      </c>
      <c r="F17" s="159">
        <f>F19</f>
        <v>11.87</v>
      </c>
      <c r="G17" s="160"/>
      <c r="H17" s="71">
        <f>ROUND(F17*G17,2)</f>
        <v>0</v>
      </c>
      <c r="I17" s="23"/>
      <c r="J17" s="42">
        <v>1</v>
      </c>
      <c r="K17" s="43"/>
      <c r="L17" s="23"/>
      <c r="M17" s="54"/>
    </row>
    <row r="18" spans="1:13" s="145" customFormat="1" ht="12">
      <c r="A18" s="6"/>
      <c r="B18" s="166"/>
      <c r="C18" s="166"/>
      <c r="D18" s="170" t="s">
        <v>670</v>
      </c>
      <c r="E18" s="77"/>
      <c r="F18" s="171">
        <v>11.87</v>
      </c>
      <c r="G18" s="166"/>
      <c r="H18" s="169"/>
      <c r="I18" s="23"/>
      <c r="J18" s="39"/>
      <c r="K18" s="43"/>
      <c r="L18" s="23"/>
      <c r="M18" s="54"/>
    </row>
    <row r="19" spans="1:13" s="145" customFormat="1" ht="12">
      <c r="A19" s="6"/>
      <c r="B19" s="166"/>
      <c r="C19" s="166"/>
      <c r="D19" s="167" t="s">
        <v>26</v>
      </c>
      <c r="E19" s="62"/>
      <c r="F19" s="168">
        <f>SUM(F18:F18)</f>
        <v>11.87</v>
      </c>
      <c r="G19" s="166"/>
      <c r="H19" s="169"/>
      <c r="I19" s="23"/>
      <c r="J19" s="39"/>
      <c r="K19" s="43"/>
      <c r="L19" s="23"/>
      <c r="M19" s="54"/>
    </row>
    <row r="20" spans="1:13" s="145" customFormat="1" ht="36">
      <c r="A20" s="156">
        <f>A17+1</f>
        <v>3</v>
      </c>
      <c r="B20" s="157" t="s">
        <v>29</v>
      </c>
      <c r="C20" s="158" t="s">
        <v>671</v>
      </c>
      <c r="D20" s="158" t="s">
        <v>145</v>
      </c>
      <c r="E20" s="157" t="s">
        <v>12</v>
      </c>
      <c r="F20" s="159">
        <f>F22</f>
        <v>142.44</v>
      </c>
      <c r="G20" s="160"/>
      <c r="H20" s="71">
        <f>ROUND(F20*G20,2)</f>
        <v>0</v>
      </c>
      <c r="I20" s="23"/>
      <c r="J20" s="42">
        <v>1</v>
      </c>
      <c r="K20" s="43"/>
      <c r="L20" s="23"/>
      <c r="M20" s="54"/>
    </row>
    <row r="21" spans="1:13" s="145" customFormat="1" ht="12">
      <c r="A21" s="6"/>
      <c r="B21" s="166"/>
      <c r="C21" s="166"/>
      <c r="D21" s="170" t="s">
        <v>672</v>
      </c>
      <c r="E21" s="77"/>
      <c r="F21" s="171">
        <f>11.87*12</f>
        <v>142.44</v>
      </c>
      <c r="G21" s="166"/>
      <c r="H21" s="169"/>
      <c r="I21" s="23"/>
      <c r="J21" s="39"/>
      <c r="K21" s="43"/>
      <c r="L21" s="23"/>
      <c r="M21" s="54"/>
    </row>
    <row r="22" spans="1:13" s="145" customFormat="1" ht="12">
      <c r="A22" s="6"/>
      <c r="B22" s="166"/>
      <c r="C22" s="166"/>
      <c r="D22" s="167" t="s">
        <v>26</v>
      </c>
      <c r="E22" s="62"/>
      <c r="F22" s="168">
        <f>SUM(F21:F21)</f>
        <v>142.44</v>
      </c>
      <c r="G22" s="166"/>
      <c r="H22" s="169"/>
      <c r="I22" s="23"/>
      <c r="J22" s="39"/>
      <c r="K22" s="43"/>
      <c r="L22" s="23"/>
      <c r="M22" s="54"/>
    </row>
    <row r="23" spans="1:13" s="145" customFormat="1" ht="12">
      <c r="A23" s="156">
        <f>A20+1</f>
        <v>4</v>
      </c>
      <c r="B23" s="157" t="s">
        <v>29</v>
      </c>
      <c r="C23" s="158">
        <v>171201201</v>
      </c>
      <c r="D23" s="158" t="s">
        <v>265</v>
      </c>
      <c r="E23" s="157" t="s">
        <v>12</v>
      </c>
      <c r="F23" s="159">
        <f>F25</f>
        <v>11.87</v>
      </c>
      <c r="G23" s="160"/>
      <c r="H23" s="71">
        <f>ROUND(F23*G23,2)</f>
        <v>0</v>
      </c>
      <c r="I23" s="23"/>
      <c r="J23" s="42">
        <v>1</v>
      </c>
      <c r="K23" s="43"/>
      <c r="L23" s="23"/>
      <c r="M23" s="54"/>
    </row>
    <row r="24" spans="1:13" s="145" customFormat="1" ht="12">
      <c r="A24" s="6"/>
      <c r="B24" s="166"/>
      <c r="C24" s="166"/>
      <c r="D24" s="170" t="s">
        <v>670</v>
      </c>
      <c r="E24" s="77"/>
      <c r="F24" s="171">
        <v>11.87</v>
      </c>
      <c r="G24" s="166"/>
      <c r="H24" s="169"/>
      <c r="I24" s="23"/>
      <c r="J24" s="39"/>
      <c r="K24" s="43"/>
      <c r="L24" s="23"/>
      <c r="M24" s="54"/>
    </row>
    <row r="25" spans="1:13" s="145" customFormat="1" ht="12">
      <c r="A25" s="6"/>
      <c r="B25" s="166"/>
      <c r="C25" s="166"/>
      <c r="D25" s="167" t="s">
        <v>26</v>
      </c>
      <c r="E25" s="62"/>
      <c r="F25" s="168">
        <f>SUM(F24:F24)</f>
        <v>11.87</v>
      </c>
      <c r="G25" s="166"/>
      <c r="H25" s="169"/>
      <c r="I25" s="23"/>
      <c r="J25" s="39"/>
      <c r="K25" s="43"/>
      <c r="L25" s="23"/>
      <c r="M25" s="54"/>
    </row>
    <row r="26" spans="1:13" s="145" customFormat="1" ht="24">
      <c r="A26" s="156">
        <f>A23+1</f>
        <v>5</v>
      </c>
      <c r="B26" s="157" t="s">
        <v>29</v>
      </c>
      <c r="C26" s="158" t="s">
        <v>31</v>
      </c>
      <c r="D26" s="158" t="s">
        <v>32</v>
      </c>
      <c r="E26" s="157" t="s">
        <v>15</v>
      </c>
      <c r="F26" s="159">
        <f>F28</f>
        <v>21.13</v>
      </c>
      <c r="G26" s="160"/>
      <c r="H26" s="71">
        <f>ROUND(F26*G26,2)</f>
        <v>0</v>
      </c>
      <c r="I26" s="23"/>
      <c r="J26" s="42">
        <v>1</v>
      </c>
      <c r="K26" s="43"/>
      <c r="L26" s="23"/>
      <c r="M26" s="54"/>
    </row>
    <row r="27" spans="1:13" s="145" customFormat="1" ht="12">
      <c r="A27" s="6"/>
      <c r="B27" s="166"/>
      <c r="C27" s="166"/>
      <c r="D27" s="170" t="s">
        <v>673</v>
      </c>
      <c r="E27" s="77"/>
      <c r="F27" s="171">
        <f>ROUND(11.87*1.78,2)</f>
        <v>21.13</v>
      </c>
      <c r="G27" s="166"/>
      <c r="H27" s="169"/>
      <c r="I27" s="23"/>
      <c r="J27" s="39"/>
      <c r="K27" s="43"/>
      <c r="L27" s="23"/>
      <c r="M27" s="54"/>
    </row>
    <row r="28" spans="1:13" s="145" customFormat="1" ht="12">
      <c r="A28" s="6"/>
      <c r="B28" s="166"/>
      <c r="C28" s="166"/>
      <c r="D28" s="167" t="s">
        <v>26</v>
      </c>
      <c r="E28" s="62"/>
      <c r="F28" s="168">
        <f>SUM(F27:F27)</f>
        <v>21.13</v>
      </c>
      <c r="G28" s="166"/>
      <c r="H28" s="169"/>
      <c r="I28" s="23"/>
      <c r="J28" s="39"/>
      <c r="K28" s="43"/>
      <c r="L28" s="23"/>
      <c r="M28" s="54"/>
    </row>
    <row r="29" spans="1:13" s="145" customFormat="1" ht="24">
      <c r="A29" s="156">
        <f>A26+1</f>
        <v>6</v>
      </c>
      <c r="B29" s="157" t="s">
        <v>29</v>
      </c>
      <c r="C29" s="158">
        <v>174101102</v>
      </c>
      <c r="D29" s="158" t="s">
        <v>674</v>
      </c>
      <c r="E29" s="157" t="s">
        <v>12</v>
      </c>
      <c r="F29" s="159">
        <f>F32</f>
        <v>4.5</v>
      </c>
      <c r="G29" s="160"/>
      <c r="H29" s="71">
        <f>ROUND(F29*G29,2)</f>
        <v>0</v>
      </c>
      <c r="I29" s="23"/>
      <c r="J29" s="42">
        <v>1</v>
      </c>
      <c r="K29" s="43"/>
      <c r="L29" s="23"/>
      <c r="M29" s="54"/>
    </row>
    <row r="30" spans="1:13" s="145" customFormat="1" ht="12">
      <c r="A30" s="161"/>
      <c r="B30" s="162"/>
      <c r="C30" s="162"/>
      <c r="D30" s="208" t="s">
        <v>668</v>
      </c>
      <c r="E30" s="164"/>
      <c r="F30" s="57"/>
      <c r="G30" s="162"/>
      <c r="H30" s="165"/>
      <c r="I30" s="23"/>
      <c r="J30" s="39"/>
      <c r="K30" s="43"/>
      <c r="L30" s="23"/>
      <c r="M30" s="54"/>
    </row>
    <row r="31" spans="1:13" s="145" customFormat="1" ht="12">
      <c r="A31" s="6"/>
      <c r="B31" s="166"/>
      <c r="C31" s="166"/>
      <c r="D31" s="163" t="s">
        <v>675</v>
      </c>
      <c r="E31" s="164"/>
      <c r="F31" s="57">
        <f>ROUNDUP((90.65+26.28+4*7.8)*0.3*0.1,1)</f>
        <v>4.5</v>
      </c>
      <c r="G31" s="166"/>
      <c r="H31" s="169"/>
      <c r="I31" s="23"/>
      <c r="J31" s="39"/>
      <c r="K31" s="43"/>
      <c r="L31" s="23"/>
      <c r="M31" s="54"/>
    </row>
    <row r="32" spans="1:13" s="145" customFormat="1" ht="12">
      <c r="A32" s="6"/>
      <c r="B32" s="166"/>
      <c r="C32" s="166"/>
      <c r="D32" s="167" t="s">
        <v>26</v>
      </c>
      <c r="E32" s="62"/>
      <c r="F32" s="168">
        <f>SUM(F30:F31)</f>
        <v>4.5</v>
      </c>
      <c r="G32" s="166"/>
      <c r="H32" s="169"/>
      <c r="I32" s="23"/>
      <c r="J32" s="39"/>
      <c r="K32" s="43"/>
      <c r="L32" s="23"/>
      <c r="M32" s="54"/>
    </row>
    <row r="33" spans="1:14" s="145" customFormat="1" ht="12">
      <c r="A33" s="156">
        <f>A29+1</f>
        <v>7</v>
      </c>
      <c r="B33" s="175" t="s">
        <v>29</v>
      </c>
      <c r="C33" s="432" t="s">
        <v>676</v>
      </c>
      <c r="D33" s="432" t="s">
        <v>677</v>
      </c>
      <c r="E33" s="175" t="s">
        <v>15</v>
      </c>
      <c r="F33" s="177">
        <f>F35</f>
        <v>8.7799999999999994</v>
      </c>
      <c r="G33" s="178"/>
      <c r="H33" s="179">
        <f>ROUND(F33*G33,2)</f>
        <v>0</v>
      </c>
      <c r="I33" s="23"/>
      <c r="J33" s="42">
        <v>1</v>
      </c>
      <c r="K33" s="43"/>
      <c r="L33" s="23"/>
      <c r="M33" s="54"/>
    </row>
    <row r="34" spans="1:14" s="145" customFormat="1" ht="12">
      <c r="A34" s="6"/>
      <c r="B34" s="166"/>
      <c r="C34" s="166"/>
      <c r="D34" s="170" t="s">
        <v>678</v>
      </c>
      <c r="E34" s="77"/>
      <c r="F34" s="171">
        <f>ROUND(4.5*1.95,2)</f>
        <v>8.7799999999999994</v>
      </c>
      <c r="G34" s="166"/>
      <c r="H34" s="169"/>
      <c r="I34" s="23"/>
      <c r="J34" s="39"/>
      <c r="K34" s="43"/>
      <c r="L34" s="23"/>
      <c r="M34" s="54"/>
    </row>
    <row r="35" spans="1:14" s="145" customFormat="1" ht="12">
      <c r="A35" s="6"/>
      <c r="B35" s="166"/>
      <c r="C35" s="166"/>
      <c r="D35" s="167" t="s">
        <v>26</v>
      </c>
      <c r="E35" s="62"/>
      <c r="F35" s="168">
        <f>SUM(F34:F34)</f>
        <v>8.7799999999999994</v>
      </c>
      <c r="G35" s="166"/>
      <c r="H35" s="169"/>
      <c r="I35" s="23"/>
      <c r="J35" s="39"/>
      <c r="K35" s="43"/>
      <c r="L35" s="23"/>
      <c r="M35" s="54"/>
    </row>
    <row r="36" spans="1:14" s="22" customFormat="1" ht="21" customHeight="1">
      <c r="A36" s="4"/>
      <c r="B36" s="4"/>
      <c r="C36" s="5">
        <v>2</v>
      </c>
      <c r="D36" s="5" t="s">
        <v>16</v>
      </c>
      <c r="E36" s="7"/>
      <c r="F36" s="8"/>
      <c r="G36" s="4"/>
      <c r="H36" s="66">
        <f>SUM(H37:H44)</f>
        <v>0</v>
      </c>
      <c r="I36" s="45"/>
      <c r="J36" s="42">
        <v>2</v>
      </c>
      <c r="K36" s="50"/>
      <c r="L36" s="24"/>
      <c r="M36" s="54"/>
      <c r="N36" s="54"/>
    </row>
    <row r="37" spans="1:14" s="22" customFormat="1" ht="12">
      <c r="A37" s="156">
        <f>A33+1</f>
        <v>8</v>
      </c>
      <c r="B37" s="157" t="s">
        <v>29</v>
      </c>
      <c r="C37" s="158">
        <v>275313612</v>
      </c>
      <c r="D37" s="158" t="s">
        <v>679</v>
      </c>
      <c r="E37" s="157" t="s">
        <v>12</v>
      </c>
      <c r="F37" s="159">
        <f>SUM(F44)</f>
        <v>10.119999999999999</v>
      </c>
      <c r="G37" s="160"/>
      <c r="H37" s="71">
        <f>ROUND(F37*G37,2)</f>
        <v>0</v>
      </c>
      <c r="I37" s="23"/>
      <c r="J37" s="42">
        <v>2</v>
      </c>
      <c r="K37" s="43">
        <f>ROUND(F37*2.4,3)</f>
        <v>24.288</v>
      </c>
      <c r="L37" s="24"/>
      <c r="M37" s="54"/>
      <c r="N37" s="54"/>
    </row>
    <row r="38" spans="1:14" s="145" customFormat="1" ht="12">
      <c r="A38" s="161"/>
      <c r="B38" s="162"/>
      <c r="C38" s="162"/>
      <c r="D38" s="208" t="s">
        <v>666</v>
      </c>
      <c r="E38" s="164"/>
      <c r="F38" s="57"/>
      <c r="G38" s="162"/>
      <c r="H38" s="165"/>
      <c r="I38" s="23"/>
      <c r="J38" s="39"/>
      <c r="K38" s="43"/>
      <c r="L38" s="23"/>
      <c r="M38" s="54"/>
    </row>
    <row r="39" spans="1:14" s="145" customFormat="1" ht="12">
      <c r="A39" s="161"/>
      <c r="B39" s="162"/>
      <c r="C39" s="162"/>
      <c r="D39" s="163" t="s">
        <v>680</v>
      </c>
      <c r="E39" s="164"/>
      <c r="F39" s="57">
        <f>ROUND(3*0.5*0.3*0.8,2)</f>
        <v>0.36</v>
      </c>
      <c r="G39" s="162"/>
      <c r="H39" s="165"/>
      <c r="I39" s="23"/>
      <c r="J39" s="39"/>
      <c r="K39" s="43"/>
      <c r="L39" s="23"/>
      <c r="M39" s="54"/>
    </row>
    <row r="40" spans="1:14" s="145" customFormat="1" ht="12">
      <c r="A40" s="161"/>
      <c r="B40" s="162"/>
      <c r="C40" s="162"/>
      <c r="D40" s="163" t="s">
        <v>681</v>
      </c>
      <c r="E40" s="164"/>
      <c r="F40" s="57">
        <f>ROUND(3*0.5*0.3*0.8,2)</f>
        <v>0.36</v>
      </c>
      <c r="G40" s="162"/>
      <c r="H40" s="165"/>
      <c r="I40" s="23"/>
      <c r="J40" s="39"/>
      <c r="K40" s="43"/>
      <c r="L40" s="23"/>
      <c r="M40" s="54"/>
    </row>
    <row r="41" spans="1:14" s="25" customFormat="1" ht="14.25">
      <c r="A41" s="64"/>
      <c r="B41" s="1"/>
      <c r="C41" s="1"/>
      <c r="D41" s="208" t="s">
        <v>668</v>
      </c>
      <c r="E41" s="77"/>
      <c r="F41" s="57"/>
      <c r="G41" s="1"/>
      <c r="H41" s="65"/>
      <c r="I41" s="26"/>
      <c r="J41" s="40"/>
      <c r="K41" s="51"/>
      <c r="L41" s="47"/>
      <c r="M41" s="23"/>
      <c r="N41" s="23"/>
    </row>
    <row r="42" spans="1:14" s="22" customFormat="1" ht="12">
      <c r="A42" s="56"/>
      <c r="B42" s="3"/>
      <c r="C42" s="3"/>
      <c r="D42" s="59" t="s">
        <v>682</v>
      </c>
      <c r="E42" s="77"/>
      <c r="F42" s="57">
        <f>ROUND(76*0.5*0.5*3.14/4*0.6,2)</f>
        <v>8.9499999999999993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 ht="12">
      <c r="A43" s="56"/>
      <c r="B43" s="3"/>
      <c r="C43" s="3"/>
      <c r="D43" s="59" t="s">
        <v>683</v>
      </c>
      <c r="E43" s="77"/>
      <c r="F43" s="57">
        <f>ROUND(2*0.75*0.5*0.6,2)</f>
        <v>0.45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 ht="12">
      <c r="A44" s="56"/>
      <c r="B44" s="3"/>
      <c r="C44" s="3"/>
      <c r="D44" s="61" t="s">
        <v>26</v>
      </c>
      <c r="E44" s="62"/>
      <c r="F44" s="63">
        <f>SUM(F39:F43)</f>
        <v>10.119999999999999</v>
      </c>
      <c r="G44" s="3"/>
      <c r="H44" s="58"/>
      <c r="I44" s="23"/>
      <c r="J44" s="39"/>
      <c r="K44" s="43"/>
      <c r="L44" s="24"/>
      <c r="M44" s="54"/>
      <c r="N44" s="54"/>
    </row>
    <row r="45" spans="1:14" s="22" customFormat="1" ht="21" customHeight="1">
      <c r="A45" s="4"/>
      <c r="B45" s="4"/>
      <c r="C45" s="5">
        <v>3</v>
      </c>
      <c r="D45" s="5" t="s">
        <v>17</v>
      </c>
      <c r="E45" s="7"/>
      <c r="F45" s="8"/>
      <c r="G45" s="4"/>
      <c r="H45" s="66">
        <f>SUM(H46:H61)</f>
        <v>0</v>
      </c>
      <c r="I45" s="45"/>
      <c r="J45" s="42">
        <v>3</v>
      </c>
      <c r="K45" s="50"/>
      <c r="L45" s="24"/>
      <c r="M45" s="54"/>
      <c r="N45" s="54"/>
    </row>
    <row r="46" spans="1:14" s="22" customFormat="1" ht="36">
      <c r="A46" s="156">
        <f>A37+1</f>
        <v>9</v>
      </c>
      <c r="B46" s="157" t="s">
        <v>29</v>
      </c>
      <c r="C46" s="158">
        <v>338131155</v>
      </c>
      <c r="D46" s="158" t="s">
        <v>684</v>
      </c>
      <c r="E46" s="157" t="s">
        <v>19</v>
      </c>
      <c r="F46" s="159">
        <f>SUM(F48)</f>
        <v>76</v>
      </c>
      <c r="G46" s="160"/>
      <c r="H46" s="71">
        <f>ROUND(F46*G46,2)</f>
        <v>0</v>
      </c>
      <c r="I46" s="41"/>
      <c r="J46" s="42">
        <v>3</v>
      </c>
      <c r="K46" s="43"/>
      <c r="L46" s="24"/>
      <c r="M46" s="54"/>
      <c r="N46" s="54"/>
    </row>
    <row r="47" spans="1:14" s="22" customFormat="1" ht="12">
      <c r="A47" s="56"/>
      <c r="B47" s="3"/>
      <c r="C47" s="3"/>
      <c r="D47" s="59" t="s">
        <v>685</v>
      </c>
      <c r="E47" s="77"/>
      <c r="F47" s="57">
        <f>68+3+4+1</f>
        <v>76</v>
      </c>
      <c r="G47" s="3"/>
      <c r="H47" s="58"/>
      <c r="I47" s="23"/>
      <c r="J47" s="39"/>
      <c r="K47" s="43"/>
      <c r="L47" s="24"/>
      <c r="M47" s="54"/>
      <c r="N47" s="54"/>
    </row>
    <row r="48" spans="1:14" s="22" customFormat="1" ht="12">
      <c r="A48" s="56"/>
      <c r="B48" s="3"/>
      <c r="C48" s="3"/>
      <c r="D48" s="61" t="s">
        <v>26</v>
      </c>
      <c r="E48" s="62"/>
      <c r="F48" s="63">
        <f>SUM(F47:F47)</f>
        <v>76</v>
      </c>
      <c r="G48" s="3"/>
      <c r="H48" s="58"/>
      <c r="I48" s="23"/>
      <c r="J48" s="39"/>
      <c r="K48" s="43"/>
      <c r="L48" s="24"/>
      <c r="M48" s="54"/>
      <c r="N48" s="54"/>
    </row>
    <row r="49" spans="1:14" s="25" customFormat="1" ht="12">
      <c r="A49" s="72">
        <f>A46+1</f>
        <v>10</v>
      </c>
      <c r="B49" s="191" t="s">
        <v>45</v>
      </c>
      <c r="C49" s="197" t="s">
        <v>686</v>
      </c>
      <c r="D49" s="197" t="s">
        <v>687</v>
      </c>
      <c r="E49" s="191" t="s">
        <v>19</v>
      </c>
      <c r="F49" s="195">
        <v>68</v>
      </c>
      <c r="G49" s="179"/>
      <c r="H49" s="179">
        <f>ROUND(F49*G49,2)</f>
        <v>0</v>
      </c>
      <c r="I49" s="23"/>
      <c r="J49" s="42">
        <v>3</v>
      </c>
      <c r="K49" s="43">
        <f>ROUND(F49*0.1*0.1*2.72*2.4,3)</f>
        <v>4.4390000000000001</v>
      </c>
      <c r="M49" s="23"/>
      <c r="N49" s="23"/>
    </row>
    <row r="50" spans="1:14" s="25" customFormat="1" ht="12">
      <c r="A50" s="72">
        <f>A49+1</f>
        <v>11</v>
      </c>
      <c r="B50" s="191" t="s">
        <v>45</v>
      </c>
      <c r="C50" s="197" t="s">
        <v>688</v>
      </c>
      <c r="D50" s="197" t="s">
        <v>689</v>
      </c>
      <c r="E50" s="191" t="s">
        <v>19</v>
      </c>
      <c r="F50" s="195">
        <v>3</v>
      </c>
      <c r="G50" s="179"/>
      <c r="H50" s="179">
        <f>ROUND(F50*G50,2)</f>
        <v>0</v>
      </c>
      <c r="I50" s="23"/>
      <c r="J50" s="42">
        <v>3</v>
      </c>
      <c r="K50" s="43">
        <f>ROUND(F50*0.1*0.13*2.72*2.4,3)</f>
        <v>0.255</v>
      </c>
      <c r="M50" s="23"/>
      <c r="N50" s="23"/>
    </row>
    <row r="51" spans="1:14" s="25" customFormat="1" ht="12">
      <c r="A51" s="72">
        <f>A50+1</f>
        <v>12</v>
      </c>
      <c r="B51" s="191" t="s">
        <v>45</v>
      </c>
      <c r="C51" s="197" t="s">
        <v>690</v>
      </c>
      <c r="D51" s="197" t="s">
        <v>691</v>
      </c>
      <c r="E51" s="191" t="s">
        <v>19</v>
      </c>
      <c r="F51" s="195">
        <v>4</v>
      </c>
      <c r="G51" s="179"/>
      <c r="H51" s="179">
        <f>ROUND(F51*G51,2)</f>
        <v>0</v>
      </c>
      <c r="I51" s="23"/>
      <c r="J51" s="42">
        <v>3</v>
      </c>
      <c r="K51" s="43">
        <f>ROUND(F51*0.13*0.13*2.72*2.4,3)</f>
        <v>0.441</v>
      </c>
      <c r="M51" s="23"/>
      <c r="N51" s="23"/>
    </row>
    <row r="52" spans="1:14" s="25" customFormat="1" ht="12">
      <c r="A52" s="72">
        <f>A51+1</f>
        <v>13</v>
      </c>
      <c r="B52" s="191" t="s">
        <v>45</v>
      </c>
      <c r="C52" s="197" t="s">
        <v>692</v>
      </c>
      <c r="D52" s="197" t="s">
        <v>693</v>
      </c>
      <c r="E52" s="191" t="s">
        <v>19</v>
      </c>
      <c r="F52" s="195">
        <v>1</v>
      </c>
      <c r="G52" s="179"/>
      <c r="H52" s="179">
        <f>ROUND(F52*G52,2)</f>
        <v>0</v>
      </c>
      <c r="I52" s="23"/>
      <c r="J52" s="42">
        <v>3</v>
      </c>
      <c r="K52" s="43">
        <f>ROUND(F52*0.13*0.13*2.72*2.4,3)</f>
        <v>0.11</v>
      </c>
      <c r="M52" s="23"/>
      <c r="N52" s="23"/>
    </row>
    <row r="53" spans="1:14" s="22" customFormat="1" ht="12">
      <c r="A53" s="156">
        <f>A52+1</f>
        <v>14</v>
      </c>
      <c r="B53" s="157" t="s">
        <v>29</v>
      </c>
      <c r="C53" s="158">
        <v>348121121</v>
      </c>
      <c r="D53" s="158" t="s">
        <v>694</v>
      </c>
      <c r="E53" s="157" t="s">
        <v>19</v>
      </c>
      <c r="F53" s="159">
        <f>F55</f>
        <v>453</v>
      </c>
      <c r="G53" s="160"/>
      <c r="H53" s="71">
        <f>ROUND(F53*G53,2)</f>
        <v>0</v>
      </c>
      <c r="I53" s="41"/>
      <c r="J53" s="42">
        <v>3</v>
      </c>
      <c r="K53" s="43"/>
      <c r="L53" s="24"/>
      <c r="M53" s="54"/>
      <c r="N53" s="54"/>
    </row>
    <row r="54" spans="1:14" s="22" customFormat="1" ht="12">
      <c r="A54" s="56"/>
      <c r="B54" s="3"/>
      <c r="C54" s="3"/>
      <c r="D54" s="172" t="s">
        <v>695</v>
      </c>
      <c r="E54" s="77"/>
      <c r="F54" s="57">
        <f>244+8+120+3+2+76</f>
        <v>453</v>
      </c>
      <c r="G54" s="3"/>
      <c r="H54" s="58"/>
      <c r="I54" s="23"/>
      <c r="J54" s="39"/>
      <c r="K54" s="43"/>
      <c r="L54" s="24"/>
      <c r="M54" s="54"/>
      <c r="N54" s="54"/>
    </row>
    <row r="55" spans="1:14" s="22" customFormat="1" ht="12">
      <c r="A55" s="56"/>
      <c r="B55" s="3"/>
      <c r="C55" s="3"/>
      <c r="D55" s="61" t="s">
        <v>26</v>
      </c>
      <c r="E55" s="62"/>
      <c r="F55" s="63">
        <f>SUM(F54:F54)</f>
        <v>453</v>
      </c>
      <c r="G55" s="3"/>
      <c r="H55" s="58"/>
      <c r="I55" s="23"/>
      <c r="J55" s="39"/>
      <c r="K55" s="43"/>
      <c r="L55" s="24"/>
      <c r="M55" s="54"/>
      <c r="N55" s="54"/>
    </row>
    <row r="56" spans="1:14" s="25" customFormat="1" ht="12">
      <c r="A56" s="72">
        <f>A53+1</f>
        <v>15</v>
      </c>
      <c r="B56" s="191" t="s">
        <v>45</v>
      </c>
      <c r="C56" s="197" t="s">
        <v>153</v>
      </c>
      <c r="D56" s="197" t="s">
        <v>696</v>
      </c>
      <c r="E56" s="191" t="s">
        <v>19</v>
      </c>
      <c r="F56" s="195">
        <v>244</v>
      </c>
      <c r="G56" s="179"/>
      <c r="H56" s="179">
        <f t="shared" ref="H56:H61" si="0">ROUND(F56*G56,2)</f>
        <v>0</v>
      </c>
      <c r="I56" s="23"/>
      <c r="J56" s="42">
        <v>3</v>
      </c>
      <c r="K56" s="43">
        <f>ROUND(F56*1.85*0.05*0.5*2.4,3)</f>
        <v>27.084</v>
      </c>
      <c r="M56" s="23"/>
      <c r="N56" s="23"/>
    </row>
    <row r="57" spans="1:14" s="25" customFormat="1" ht="12">
      <c r="A57" s="72">
        <f>A56+1</f>
        <v>16</v>
      </c>
      <c r="B57" s="191" t="s">
        <v>45</v>
      </c>
      <c r="C57" s="197" t="s">
        <v>697</v>
      </c>
      <c r="D57" s="197" t="s">
        <v>698</v>
      </c>
      <c r="E57" s="191" t="s">
        <v>19</v>
      </c>
      <c r="F57" s="195">
        <v>8</v>
      </c>
      <c r="G57" s="179"/>
      <c r="H57" s="179">
        <f t="shared" si="0"/>
        <v>0</v>
      </c>
      <c r="I57" s="23"/>
      <c r="J57" s="42">
        <v>3</v>
      </c>
      <c r="K57" s="43">
        <f>ROUND(F57*0.8*0.05*0.5*2.4,3)</f>
        <v>0.38400000000000001</v>
      </c>
      <c r="M57" s="23"/>
      <c r="N57" s="23"/>
    </row>
    <row r="58" spans="1:14" s="25" customFormat="1" ht="12">
      <c r="A58" s="72">
        <f>A57+1</f>
        <v>17</v>
      </c>
      <c r="B58" s="191" t="s">
        <v>45</v>
      </c>
      <c r="C58" s="197" t="s">
        <v>157</v>
      </c>
      <c r="D58" s="197" t="s">
        <v>699</v>
      </c>
      <c r="E58" s="191" t="s">
        <v>19</v>
      </c>
      <c r="F58" s="195">
        <v>120</v>
      </c>
      <c r="G58" s="179"/>
      <c r="H58" s="179">
        <f t="shared" si="0"/>
        <v>0</v>
      </c>
      <c r="I58" s="23"/>
      <c r="J58" s="42">
        <v>3</v>
      </c>
      <c r="K58" s="43">
        <f>ROUND(F58*1.85*0.05*0.2*0.48,3)</f>
        <v>1.0660000000000001</v>
      </c>
      <c r="M58" s="23"/>
      <c r="N58" s="23"/>
    </row>
    <row r="59" spans="1:14" s="25" customFormat="1" ht="24">
      <c r="A59" s="72">
        <f>A58+1</f>
        <v>18</v>
      </c>
      <c r="B59" s="191" t="s">
        <v>45</v>
      </c>
      <c r="C59" s="197" t="s">
        <v>700</v>
      </c>
      <c r="D59" s="197" t="s">
        <v>701</v>
      </c>
      <c r="E59" s="191" t="s">
        <v>19</v>
      </c>
      <c r="F59" s="195">
        <v>3</v>
      </c>
      <c r="G59" s="179"/>
      <c r="H59" s="179">
        <f t="shared" si="0"/>
        <v>0</v>
      </c>
      <c r="I59" s="23"/>
      <c r="J59" s="42">
        <v>3</v>
      </c>
      <c r="K59" s="43">
        <f>ROUND(F59*1.6*0.01*1.4*0.5,3)</f>
        <v>3.4000000000000002E-2</v>
      </c>
      <c r="M59" s="23"/>
      <c r="N59" s="23"/>
    </row>
    <row r="60" spans="1:14" s="25" customFormat="1" ht="24">
      <c r="A60" s="72">
        <f>A59+1</f>
        <v>19</v>
      </c>
      <c r="B60" s="191" t="s">
        <v>45</v>
      </c>
      <c r="C60" s="197" t="s">
        <v>702</v>
      </c>
      <c r="D60" s="197" t="s">
        <v>703</v>
      </c>
      <c r="E60" s="191" t="s">
        <v>19</v>
      </c>
      <c r="F60" s="195">
        <v>2</v>
      </c>
      <c r="G60" s="179"/>
      <c r="H60" s="179">
        <f t="shared" si="0"/>
        <v>0</v>
      </c>
      <c r="I60" s="23"/>
      <c r="J60" s="42">
        <v>3</v>
      </c>
      <c r="K60" s="43">
        <f>ROUND(F60*1.6*0.01*1.4*0.5,3)</f>
        <v>2.1999999999999999E-2</v>
      </c>
      <c r="M60" s="23"/>
      <c r="N60" s="23"/>
    </row>
    <row r="61" spans="1:14" s="25" customFormat="1" ht="12">
      <c r="A61" s="72">
        <f>A60+1</f>
        <v>20</v>
      </c>
      <c r="B61" s="191" t="s">
        <v>45</v>
      </c>
      <c r="C61" s="197" t="s">
        <v>704</v>
      </c>
      <c r="D61" s="197" t="s">
        <v>705</v>
      </c>
      <c r="E61" s="191" t="s">
        <v>19</v>
      </c>
      <c r="F61" s="195">
        <v>76</v>
      </c>
      <c r="G61" s="179"/>
      <c r="H61" s="179">
        <f t="shared" si="0"/>
        <v>0</v>
      </c>
      <c r="I61" s="23"/>
      <c r="J61" s="42">
        <v>3</v>
      </c>
      <c r="K61" s="43">
        <f>ROUND(F61*0.2*0.2*0.05*2.4,3)</f>
        <v>0.36499999999999999</v>
      </c>
      <c r="M61" s="23"/>
      <c r="N61" s="23"/>
    </row>
    <row r="62" spans="1:14" s="22" customFormat="1" ht="21" customHeight="1">
      <c r="A62" s="4"/>
      <c r="B62" s="4"/>
      <c r="C62" s="5">
        <v>5</v>
      </c>
      <c r="D62" s="5" t="s">
        <v>52</v>
      </c>
      <c r="E62" s="7"/>
      <c r="F62" s="8"/>
      <c r="G62" s="4"/>
      <c r="H62" s="66">
        <f>SUM(H63:H63)</f>
        <v>0</v>
      </c>
      <c r="I62" s="45"/>
      <c r="J62" s="42">
        <v>5</v>
      </c>
      <c r="K62" s="50"/>
      <c r="L62" s="24"/>
      <c r="M62" s="54"/>
      <c r="N62" s="54"/>
    </row>
    <row r="63" spans="1:14" s="22" customFormat="1" ht="24">
      <c r="A63" s="156">
        <f>A61+1</f>
        <v>21</v>
      </c>
      <c r="B63" s="157" t="s">
        <v>29</v>
      </c>
      <c r="C63" s="158" t="s">
        <v>706</v>
      </c>
      <c r="D63" s="158" t="s">
        <v>707</v>
      </c>
      <c r="E63" s="157" t="s">
        <v>13</v>
      </c>
      <c r="F63" s="159">
        <f>F66</f>
        <v>1.1200000000000001</v>
      </c>
      <c r="G63" s="160"/>
      <c r="H63" s="71">
        <f>ROUND(F63*G63,2)</f>
        <v>0</v>
      </c>
      <c r="I63" s="23"/>
      <c r="J63" s="42">
        <v>5</v>
      </c>
      <c r="K63" s="43">
        <f>ROUND(F63*0.15*1.8,3)</f>
        <v>0.30199999999999999</v>
      </c>
      <c r="L63" s="24"/>
      <c r="M63" s="54"/>
      <c r="N63" s="54"/>
    </row>
    <row r="64" spans="1:14" s="145" customFormat="1" ht="12">
      <c r="A64" s="161"/>
      <c r="B64" s="162"/>
      <c r="C64" s="162"/>
      <c r="D64" s="208" t="s">
        <v>666</v>
      </c>
      <c r="E64" s="164"/>
      <c r="F64" s="57"/>
      <c r="G64" s="162"/>
      <c r="H64" s="165"/>
      <c r="I64" s="23"/>
      <c r="J64" s="39"/>
      <c r="K64" s="43"/>
      <c r="L64" s="23"/>
      <c r="M64" s="54"/>
    </row>
    <row r="65" spans="1:14" s="22" customFormat="1" ht="12">
      <c r="A65" s="56"/>
      <c r="B65" s="3"/>
      <c r="C65" s="3"/>
      <c r="D65" s="59" t="s">
        <v>708</v>
      </c>
      <c r="E65" s="77"/>
      <c r="F65" s="57">
        <f>ROUND((2.98+0.76)*0.3,2)</f>
        <v>1.1200000000000001</v>
      </c>
      <c r="G65" s="3"/>
      <c r="H65" s="58"/>
      <c r="I65" s="23"/>
      <c r="J65" s="39"/>
      <c r="K65" s="43"/>
      <c r="L65" s="24"/>
      <c r="M65" s="54"/>
      <c r="N65" s="54"/>
    </row>
    <row r="66" spans="1:14" s="22" customFormat="1" ht="12">
      <c r="A66" s="56"/>
      <c r="B66" s="3"/>
      <c r="C66" s="3"/>
      <c r="D66" s="61" t="s">
        <v>26</v>
      </c>
      <c r="E66" s="62"/>
      <c r="F66" s="63">
        <f>SUM(F65:F65)</f>
        <v>1.1200000000000001</v>
      </c>
      <c r="G66" s="3"/>
      <c r="H66" s="58"/>
      <c r="I66" s="23"/>
      <c r="J66" s="39"/>
      <c r="K66" s="43"/>
      <c r="L66" s="24"/>
      <c r="M66" s="54"/>
      <c r="N66" s="54"/>
    </row>
    <row r="67" spans="1:14" s="24" customFormat="1" ht="25.5" customHeight="1">
      <c r="A67" s="11"/>
      <c r="B67" s="2"/>
      <c r="C67" s="14">
        <v>9</v>
      </c>
      <c r="D67" s="14" t="s">
        <v>28</v>
      </c>
      <c r="E67" s="11"/>
      <c r="F67" s="15"/>
      <c r="G67" s="2"/>
      <c r="H67" s="67">
        <f>SUM(H68:H77)</f>
        <v>0</v>
      </c>
      <c r="I67" s="46"/>
      <c r="J67" s="42">
        <v>9</v>
      </c>
      <c r="K67" s="51"/>
      <c r="L67" s="47"/>
      <c r="M67" s="23"/>
      <c r="N67" s="23"/>
    </row>
    <row r="68" spans="1:14" s="25" customFormat="1" ht="12">
      <c r="A68" s="72">
        <f>A63+1</f>
        <v>22</v>
      </c>
      <c r="B68" s="73" t="s">
        <v>29</v>
      </c>
      <c r="C68" s="74" t="s">
        <v>709</v>
      </c>
      <c r="D68" s="74" t="s">
        <v>710</v>
      </c>
      <c r="E68" s="73" t="s">
        <v>14</v>
      </c>
      <c r="F68" s="75">
        <f>F70</f>
        <v>3.57</v>
      </c>
      <c r="G68" s="71"/>
      <c r="H68" s="71">
        <f>ROUND(F68*G68,2)</f>
        <v>0</v>
      </c>
      <c r="I68" s="23"/>
      <c r="J68" s="42">
        <v>9</v>
      </c>
      <c r="K68" s="433">
        <f>ROUND(F68*0.063,3)</f>
        <v>0.22500000000000001</v>
      </c>
      <c r="M68" s="23"/>
      <c r="N68" s="23"/>
    </row>
    <row r="69" spans="1:14" s="22" customFormat="1" ht="12">
      <c r="A69" s="56"/>
      <c r="B69" s="3"/>
      <c r="C69" s="3"/>
      <c r="D69" s="59" t="s">
        <v>711</v>
      </c>
      <c r="E69" s="77"/>
      <c r="F69" s="57">
        <v>3.57</v>
      </c>
      <c r="G69" s="3"/>
      <c r="H69" s="58"/>
      <c r="I69" s="23"/>
      <c r="J69" s="39"/>
      <c r="K69" s="49"/>
      <c r="L69" s="24"/>
      <c r="M69" s="54"/>
      <c r="N69" s="54"/>
    </row>
    <row r="70" spans="1:14" s="22" customFormat="1" ht="12">
      <c r="A70" s="56"/>
      <c r="B70" s="3"/>
      <c r="C70" s="3"/>
      <c r="D70" s="61" t="s">
        <v>26</v>
      </c>
      <c r="E70" s="62"/>
      <c r="F70" s="63">
        <f>SUM(F69:F69)</f>
        <v>3.57</v>
      </c>
      <c r="G70" s="3"/>
      <c r="H70" s="58"/>
      <c r="I70" s="23"/>
      <c r="J70" s="39"/>
      <c r="K70" s="43"/>
      <c r="L70" s="24"/>
      <c r="M70" s="54"/>
      <c r="N70" s="54"/>
    </row>
    <row r="71" spans="1:14" s="25" customFormat="1" ht="24">
      <c r="A71" s="72">
        <f>A68+1</f>
        <v>23</v>
      </c>
      <c r="B71" s="73" t="s">
        <v>712</v>
      </c>
      <c r="C71" s="74" t="s">
        <v>713</v>
      </c>
      <c r="D71" s="74" t="s">
        <v>714</v>
      </c>
      <c r="E71" s="73" t="s">
        <v>15</v>
      </c>
      <c r="F71" s="75">
        <f>K71</f>
        <v>0.22500000000000001</v>
      </c>
      <c r="G71" s="71"/>
      <c r="H71" s="71">
        <f>ROUND(F71*G71,2)</f>
        <v>0</v>
      </c>
      <c r="I71" s="23"/>
      <c r="J71" s="42">
        <v>9</v>
      </c>
      <c r="K71" s="434">
        <f>SUM(K68:K70,K98:K100)</f>
        <v>0.22500000000000001</v>
      </c>
      <c r="M71" s="23"/>
      <c r="N71" s="23"/>
    </row>
    <row r="72" spans="1:14" s="25" customFormat="1" ht="24">
      <c r="A72" s="72">
        <f>A71+1</f>
        <v>24</v>
      </c>
      <c r="B72" s="73" t="s">
        <v>712</v>
      </c>
      <c r="C72" s="74" t="s">
        <v>715</v>
      </c>
      <c r="D72" s="74" t="s">
        <v>716</v>
      </c>
      <c r="E72" s="73" t="s">
        <v>15</v>
      </c>
      <c r="F72" s="75">
        <f>F71*2</f>
        <v>0.45</v>
      </c>
      <c r="G72" s="71"/>
      <c r="H72" s="71">
        <f t="shared" ref="H72:H77" si="1">ROUND(F72*G72,2)</f>
        <v>0</v>
      </c>
      <c r="I72" s="23"/>
      <c r="J72" s="42">
        <v>9</v>
      </c>
      <c r="K72" s="50"/>
      <c r="M72" s="23"/>
      <c r="N72" s="23"/>
    </row>
    <row r="73" spans="1:14" s="25" customFormat="1" ht="12">
      <c r="A73" s="72">
        <f>A72+1</f>
        <v>25</v>
      </c>
      <c r="B73" s="73" t="s">
        <v>712</v>
      </c>
      <c r="C73" s="74" t="s">
        <v>717</v>
      </c>
      <c r="D73" s="74" t="s">
        <v>718</v>
      </c>
      <c r="E73" s="73" t="s">
        <v>15</v>
      </c>
      <c r="F73" s="75">
        <f>F71</f>
        <v>0.22500000000000001</v>
      </c>
      <c r="G73" s="71"/>
      <c r="H73" s="71">
        <f t="shared" si="1"/>
        <v>0</v>
      </c>
      <c r="I73" s="23"/>
      <c r="J73" s="42">
        <v>9</v>
      </c>
      <c r="K73" s="50"/>
      <c r="M73" s="23"/>
      <c r="N73" s="23"/>
    </row>
    <row r="74" spans="1:14" s="25" customFormat="1" ht="24">
      <c r="A74" s="72">
        <f t="shared" ref="A74" si="2">A73+1</f>
        <v>26</v>
      </c>
      <c r="B74" s="73" t="s">
        <v>712</v>
      </c>
      <c r="C74" s="74" t="s">
        <v>719</v>
      </c>
      <c r="D74" s="74" t="s">
        <v>720</v>
      </c>
      <c r="E74" s="73" t="s">
        <v>15</v>
      </c>
      <c r="F74" s="75">
        <f>F73*15</f>
        <v>3.375</v>
      </c>
      <c r="G74" s="71"/>
      <c r="H74" s="71">
        <f t="shared" si="1"/>
        <v>0</v>
      </c>
      <c r="I74" s="23" t="s">
        <v>721</v>
      </c>
      <c r="J74" s="42">
        <v>9</v>
      </c>
      <c r="K74" s="50"/>
      <c r="M74" s="23"/>
      <c r="N74" s="23"/>
    </row>
    <row r="75" spans="1:14" s="25" customFormat="1" ht="24">
      <c r="A75" s="72">
        <f>A74+1</f>
        <v>27</v>
      </c>
      <c r="B75" s="73" t="s">
        <v>712</v>
      </c>
      <c r="C75" s="74" t="s">
        <v>722</v>
      </c>
      <c r="D75" s="74" t="s">
        <v>723</v>
      </c>
      <c r="E75" s="73" t="s">
        <v>15</v>
      </c>
      <c r="F75" s="75">
        <f>F71</f>
        <v>0.22500000000000001</v>
      </c>
      <c r="G75" s="71"/>
      <c r="H75" s="71">
        <f t="shared" si="1"/>
        <v>0</v>
      </c>
      <c r="I75" s="23"/>
      <c r="J75" s="42">
        <v>9</v>
      </c>
      <c r="K75" s="50"/>
      <c r="M75" s="23"/>
      <c r="N75" s="23"/>
    </row>
    <row r="76" spans="1:14" s="25" customFormat="1" ht="24">
      <c r="A76" s="72">
        <f>A75+1</f>
        <v>28</v>
      </c>
      <c r="B76" s="73" t="s">
        <v>712</v>
      </c>
      <c r="C76" s="74" t="s">
        <v>724</v>
      </c>
      <c r="D76" s="74" t="s">
        <v>725</v>
      </c>
      <c r="E76" s="73" t="s">
        <v>15</v>
      </c>
      <c r="F76" s="75">
        <f>F75*5</f>
        <v>1.125</v>
      </c>
      <c r="G76" s="71"/>
      <c r="H76" s="71">
        <f t="shared" si="1"/>
        <v>0</v>
      </c>
      <c r="I76" s="23"/>
      <c r="J76" s="42">
        <v>9</v>
      </c>
      <c r="K76" s="50"/>
      <c r="M76" s="23"/>
      <c r="N76" s="23"/>
    </row>
    <row r="77" spans="1:14" s="25" customFormat="1" ht="24">
      <c r="A77" s="72">
        <f>A76+1</f>
        <v>29</v>
      </c>
      <c r="B77" s="73" t="s">
        <v>712</v>
      </c>
      <c r="C77" s="74" t="s">
        <v>726</v>
      </c>
      <c r="D77" s="74" t="s">
        <v>727</v>
      </c>
      <c r="E77" s="73" t="s">
        <v>15</v>
      </c>
      <c r="F77" s="75">
        <f>F71</f>
        <v>0.22500000000000001</v>
      </c>
      <c r="G77" s="71"/>
      <c r="H77" s="71">
        <f t="shared" si="1"/>
        <v>0</v>
      </c>
      <c r="I77" s="23"/>
      <c r="J77" s="42">
        <v>9</v>
      </c>
      <c r="K77" s="50"/>
      <c r="M77" s="23"/>
      <c r="N77" s="23"/>
    </row>
    <row r="78" spans="1:14" s="24" customFormat="1" ht="28.5" customHeight="1">
      <c r="A78" s="11"/>
      <c r="B78" s="2"/>
      <c r="C78" s="14">
        <v>99</v>
      </c>
      <c r="D78" s="14" t="s">
        <v>27</v>
      </c>
      <c r="E78" s="11"/>
      <c r="F78" s="15"/>
      <c r="G78" s="2"/>
      <c r="H78" s="67">
        <f>SUM(H79)</f>
        <v>0</v>
      </c>
      <c r="I78" s="46"/>
      <c r="J78" s="42">
        <v>99</v>
      </c>
      <c r="K78" s="51"/>
      <c r="L78" s="47"/>
      <c r="M78" s="23"/>
      <c r="N78" s="23"/>
    </row>
    <row r="79" spans="1:14" s="25" customFormat="1" ht="24">
      <c r="A79" s="72">
        <f>A77+1</f>
        <v>30</v>
      </c>
      <c r="B79" s="73" t="s">
        <v>40</v>
      </c>
      <c r="C79" s="74" t="s">
        <v>41</v>
      </c>
      <c r="D79" s="74" t="s">
        <v>42</v>
      </c>
      <c r="E79" s="73" t="s">
        <v>15</v>
      </c>
      <c r="F79" s="75">
        <f>K79</f>
        <v>59.515000000000001</v>
      </c>
      <c r="G79" s="71"/>
      <c r="H79" s="71">
        <f>ROUND(F79*G79,2)</f>
        <v>0</v>
      </c>
      <c r="I79" s="23"/>
      <c r="J79" s="42">
        <v>99</v>
      </c>
      <c r="K79" s="53">
        <f>SUM(K37:K66,K81:K114)</f>
        <v>59.515000000000001</v>
      </c>
      <c r="M79" s="23"/>
      <c r="N79" s="23"/>
    </row>
    <row r="80" spans="1:14" ht="25.5" customHeight="1">
      <c r="A80" s="3"/>
      <c r="B80" s="3"/>
      <c r="C80" s="9" t="s">
        <v>24</v>
      </c>
      <c r="D80" s="9" t="s">
        <v>25</v>
      </c>
      <c r="E80" s="6"/>
      <c r="F80" s="3"/>
      <c r="G80" s="10"/>
      <c r="H80" s="13">
        <f>SUM(H81,H98)</f>
        <v>0</v>
      </c>
      <c r="J80" s="44" t="s">
        <v>24</v>
      </c>
    </row>
    <row r="81" spans="1:16" s="24" customFormat="1" ht="23.25" customHeight="1">
      <c r="A81" s="11"/>
      <c r="B81" s="2"/>
      <c r="C81" s="14">
        <v>767</v>
      </c>
      <c r="D81" s="14" t="s">
        <v>76</v>
      </c>
      <c r="E81" s="11"/>
      <c r="F81" s="15"/>
      <c r="G81" s="2"/>
      <c r="H81" s="67">
        <f>SUM(H82:H97)</f>
        <v>0</v>
      </c>
      <c r="I81" s="46"/>
      <c r="J81" s="42">
        <v>767</v>
      </c>
      <c r="K81" s="51"/>
      <c r="L81" s="47"/>
      <c r="M81" s="23"/>
      <c r="N81" s="23"/>
      <c r="O81" s="25"/>
      <c r="P81" s="25"/>
    </row>
    <row r="82" spans="1:16" s="25" customFormat="1" ht="24">
      <c r="A82" s="72">
        <f>A79+1</f>
        <v>31</v>
      </c>
      <c r="B82" s="79">
        <v>767</v>
      </c>
      <c r="C82" s="80">
        <v>767995100</v>
      </c>
      <c r="D82" s="80" t="s">
        <v>728</v>
      </c>
      <c r="E82" s="79" t="s">
        <v>20</v>
      </c>
      <c r="F82" s="75">
        <f>F87</f>
        <v>275</v>
      </c>
      <c r="G82" s="71"/>
      <c r="H82" s="71">
        <f>ROUND(F82*G82,2)</f>
        <v>0</v>
      </c>
      <c r="I82" s="23"/>
      <c r="J82" s="42">
        <v>767</v>
      </c>
      <c r="K82" s="50">
        <f>ROUND(F82/1000,3)</f>
        <v>0.27500000000000002</v>
      </c>
      <c r="M82" s="23"/>
      <c r="N82" s="23"/>
    </row>
    <row r="83" spans="1:16" s="25" customFormat="1" ht="14.25">
      <c r="A83" s="64"/>
      <c r="B83" s="1"/>
      <c r="C83" s="1"/>
      <c r="D83" s="208" t="s">
        <v>666</v>
      </c>
      <c r="E83" s="77"/>
      <c r="F83" s="57"/>
      <c r="G83" s="1"/>
      <c r="H83" s="65"/>
      <c r="I83" s="26"/>
      <c r="J83" s="40"/>
      <c r="K83" s="51"/>
      <c r="L83" s="47"/>
      <c r="M83" s="23"/>
      <c r="N83" s="23"/>
    </row>
    <row r="84" spans="1:16" s="25" customFormat="1" ht="12">
      <c r="A84" s="64"/>
      <c r="B84" s="1"/>
      <c r="C84" s="1"/>
      <c r="D84" s="59" t="s">
        <v>729</v>
      </c>
      <c r="E84" s="200"/>
      <c r="F84" s="78">
        <v>110</v>
      </c>
      <c r="G84" s="1"/>
      <c r="H84" s="65"/>
      <c r="I84" s="26"/>
      <c r="J84" s="40"/>
      <c r="K84" s="51"/>
      <c r="M84" s="23"/>
      <c r="N84" s="23"/>
    </row>
    <row r="85" spans="1:16" s="25" customFormat="1" ht="14.25">
      <c r="A85" s="64"/>
      <c r="B85" s="1"/>
      <c r="C85" s="1"/>
      <c r="D85" s="208" t="s">
        <v>668</v>
      </c>
      <c r="E85" s="77"/>
      <c r="F85" s="57"/>
      <c r="G85" s="1"/>
      <c r="H85" s="65"/>
      <c r="I85" s="26"/>
      <c r="J85" s="40"/>
      <c r="K85" s="51"/>
      <c r="L85" s="47"/>
      <c r="M85" s="23"/>
      <c r="N85" s="23"/>
    </row>
    <row r="86" spans="1:16" s="25" customFormat="1" ht="12">
      <c r="A86" s="64"/>
      <c r="B86" s="1"/>
      <c r="C86" s="1"/>
      <c r="D86" s="59" t="s">
        <v>730</v>
      </c>
      <c r="E86" s="200"/>
      <c r="F86" s="78">
        <v>165</v>
      </c>
      <c r="G86" s="1"/>
      <c r="H86" s="65"/>
      <c r="I86" s="26"/>
      <c r="J86" s="40"/>
      <c r="K86" s="51"/>
      <c r="M86" s="23"/>
      <c r="N86" s="23"/>
    </row>
    <row r="87" spans="1:16" s="25" customFormat="1" ht="12">
      <c r="A87" s="64"/>
      <c r="B87" s="1"/>
      <c r="C87" s="1"/>
      <c r="D87" s="61" t="s">
        <v>26</v>
      </c>
      <c r="E87" s="62"/>
      <c r="F87" s="63">
        <f>SUM(F84:F86)</f>
        <v>275</v>
      </c>
      <c r="G87" s="1"/>
      <c r="H87" s="65"/>
      <c r="I87" s="26"/>
      <c r="J87" s="40"/>
      <c r="K87" s="51"/>
      <c r="M87" s="23"/>
      <c r="N87" s="23"/>
    </row>
    <row r="88" spans="1:16" s="25" customFormat="1" ht="36">
      <c r="A88" s="72">
        <f>A82+1</f>
        <v>32</v>
      </c>
      <c r="B88" s="79">
        <v>767</v>
      </c>
      <c r="C88" s="80" t="s">
        <v>731</v>
      </c>
      <c r="D88" s="80" t="s">
        <v>732</v>
      </c>
      <c r="E88" s="79" t="s">
        <v>19</v>
      </c>
      <c r="F88" s="1055">
        <f>F93</f>
        <v>4</v>
      </c>
      <c r="G88" s="71"/>
      <c r="H88" s="71">
        <f>ROUND(F88*G88,2)</f>
        <v>0</v>
      </c>
      <c r="I88" s="23"/>
      <c r="J88" s="42">
        <v>767</v>
      </c>
      <c r="K88" s="50">
        <f>ROUND(0.181+0.269,3)</f>
        <v>0.45</v>
      </c>
      <c r="M88" s="23"/>
      <c r="N88" s="23"/>
    </row>
    <row r="89" spans="1:16" s="25" customFormat="1" ht="12">
      <c r="A89" s="64"/>
      <c r="B89" s="1"/>
      <c r="C89" s="1"/>
      <c r="D89" s="59" t="s">
        <v>733</v>
      </c>
      <c r="E89" s="60"/>
      <c r="F89" s="78">
        <v>1</v>
      </c>
      <c r="G89" s="1"/>
      <c r="H89" s="65"/>
      <c r="I89" s="26"/>
      <c r="J89" s="40"/>
      <c r="K89" s="51"/>
      <c r="M89" s="23"/>
      <c r="N89" s="23"/>
    </row>
    <row r="90" spans="1:16" s="25" customFormat="1" ht="12">
      <c r="A90" s="64"/>
      <c r="B90" s="1"/>
      <c r="C90" s="1"/>
      <c r="D90" s="59" t="s">
        <v>734</v>
      </c>
      <c r="E90" s="60"/>
      <c r="F90" s="78">
        <v>1</v>
      </c>
      <c r="G90" s="1"/>
      <c r="H90" s="65"/>
      <c r="I90" s="26"/>
      <c r="J90" s="40"/>
      <c r="K90" s="51"/>
      <c r="M90" s="23"/>
      <c r="N90" s="23"/>
    </row>
    <row r="91" spans="1:16" s="25" customFormat="1" ht="12">
      <c r="A91" s="64"/>
      <c r="B91" s="1"/>
      <c r="C91" s="1"/>
      <c r="D91" s="1059" t="s">
        <v>2692</v>
      </c>
      <c r="E91" s="1068"/>
      <c r="F91" s="1069">
        <v>1</v>
      </c>
      <c r="G91" s="1"/>
      <c r="H91" s="65"/>
      <c r="I91" s="26"/>
      <c r="J91" s="40"/>
      <c r="K91" s="51"/>
      <c r="M91" s="23"/>
      <c r="N91" s="23"/>
    </row>
    <row r="92" spans="1:16" s="25" customFormat="1" ht="12">
      <c r="A92" s="64"/>
      <c r="B92" s="1"/>
      <c r="C92" s="1"/>
      <c r="D92" s="59" t="s">
        <v>735</v>
      </c>
      <c r="E92" s="60"/>
      <c r="F92" s="78">
        <v>1</v>
      </c>
      <c r="G92" s="1"/>
      <c r="H92" s="65"/>
      <c r="I92" s="26"/>
      <c r="J92" s="40"/>
      <c r="K92" s="51"/>
      <c r="M92" s="23"/>
      <c r="N92" s="23"/>
    </row>
    <row r="93" spans="1:16" s="25" customFormat="1" ht="12">
      <c r="A93" s="64"/>
      <c r="B93" s="1"/>
      <c r="C93" s="1"/>
      <c r="D93" s="61" t="s">
        <v>26</v>
      </c>
      <c r="E93" s="62"/>
      <c r="F93" s="63">
        <f>SUM(F89:F92)</f>
        <v>4</v>
      </c>
      <c r="G93" s="1"/>
      <c r="H93" s="65"/>
      <c r="I93" s="26"/>
      <c r="J93" s="40"/>
      <c r="K93" s="51"/>
      <c r="M93" s="23"/>
      <c r="N93" s="23"/>
    </row>
    <row r="94" spans="1:16" s="25" customFormat="1" ht="36">
      <c r="A94" s="72">
        <f>A88+1</f>
        <v>33</v>
      </c>
      <c r="B94" s="191" t="s">
        <v>45</v>
      </c>
      <c r="C94" s="197" t="s">
        <v>736</v>
      </c>
      <c r="D94" s="197" t="s">
        <v>737</v>
      </c>
      <c r="E94" s="191" t="s">
        <v>19</v>
      </c>
      <c r="F94" s="195">
        <v>1</v>
      </c>
      <c r="G94" s="179"/>
      <c r="H94" s="179">
        <f t="shared" ref="H94:H97" si="3">ROUND(F94*G94,2)</f>
        <v>0</v>
      </c>
      <c r="I94" s="23"/>
      <c r="J94" s="42">
        <v>767</v>
      </c>
      <c r="K94" s="50"/>
      <c r="M94" s="23"/>
      <c r="N94" s="23"/>
    </row>
    <row r="95" spans="1:16" s="25" customFormat="1" ht="36">
      <c r="A95" s="72">
        <f>A94+1</f>
        <v>34</v>
      </c>
      <c r="B95" s="191" t="s">
        <v>45</v>
      </c>
      <c r="C95" s="197" t="s">
        <v>738</v>
      </c>
      <c r="D95" s="197" t="s">
        <v>739</v>
      </c>
      <c r="E95" s="191" t="s">
        <v>19</v>
      </c>
      <c r="F95" s="195">
        <v>1</v>
      </c>
      <c r="G95" s="179"/>
      <c r="H95" s="179">
        <f t="shared" si="3"/>
        <v>0</v>
      </c>
      <c r="I95" s="23"/>
      <c r="J95" s="42">
        <v>767</v>
      </c>
      <c r="K95" s="50"/>
      <c r="M95" s="23"/>
      <c r="N95" s="23"/>
    </row>
    <row r="96" spans="1:16" s="25" customFormat="1" ht="36">
      <c r="A96" s="1052" t="s">
        <v>2693</v>
      </c>
      <c r="B96" s="1070" t="s">
        <v>45</v>
      </c>
      <c r="C96" s="1051" t="s">
        <v>2694</v>
      </c>
      <c r="D96" s="1051" t="s">
        <v>2695</v>
      </c>
      <c r="E96" s="1070" t="s">
        <v>19</v>
      </c>
      <c r="F96" s="1071">
        <v>1</v>
      </c>
      <c r="G96" s="1072"/>
      <c r="H96" s="1072">
        <f t="shared" ref="H96" si="4">ROUND(F96*G96,2)</f>
        <v>0</v>
      </c>
      <c r="I96" s="23"/>
      <c r="J96" s="42">
        <v>767</v>
      </c>
      <c r="K96" s="50"/>
      <c r="M96" s="23"/>
      <c r="N96" s="23"/>
    </row>
    <row r="97" spans="1:16" s="25" customFormat="1" ht="36">
      <c r="A97" s="72">
        <f>A95+1</f>
        <v>35</v>
      </c>
      <c r="B97" s="191" t="s">
        <v>45</v>
      </c>
      <c r="C97" s="197" t="s">
        <v>740</v>
      </c>
      <c r="D97" s="197" t="s">
        <v>741</v>
      </c>
      <c r="E97" s="191" t="s">
        <v>19</v>
      </c>
      <c r="F97" s="195">
        <v>1</v>
      </c>
      <c r="G97" s="179"/>
      <c r="H97" s="179">
        <f t="shared" si="3"/>
        <v>0</v>
      </c>
      <c r="I97" s="23"/>
      <c r="J97" s="42">
        <v>767</v>
      </c>
      <c r="K97" s="50"/>
      <c r="M97" s="23"/>
      <c r="N97" s="23"/>
    </row>
    <row r="98" spans="1:16" s="24" customFormat="1" ht="23.25" customHeight="1">
      <c r="A98" s="11"/>
      <c r="B98" s="2"/>
      <c r="C98" s="14">
        <v>783</v>
      </c>
      <c r="D98" s="68" t="s">
        <v>80</v>
      </c>
      <c r="E98" s="69"/>
      <c r="F98" s="70"/>
      <c r="G98" s="2"/>
      <c r="H98" s="67">
        <f>SUM(H99:H114)</f>
        <v>0</v>
      </c>
      <c r="I98" s="46"/>
      <c r="J98" s="42">
        <v>783</v>
      </c>
      <c r="K98" s="51"/>
      <c r="L98" s="47"/>
      <c r="M98" s="23"/>
      <c r="N98" s="23"/>
      <c r="O98" s="25"/>
      <c r="P98" s="25"/>
    </row>
    <row r="99" spans="1:16" s="25" customFormat="1" ht="36">
      <c r="A99" s="72">
        <f>A97+1</f>
        <v>36</v>
      </c>
      <c r="B99" s="79">
        <v>783</v>
      </c>
      <c r="C99" s="80" t="s">
        <v>742</v>
      </c>
      <c r="D99" s="80" t="s">
        <v>743</v>
      </c>
      <c r="E99" s="79" t="s">
        <v>13</v>
      </c>
      <c r="F99" s="75">
        <f>F102</f>
        <v>165.85</v>
      </c>
      <c r="G99" s="71"/>
      <c r="H99" s="71">
        <f>ROUND(F99*G99,2)</f>
        <v>0</v>
      </c>
      <c r="I99" s="23"/>
      <c r="J99" s="42">
        <v>783</v>
      </c>
      <c r="K99" s="50"/>
      <c r="L99" s="47"/>
      <c r="M99" s="23"/>
      <c r="N99" s="23"/>
    </row>
    <row r="100" spans="1:16" s="25" customFormat="1" ht="14.25">
      <c r="A100" s="64"/>
      <c r="B100" s="1"/>
      <c r="C100" s="1"/>
      <c r="D100" s="208" t="s">
        <v>666</v>
      </c>
      <c r="E100" s="77"/>
      <c r="F100" s="57"/>
      <c r="G100" s="1"/>
      <c r="H100" s="65"/>
      <c r="I100" s="26"/>
      <c r="J100" s="40"/>
      <c r="K100" s="51"/>
      <c r="L100" s="47"/>
      <c r="M100" s="23"/>
      <c r="N100" s="23"/>
    </row>
    <row r="101" spans="1:16" s="25" customFormat="1" ht="14.25">
      <c r="A101" s="64"/>
      <c r="B101" s="1"/>
      <c r="C101" s="1"/>
      <c r="D101" s="59" t="s">
        <v>744</v>
      </c>
      <c r="E101" s="77"/>
      <c r="F101" s="57">
        <v>165.85</v>
      </c>
      <c r="G101" s="1"/>
      <c r="H101" s="65"/>
      <c r="I101" s="26"/>
      <c r="J101" s="40"/>
      <c r="K101" s="51"/>
      <c r="L101" s="47"/>
      <c r="M101" s="23"/>
      <c r="N101" s="23"/>
    </row>
    <row r="102" spans="1:16" s="25" customFormat="1" ht="14.25">
      <c r="A102" s="64"/>
      <c r="B102" s="1"/>
      <c r="C102" s="1"/>
      <c r="D102" s="61" t="s">
        <v>26</v>
      </c>
      <c r="E102" s="62"/>
      <c r="F102" s="63">
        <f>SUM(F100:F101)</f>
        <v>165.85</v>
      </c>
      <c r="G102" s="1"/>
      <c r="H102" s="65"/>
      <c r="I102" s="26"/>
      <c r="J102" s="40"/>
      <c r="K102" s="51"/>
      <c r="L102" s="47"/>
      <c r="M102" s="23"/>
      <c r="N102" s="23"/>
    </row>
    <row r="103" spans="1:16" s="25" customFormat="1" ht="24">
      <c r="A103" s="72">
        <f>A99+1</f>
        <v>37</v>
      </c>
      <c r="B103" s="79">
        <v>783</v>
      </c>
      <c r="C103" s="80" t="s">
        <v>745</v>
      </c>
      <c r="D103" s="80" t="s">
        <v>746</v>
      </c>
      <c r="E103" s="79" t="s">
        <v>13</v>
      </c>
      <c r="F103" s="75">
        <f>F111</f>
        <v>196.49999999999997</v>
      </c>
      <c r="G103" s="71"/>
      <c r="H103" s="71">
        <f>ROUND(F103*G103,2)</f>
        <v>0</v>
      </c>
      <c r="I103" s="23"/>
      <c r="J103" s="42">
        <v>783</v>
      </c>
      <c r="K103" s="50"/>
      <c r="L103" s="47"/>
      <c r="M103" s="23"/>
      <c r="N103" s="23"/>
    </row>
    <row r="104" spans="1:16" s="25" customFormat="1" ht="14.25">
      <c r="A104" s="64"/>
      <c r="B104" s="1"/>
      <c r="C104" s="1"/>
      <c r="D104" s="208" t="s">
        <v>666</v>
      </c>
      <c r="E104" s="77"/>
      <c r="F104" s="57"/>
      <c r="G104" s="1"/>
      <c r="H104" s="65"/>
      <c r="I104" s="26"/>
      <c r="J104" s="40"/>
      <c r="K104" s="51"/>
      <c r="L104" s="47"/>
      <c r="M104" s="23"/>
      <c r="N104" s="23"/>
    </row>
    <row r="105" spans="1:16" s="25" customFormat="1" ht="14.25">
      <c r="A105" s="64"/>
      <c r="B105" s="1"/>
      <c r="C105" s="1"/>
      <c r="D105" s="59" t="s">
        <v>747</v>
      </c>
      <c r="E105" s="77"/>
      <c r="F105" s="57">
        <v>13.65</v>
      </c>
      <c r="G105" s="1"/>
      <c r="H105" s="65"/>
      <c r="I105" s="26"/>
      <c r="J105" s="40"/>
      <c r="K105" s="51"/>
      <c r="L105" s="47"/>
      <c r="M105" s="23"/>
      <c r="N105" s="23"/>
    </row>
    <row r="106" spans="1:16" s="25" customFormat="1" ht="14.25">
      <c r="A106" s="64"/>
      <c r="B106" s="1"/>
      <c r="C106" s="1"/>
      <c r="D106" s="59" t="s">
        <v>748</v>
      </c>
      <c r="E106" s="77"/>
      <c r="F106" s="57">
        <v>6.8</v>
      </c>
      <c r="G106" s="1"/>
      <c r="H106" s="65"/>
      <c r="I106" s="26"/>
      <c r="J106" s="40"/>
      <c r="K106" s="51"/>
      <c r="L106" s="47"/>
      <c r="M106" s="23"/>
      <c r="N106" s="23"/>
    </row>
    <row r="107" spans="1:16" s="25" customFormat="1" ht="14.25">
      <c r="A107" s="64"/>
      <c r="B107" s="1"/>
      <c r="C107" s="1"/>
      <c r="D107" s="59" t="s">
        <v>744</v>
      </c>
      <c r="E107" s="77"/>
      <c r="F107" s="57">
        <v>165.85</v>
      </c>
      <c r="G107" s="1"/>
      <c r="H107" s="65"/>
      <c r="I107" s="26"/>
      <c r="J107" s="40"/>
      <c r="K107" s="51"/>
      <c r="L107" s="47"/>
      <c r="M107" s="23"/>
      <c r="N107" s="23"/>
    </row>
    <row r="108" spans="1:16" s="25" customFormat="1" ht="14.25">
      <c r="A108" s="64"/>
      <c r="B108" s="1"/>
      <c r="C108" s="1"/>
      <c r="D108" s="208" t="s">
        <v>668</v>
      </c>
      <c r="E108" s="77"/>
      <c r="F108" s="57"/>
      <c r="G108" s="1"/>
      <c r="H108" s="65"/>
      <c r="I108" s="26"/>
      <c r="J108" s="40"/>
      <c r="K108" s="51"/>
      <c r="L108" s="47"/>
      <c r="M108" s="23"/>
      <c r="N108" s="23"/>
    </row>
    <row r="109" spans="1:16" s="25" customFormat="1" ht="14.25">
      <c r="A109" s="64"/>
      <c r="B109" s="1"/>
      <c r="C109" s="1"/>
      <c r="D109" s="59" t="s">
        <v>749</v>
      </c>
      <c r="E109" s="77"/>
      <c r="F109" s="57">
        <v>3.5</v>
      </c>
      <c r="G109" s="1"/>
      <c r="H109" s="65"/>
      <c r="I109" s="26"/>
      <c r="J109" s="40"/>
      <c r="K109" s="51"/>
      <c r="L109" s="47"/>
      <c r="M109" s="23"/>
      <c r="N109" s="23"/>
    </row>
    <row r="110" spans="1:16" s="25" customFormat="1" ht="14.25">
      <c r="A110" s="64"/>
      <c r="B110" s="1"/>
      <c r="C110" s="1"/>
      <c r="D110" s="59" t="s">
        <v>750</v>
      </c>
      <c r="E110" s="77"/>
      <c r="F110" s="57">
        <v>6.7</v>
      </c>
      <c r="G110" s="1"/>
      <c r="H110" s="65"/>
      <c r="I110" s="26"/>
      <c r="J110" s="40"/>
      <c r="K110" s="51"/>
      <c r="L110" s="47"/>
      <c r="M110" s="23"/>
      <c r="N110" s="23"/>
    </row>
    <row r="111" spans="1:16" s="25" customFormat="1" ht="14.25">
      <c r="A111" s="64"/>
      <c r="B111" s="1"/>
      <c r="C111" s="1"/>
      <c r="D111" s="61" t="s">
        <v>26</v>
      </c>
      <c r="E111" s="62"/>
      <c r="F111" s="63">
        <f>SUM(F104:F110)</f>
        <v>196.49999999999997</v>
      </c>
      <c r="G111" s="1"/>
      <c r="H111" s="65"/>
      <c r="I111" s="26"/>
      <c r="J111" s="40"/>
      <c r="K111" s="51"/>
      <c r="L111" s="47"/>
      <c r="M111" s="23"/>
      <c r="N111" s="23"/>
    </row>
    <row r="112" spans="1:16" s="25" customFormat="1" ht="24">
      <c r="A112" s="72">
        <f>A103+1</f>
        <v>38</v>
      </c>
      <c r="B112" s="79">
        <v>783</v>
      </c>
      <c r="C112" s="186" t="s">
        <v>751</v>
      </c>
      <c r="D112" s="190" t="s">
        <v>752</v>
      </c>
      <c r="E112" s="210" t="s">
        <v>13</v>
      </c>
      <c r="F112" s="211">
        <f>F114</f>
        <v>196.49999999999997</v>
      </c>
      <c r="G112" s="71"/>
      <c r="H112" s="71">
        <f>ROUND(F112*G112,2)</f>
        <v>0</v>
      </c>
      <c r="I112" s="23"/>
      <c r="J112" s="42">
        <v>783</v>
      </c>
      <c r="K112" s="50"/>
      <c r="M112" s="23"/>
      <c r="N112" s="23"/>
    </row>
    <row r="113" spans="1:17" s="25" customFormat="1" ht="12">
      <c r="A113" s="64"/>
      <c r="B113" s="1"/>
      <c r="C113" s="3"/>
      <c r="D113" s="59" t="s">
        <v>753</v>
      </c>
      <c r="E113" s="212"/>
      <c r="F113" s="213">
        <f>F103</f>
        <v>196.49999999999997</v>
      </c>
      <c r="G113" s="1"/>
      <c r="H113" s="65"/>
      <c r="I113" s="26"/>
      <c r="J113" s="40"/>
      <c r="K113" s="51"/>
      <c r="M113" s="23"/>
      <c r="N113" s="23"/>
    </row>
    <row r="114" spans="1:17" s="25" customFormat="1" ht="12">
      <c r="A114" s="64"/>
      <c r="B114" s="1"/>
      <c r="C114" s="33"/>
      <c r="D114" s="214" t="s">
        <v>26</v>
      </c>
      <c r="E114" s="215"/>
      <c r="F114" s="216">
        <f>SUM(F113:F113)</f>
        <v>196.49999999999997</v>
      </c>
      <c r="G114" s="1"/>
      <c r="H114" s="65"/>
      <c r="I114" s="26"/>
      <c r="J114" s="40"/>
      <c r="K114" s="51"/>
      <c r="M114" s="23"/>
      <c r="N114" s="23"/>
    </row>
    <row r="115" spans="1:17" ht="9" customHeight="1">
      <c r="D115" s="19"/>
      <c r="E115" s="20"/>
      <c r="F115" s="21"/>
    </row>
    <row r="116" spans="1:17" s="50" customFormat="1" ht="17.25" customHeight="1">
      <c r="A116" s="33"/>
      <c r="B116" s="33"/>
      <c r="C116" s="33"/>
      <c r="D116" s="37" t="s">
        <v>23</v>
      </c>
      <c r="E116" s="34"/>
      <c r="F116" s="22"/>
      <c r="G116" s="35"/>
      <c r="H116" s="38">
        <f>SUM(H9,H80)</f>
        <v>0</v>
      </c>
      <c r="I116" s="23"/>
      <c r="J116" s="48" t="s">
        <v>46</v>
      </c>
      <c r="L116" s="24"/>
      <c r="M116" s="54"/>
      <c r="N116" s="54"/>
      <c r="O116" s="33"/>
      <c r="P116" s="33"/>
      <c r="Q116" s="33"/>
    </row>
    <row r="118" spans="1:17" s="50" customFormat="1" ht="12" customHeight="1">
      <c r="A118" s="33"/>
      <c r="B118" s="33"/>
      <c r="C118" s="33"/>
      <c r="D118" s="33"/>
      <c r="E118" s="33"/>
      <c r="F118" s="33"/>
      <c r="G118" s="33"/>
      <c r="H118" s="33"/>
      <c r="I118" s="23"/>
      <c r="J118" s="39"/>
      <c r="L118" s="24"/>
      <c r="M118" s="54"/>
      <c r="N118" s="54"/>
      <c r="O118" s="33"/>
      <c r="P118" s="33"/>
      <c r="Q118" s="33"/>
    </row>
    <row r="119" spans="1:17" s="50" customFormat="1" ht="12" customHeight="1">
      <c r="A119" s="33"/>
      <c r="B119" s="33"/>
      <c r="C119" s="33"/>
      <c r="D119" s="33"/>
      <c r="E119" s="33"/>
      <c r="F119" s="33"/>
      <c r="G119" s="33"/>
      <c r="H119" s="33"/>
      <c r="I119" s="23"/>
      <c r="J119" s="39"/>
      <c r="L119" s="24"/>
      <c r="M119" s="54"/>
      <c r="N119" s="54"/>
      <c r="O119" s="33"/>
      <c r="P119" s="33"/>
      <c r="Q119" s="33"/>
    </row>
  </sheetData>
  <mergeCells count="1">
    <mergeCell ref="A1:H1"/>
  </mergeCells>
  <pageMargins left="0.59055118110236227" right="0.39370078740157483" top="0.59055118110236227" bottom="0.39370078740157483" header="0.31496062992125984" footer="0.11811023622047245"/>
  <pageSetup paperSize="9" scale="79" fitToHeight="0" orientation="portrait" horizontalDpi="4294967295" verticalDpi="4294967295" r:id="rId1"/>
  <headerFooter>
    <oddFooter>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66"/>
    <pageSetUpPr fitToPage="1"/>
  </sheetPr>
  <dimension ref="A1:Q61"/>
  <sheetViews>
    <sheetView topLeftCell="A40" workbookViewId="0">
      <selection activeCell="H51" sqref="H51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10" t="s">
        <v>662</v>
      </c>
      <c r="B1" s="1110"/>
      <c r="C1" s="1110"/>
      <c r="D1" s="1110"/>
      <c r="E1" s="1110"/>
      <c r="F1" s="1110"/>
      <c r="G1" s="1110"/>
      <c r="H1" s="1110"/>
    </row>
    <row r="2" spans="1:14" s="22" customFormat="1" ht="18" customHeight="1">
      <c r="A2" s="55" t="s">
        <v>77</v>
      </c>
      <c r="B2" s="29"/>
      <c r="C2" s="55" t="s">
        <v>2664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663</v>
      </c>
      <c r="D3" s="31"/>
      <c r="E3" s="76"/>
      <c r="F3" s="3" t="s">
        <v>2</v>
      </c>
      <c r="G3" s="155">
        <v>44670</v>
      </c>
      <c r="H3" s="1048" t="s">
        <v>2690</v>
      </c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SUM(H10,H32,H36)</f>
        <v>0</v>
      </c>
      <c r="J9" s="44" t="s">
        <v>22</v>
      </c>
    </row>
    <row r="10" spans="1:14" s="22" customFormat="1" ht="18.75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SUM(H11:H31)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664</v>
      </c>
      <c r="D11" s="158" t="s">
        <v>665</v>
      </c>
      <c r="E11" s="157" t="s">
        <v>12</v>
      </c>
      <c r="F11" s="159">
        <f>F13</f>
        <v>0.6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 ht="12">
      <c r="A12" s="161"/>
      <c r="B12" s="162"/>
      <c r="C12" s="162"/>
      <c r="D12" s="163" t="s">
        <v>754</v>
      </c>
      <c r="E12" s="164"/>
      <c r="F12" s="57">
        <f>ROUNDUP(25*0.2*0.2*3.14/4*0.7,1)</f>
        <v>0.6</v>
      </c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6"/>
      <c r="B13" s="166"/>
      <c r="C13" s="166"/>
      <c r="D13" s="167" t="s">
        <v>26</v>
      </c>
      <c r="E13" s="62"/>
      <c r="F13" s="168">
        <f>SUM(F12:F12)</f>
        <v>0.6</v>
      </c>
      <c r="G13" s="166"/>
      <c r="H13" s="169"/>
      <c r="I13" s="23"/>
      <c r="J13" s="39"/>
      <c r="K13" s="43"/>
      <c r="L13" s="23"/>
      <c r="M13" s="54"/>
    </row>
    <row r="14" spans="1:14" s="145" customFormat="1" ht="36">
      <c r="A14" s="156">
        <f>A11+1</f>
        <v>2</v>
      </c>
      <c r="B14" s="157" t="s">
        <v>29</v>
      </c>
      <c r="C14" s="158">
        <v>162501103</v>
      </c>
      <c r="D14" s="158" t="s">
        <v>144</v>
      </c>
      <c r="E14" s="157" t="s">
        <v>12</v>
      </c>
      <c r="F14" s="159">
        <f>F16</f>
        <v>0.6</v>
      </c>
      <c r="G14" s="160"/>
      <c r="H14" s="71">
        <f>ROUND(F14*G14,2)</f>
        <v>0</v>
      </c>
      <c r="I14" s="23"/>
      <c r="J14" s="42">
        <v>1</v>
      </c>
      <c r="K14" s="43"/>
      <c r="L14" s="23"/>
      <c r="M14" s="54"/>
    </row>
    <row r="15" spans="1:14" s="145" customFormat="1" ht="12">
      <c r="A15" s="6"/>
      <c r="B15" s="166"/>
      <c r="C15" s="166"/>
      <c r="D15" s="170" t="s">
        <v>755</v>
      </c>
      <c r="E15" s="77"/>
      <c r="F15" s="171">
        <v>0.6</v>
      </c>
      <c r="G15" s="166"/>
      <c r="H15" s="169"/>
      <c r="I15" s="23"/>
      <c r="J15" s="39"/>
      <c r="K15" s="43"/>
      <c r="L15" s="23"/>
      <c r="M15" s="54"/>
    </row>
    <row r="16" spans="1:14" s="145" customFormat="1" ht="12">
      <c r="A16" s="6"/>
      <c r="B16" s="166"/>
      <c r="C16" s="166"/>
      <c r="D16" s="167" t="s">
        <v>26</v>
      </c>
      <c r="E16" s="62"/>
      <c r="F16" s="168">
        <f>SUM(F15:F15)</f>
        <v>0.6</v>
      </c>
      <c r="G16" s="166"/>
      <c r="H16" s="169"/>
      <c r="I16" s="23"/>
      <c r="J16" s="39"/>
      <c r="K16" s="43"/>
      <c r="L16" s="23"/>
      <c r="M16" s="54"/>
    </row>
    <row r="17" spans="1:14" s="145" customFormat="1" ht="36">
      <c r="A17" s="156">
        <f>A14+1</f>
        <v>3</v>
      </c>
      <c r="B17" s="157" t="s">
        <v>29</v>
      </c>
      <c r="C17" s="158" t="s">
        <v>671</v>
      </c>
      <c r="D17" s="158" t="s">
        <v>145</v>
      </c>
      <c r="E17" s="157" t="s">
        <v>12</v>
      </c>
      <c r="F17" s="159">
        <f>F19</f>
        <v>7.1999999999999993</v>
      </c>
      <c r="G17" s="160"/>
      <c r="H17" s="71">
        <f>ROUND(F17*G17,2)</f>
        <v>0</v>
      </c>
      <c r="I17" s="23"/>
      <c r="J17" s="42">
        <v>1</v>
      </c>
      <c r="K17" s="43"/>
      <c r="L17" s="23"/>
      <c r="M17" s="54"/>
    </row>
    <row r="18" spans="1:14" s="145" customFormat="1" ht="12">
      <c r="A18" s="6"/>
      <c r="B18" s="166"/>
      <c r="C18" s="166"/>
      <c r="D18" s="170" t="s">
        <v>756</v>
      </c>
      <c r="E18" s="77"/>
      <c r="F18" s="171">
        <f>0.6*12</f>
        <v>7.1999999999999993</v>
      </c>
      <c r="G18" s="166"/>
      <c r="H18" s="169"/>
      <c r="I18" s="23"/>
      <c r="J18" s="39"/>
      <c r="K18" s="43"/>
      <c r="L18" s="23"/>
      <c r="M18" s="54"/>
    </row>
    <row r="19" spans="1:14" s="145" customFormat="1" ht="12">
      <c r="A19" s="6"/>
      <c r="B19" s="166"/>
      <c r="C19" s="166"/>
      <c r="D19" s="167" t="s">
        <v>26</v>
      </c>
      <c r="E19" s="62"/>
      <c r="F19" s="168">
        <f>SUM(F18:F18)</f>
        <v>7.1999999999999993</v>
      </c>
      <c r="G19" s="166"/>
      <c r="H19" s="169"/>
      <c r="I19" s="23"/>
      <c r="J19" s="39"/>
      <c r="K19" s="43"/>
      <c r="L19" s="23"/>
      <c r="M19" s="54"/>
    </row>
    <row r="20" spans="1:14" s="145" customFormat="1" ht="12">
      <c r="A20" s="156">
        <f>A17+1</f>
        <v>4</v>
      </c>
      <c r="B20" s="157" t="s">
        <v>29</v>
      </c>
      <c r="C20" s="158">
        <v>171201201</v>
      </c>
      <c r="D20" s="158" t="s">
        <v>265</v>
      </c>
      <c r="E20" s="157" t="s">
        <v>12</v>
      </c>
      <c r="F20" s="159">
        <f>F22</f>
        <v>0.6</v>
      </c>
      <c r="G20" s="160"/>
      <c r="H20" s="71">
        <f>ROUND(F20*G20,2)</f>
        <v>0</v>
      </c>
      <c r="I20" s="23"/>
      <c r="J20" s="42">
        <v>1</v>
      </c>
      <c r="K20" s="43"/>
      <c r="L20" s="23"/>
      <c r="M20" s="54"/>
    </row>
    <row r="21" spans="1:14" s="145" customFormat="1" ht="12">
      <c r="A21" s="6"/>
      <c r="B21" s="166"/>
      <c r="C21" s="166"/>
      <c r="D21" s="170" t="s">
        <v>755</v>
      </c>
      <c r="E21" s="77"/>
      <c r="F21" s="171">
        <v>0.6</v>
      </c>
      <c r="G21" s="166"/>
      <c r="H21" s="169"/>
      <c r="I21" s="23"/>
      <c r="J21" s="39"/>
      <c r="K21" s="43"/>
      <c r="L21" s="23"/>
      <c r="M21" s="54"/>
    </row>
    <row r="22" spans="1:14" s="145" customFormat="1" ht="12">
      <c r="A22" s="6"/>
      <c r="B22" s="166"/>
      <c r="C22" s="166"/>
      <c r="D22" s="167" t="s">
        <v>26</v>
      </c>
      <c r="E22" s="62"/>
      <c r="F22" s="168">
        <f>SUM(F21:F21)</f>
        <v>0.6</v>
      </c>
      <c r="G22" s="166"/>
      <c r="H22" s="169"/>
      <c r="I22" s="23"/>
      <c r="J22" s="39"/>
      <c r="K22" s="43"/>
      <c r="L22" s="23"/>
      <c r="M22" s="54"/>
    </row>
    <row r="23" spans="1:14" s="145" customFormat="1" ht="24">
      <c r="A23" s="156">
        <f>A20+1</f>
        <v>5</v>
      </c>
      <c r="B23" s="157" t="s">
        <v>29</v>
      </c>
      <c r="C23" s="158" t="s">
        <v>31</v>
      </c>
      <c r="D23" s="158" t="s">
        <v>32</v>
      </c>
      <c r="E23" s="157" t="s">
        <v>15</v>
      </c>
      <c r="F23" s="159">
        <f>F25</f>
        <v>1.07</v>
      </c>
      <c r="G23" s="160"/>
      <c r="H23" s="71">
        <f>ROUND(F23*G23,2)</f>
        <v>0</v>
      </c>
      <c r="I23" s="23"/>
      <c r="J23" s="42">
        <v>1</v>
      </c>
      <c r="K23" s="43"/>
      <c r="L23" s="23"/>
      <c r="M23" s="54"/>
    </row>
    <row r="24" spans="1:14" s="145" customFormat="1" ht="12">
      <c r="A24" s="6"/>
      <c r="B24" s="166"/>
      <c r="C24" s="166"/>
      <c r="D24" s="170" t="s">
        <v>757</v>
      </c>
      <c r="E24" s="77"/>
      <c r="F24" s="171">
        <f>ROUND(0.6*1.78,2)</f>
        <v>1.07</v>
      </c>
      <c r="G24" s="166"/>
      <c r="H24" s="169"/>
      <c r="I24" s="23"/>
      <c r="J24" s="39"/>
      <c r="K24" s="43"/>
      <c r="L24" s="23"/>
      <c r="M24" s="54"/>
    </row>
    <row r="25" spans="1:14" s="145" customFormat="1" ht="12">
      <c r="A25" s="6"/>
      <c r="B25" s="166"/>
      <c r="C25" s="166"/>
      <c r="D25" s="167" t="s">
        <v>26</v>
      </c>
      <c r="E25" s="62"/>
      <c r="F25" s="168">
        <f>SUM(F24:F24)</f>
        <v>1.07</v>
      </c>
      <c r="G25" s="166"/>
      <c r="H25" s="169"/>
      <c r="I25" s="23"/>
      <c r="J25" s="39"/>
      <c r="K25" s="43"/>
      <c r="L25" s="23"/>
      <c r="M25" s="54"/>
    </row>
    <row r="26" spans="1:14" s="145" customFormat="1" ht="24">
      <c r="A26" s="156">
        <f>A23+1</f>
        <v>6</v>
      </c>
      <c r="B26" s="157" t="s">
        <v>29</v>
      </c>
      <c r="C26" s="158">
        <v>174101102</v>
      </c>
      <c r="D26" s="158" t="s">
        <v>674</v>
      </c>
      <c r="E26" s="157" t="s">
        <v>12</v>
      </c>
      <c r="F26" s="159">
        <f>F29</f>
        <v>2.54</v>
      </c>
      <c r="G26" s="160"/>
      <c r="H26" s="71">
        <f>ROUND(F26*G26,2)</f>
        <v>0</v>
      </c>
      <c r="I26" s="23"/>
      <c r="J26" s="42">
        <v>1</v>
      </c>
      <c r="K26" s="43"/>
      <c r="L26" s="23"/>
      <c r="M26" s="54"/>
    </row>
    <row r="27" spans="1:14" s="145" customFormat="1" ht="12">
      <c r="A27" s="6"/>
      <c r="B27" s="166"/>
      <c r="C27" s="166"/>
      <c r="D27" s="163" t="s">
        <v>758</v>
      </c>
      <c r="E27" s="164"/>
      <c r="F27" s="57">
        <f>ROUNDUP(41.46*0.3*0.1,1)</f>
        <v>1.3</v>
      </c>
      <c r="G27" s="166"/>
      <c r="H27" s="169"/>
      <c r="I27" s="23"/>
      <c r="J27" s="39"/>
      <c r="K27" s="43"/>
      <c r="L27" s="23"/>
      <c r="M27" s="54"/>
    </row>
    <row r="28" spans="1:14" s="145" customFormat="1" ht="12">
      <c r="A28" s="6"/>
      <c r="B28" s="166"/>
      <c r="C28" s="166"/>
      <c r="D28" s="167" t="s">
        <v>26</v>
      </c>
      <c r="E28" s="62"/>
      <c r="F28" s="168">
        <f>SUM(F27:F27)</f>
        <v>1.3</v>
      </c>
      <c r="G28" s="166"/>
      <c r="H28" s="169"/>
      <c r="I28" s="23"/>
      <c r="J28" s="39"/>
      <c r="K28" s="43"/>
      <c r="L28" s="23"/>
      <c r="M28" s="54"/>
    </row>
    <row r="29" spans="1:14" s="145" customFormat="1" ht="12">
      <c r="A29" s="156">
        <f>A26+1</f>
        <v>7</v>
      </c>
      <c r="B29" s="175" t="s">
        <v>29</v>
      </c>
      <c r="C29" s="432" t="s">
        <v>676</v>
      </c>
      <c r="D29" s="432" t="s">
        <v>677</v>
      </c>
      <c r="E29" s="175" t="s">
        <v>15</v>
      </c>
      <c r="F29" s="177">
        <f>F31</f>
        <v>2.54</v>
      </c>
      <c r="G29" s="178"/>
      <c r="H29" s="179">
        <f>ROUND(F29*G29,2)</f>
        <v>0</v>
      </c>
      <c r="I29" s="23"/>
      <c r="J29" s="42">
        <v>1</v>
      </c>
      <c r="K29" s="43"/>
      <c r="L29" s="23"/>
      <c r="M29" s="54"/>
    </row>
    <row r="30" spans="1:14" s="145" customFormat="1" ht="12">
      <c r="A30" s="6"/>
      <c r="B30" s="166"/>
      <c r="C30" s="166"/>
      <c r="D30" s="170" t="s">
        <v>759</v>
      </c>
      <c r="E30" s="77"/>
      <c r="F30" s="171">
        <f>ROUND(1.3*1.95,2)</f>
        <v>2.54</v>
      </c>
      <c r="G30" s="166"/>
      <c r="H30" s="169"/>
      <c r="I30" s="23"/>
      <c r="J30" s="39"/>
      <c r="K30" s="43"/>
      <c r="L30" s="23"/>
      <c r="M30" s="54"/>
    </row>
    <row r="31" spans="1:14" s="145" customFormat="1" ht="12">
      <c r="A31" s="6"/>
      <c r="B31" s="166"/>
      <c r="C31" s="166"/>
      <c r="D31" s="167" t="s">
        <v>26</v>
      </c>
      <c r="E31" s="62"/>
      <c r="F31" s="168">
        <f>SUM(F30:F30)</f>
        <v>2.54</v>
      </c>
      <c r="G31" s="166"/>
      <c r="H31" s="169"/>
      <c r="I31" s="23"/>
      <c r="J31" s="39"/>
      <c r="K31" s="43"/>
      <c r="L31" s="23"/>
      <c r="M31" s="54"/>
    </row>
    <row r="32" spans="1:14" s="22" customFormat="1" ht="21" customHeight="1">
      <c r="A32" s="4"/>
      <c r="B32" s="4"/>
      <c r="C32" s="5">
        <v>2</v>
      </c>
      <c r="D32" s="5" t="s">
        <v>16</v>
      </c>
      <c r="E32" s="7"/>
      <c r="F32" s="8"/>
      <c r="G32" s="4"/>
      <c r="H32" s="66">
        <f>SUM(H33:H35)</f>
        <v>0</v>
      </c>
      <c r="I32" s="45"/>
      <c r="J32" s="42">
        <v>2</v>
      </c>
      <c r="K32" s="50"/>
      <c r="L32" s="24"/>
      <c r="M32" s="54"/>
      <c r="N32" s="54"/>
    </row>
    <row r="33" spans="1:16" s="22" customFormat="1" ht="12">
      <c r="A33" s="156">
        <f>A29+1</f>
        <v>8</v>
      </c>
      <c r="B33" s="157" t="s">
        <v>29</v>
      </c>
      <c r="C33" s="158">
        <v>275313612</v>
      </c>
      <c r="D33" s="158" t="s">
        <v>679</v>
      </c>
      <c r="E33" s="157" t="s">
        <v>12</v>
      </c>
      <c r="F33" s="159">
        <f>SUM(F35)</f>
        <v>0.5</v>
      </c>
      <c r="G33" s="160"/>
      <c r="H33" s="71">
        <f>ROUND(F33*G33,2)</f>
        <v>0</v>
      </c>
      <c r="I33" s="23"/>
      <c r="J33" s="42">
        <v>2</v>
      </c>
      <c r="K33" s="43">
        <f>ROUND(F33*2.4,3)</f>
        <v>1.2</v>
      </c>
      <c r="L33" s="24"/>
      <c r="M33" s="54"/>
      <c r="N33" s="54"/>
    </row>
    <row r="34" spans="1:16" s="22" customFormat="1" ht="12">
      <c r="A34" s="56"/>
      <c r="B34" s="3"/>
      <c r="C34" s="3"/>
      <c r="D34" s="59" t="s">
        <v>760</v>
      </c>
      <c r="E34" s="77"/>
      <c r="F34" s="57">
        <f>ROUND(25*0.2*0.2*3.14/4*0.6,1)</f>
        <v>0.5</v>
      </c>
      <c r="G34" s="3"/>
      <c r="H34" s="58"/>
      <c r="I34" s="23"/>
      <c r="J34" s="39"/>
      <c r="K34" s="43"/>
      <c r="L34" s="24"/>
      <c r="M34" s="54"/>
      <c r="N34" s="54"/>
    </row>
    <row r="35" spans="1:16" s="22" customFormat="1" ht="12">
      <c r="A35" s="56"/>
      <c r="B35" s="3"/>
      <c r="C35" s="3"/>
      <c r="D35" s="61" t="s">
        <v>26</v>
      </c>
      <c r="E35" s="62"/>
      <c r="F35" s="63">
        <f>SUM(F34:F34)</f>
        <v>0.5</v>
      </c>
      <c r="G35" s="3"/>
      <c r="H35" s="58"/>
      <c r="I35" s="23"/>
      <c r="J35" s="39"/>
      <c r="K35" s="43"/>
      <c r="L35" s="24"/>
      <c r="M35" s="54"/>
      <c r="N35" s="54"/>
    </row>
    <row r="36" spans="1:16" s="24" customFormat="1" ht="22.5" customHeight="1">
      <c r="A36" s="11"/>
      <c r="B36" s="2"/>
      <c r="C36" s="14">
        <v>99</v>
      </c>
      <c r="D36" s="14" t="s">
        <v>27</v>
      </c>
      <c r="E36" s="11"/>
      <c r="F36" s="15"/>
      <c r="G36" s="2"/>
      <c r="H36" s="67">
        <f>SUM(H37)</f>
        <v>0</v>
      </c>
      <c r="I36" s="46"/>
      <c r="J36" s="42">
        <v>99</v>
      </c>
      <c r="K36" s="51"/>
      <c r="L36" s="47"/>
      <c r="M36" s="23"/>
      <c r="N36" s="23"/>
    </row>
    <row r="37" spans="1:16" s="25" customFormat="1" ht="24">
      <c r="A37" s="72">
        <f>A33+1</f>
        <v>9</v>
      </c>
      <c r="B37" s="73" t="s">
        <v>40</v>
      </c>
      <c r="C37" s="74" t="s">
        <v>41</v>
      </c>
      <c r="D37" s="74" t="s">
        <v>42</v>
      </c>
      <c r="E37" s="73" t="s">
        <v>15</v>
      </c>
      <c r="F37" s="75">
        <f>K37</f>
        <v>1.915</v>
      </c>
      <c r="G37" s="71"/>
      <c r="H37" s="71">
        <f>ROUND(F37*G37,2)</f>
        <v>0</v>
      </c>
      <c r="I37" s="23"/>
      <c r="J37" s="42">
        <v>99</v>
      </c>
      <c r="K37" s="53">
        <f>SUM(K33:K35,K39:K56)</f>
        <v>1.915</v>
      </c>
      <c r="M37" s="23"/>
      <c r="N37" s="23"/>
    </row>
    <row r="38" spans="1:16" ht="25.5" customHeight="1">
      <c r="A38" s="3"/>
      <c r="B38" s="3"/>
      <c r="C38" s="9" t="s">
        <v>24</v>
      </c>
      <c r="D38" s="9" t="s">
        <v>25</v>
      </c>
      <c r="E38" s="6"/>
      <c r="F38" s="3"/>
      <c r="G38" s="10"/>
      <c r="H38" s="13">
        <f>SUM(H39,H50)</f>
        <v>0</v>
      </c>
      <c r="J38" s="44" t="s">
        <v>24</v>
      </c>
    </row>
    <row r="39" spans="1:16" s="24" customFormat="1" ht="23.25" customHeight="1">
      <c r="A39" s="11"/>
      <c r="B39" s="2"/>
      <c r="C39" s="14">
        <v>767</v>
      </c>
      <c r="D39" s="14" t="s">
        <v>76</v>
      </c>
      <c r="E39" s="11"/>
      <c r="F39" s="15"/>
      <c r="G39" s="2"/>
      <c r="H39" s="67">
        <f>SUM(H40:H49)</f>
        <v>0</v>
      </c>
      <c r="I39" s="46"/>
      <c r="J39" s="42">
        <v>767</v>
      </c>
      <c r="K39" s="51"/>
      <c r="L39" s="47"/>
      <c r="M39" s="23"/>
      <c r="N39" s="23"/>
      <c r="O39" s="25"/>
      <c r="P39" s="25"/>
    </row>
    <row r="40" spans="1:16" s="25" customFormat="1" ht="24">
      <c r="A40" s="72">
        <f>A37+1</f>
        <v>10</v>
      </c>
      <c r="B40" s="79">
        <v>767</v>
      </c>
      <c r="C40" s="80">
        <v>767914110</v>
      </c>
      <c r="D40" s="80" t="s">
        <v>761</v>
      </c>
      <c r="E40" s="79" t="s">
        <v>14</v>
      </c>
      <c r="F40" s="75">
        <f>F42</f>
        <v>41.46</v>
      </c>
      <c r="G40" s="71"/>
      <c r="H40" s="71">
        <f>ROUND(F40*G40,2)</f>
        <v>0</v>
      </c>
      <c r="I40" s="23"/>
      <c r="J40" s="42">
        <v>767</v>
      </c>
      <c r="K40" s="50">
        <f>ROUND(0.642,3)</f>
        <v>0.64200000000000002</v>
      </c>
      <c r="M40" s="23"/>
      <c r="N40" s="23"/>
    </row>
    <row r="41" spans="1:16" s="25" customFormat="1" ht="12">
      <c r="A41" s="64"/>
      <c r="B41" s="1"/>
      <c r="C41" s="1"/>
      <c r="D41" s="59" t="s">
        <v>762</v>
      </c>
      <c r="E41" s="200"/>
      <c r="F41" s="78">
        <f>ROUND(2.505+6.384+16.788+15.782,2)</f>
        <v>41.46</v>
      </c>
      <c r="G41" s="1"/>
      <c r="H41" s="65"/>
      <c r="I41" s="26"/>
      <c r="J41" s="40"/>
      <c r="K41" s="51"/>
      <c r="M41" s="23"/>
      <c r="N41" s="23"/>
    </row>
    <row r="42" spans="1:16" s="25" customFormat="1" ht="12">
      <c r="A42" s="64"/>
      <c r="B42" s="1"/>
      <c r="C42" s="1"/>
      <c r="D42" s="61" t="s">
        <v>26</v>
      </c>
      <c r="E42" s="62"/>
      <c r="F42" s="63">
        <f>SUM(F41:F41)</f>
        <v>41.46</v>
      </c>
      <c r="G42" s="1"/>
      <c r="H42" s="65"/>
      <c r="I42" s="26"/>
      <c r="J42" s="40"/>
      <c r="K42" s="51"/>
      <c r="M42" s="23"/>
      <c r="N42" s="23"/>
    </row>
    <row r="43" spans="1:16" s="25" customFormat="1" ht="24">
      <c r="A43" s="72">
        <f>A40+1</f>
        <v>11</v>
      </c>
      <c r="B43" s="191" t="s">
        <v>45</v>
      </c>
      <c r="C43" s="197" t="s">
        <v>466</v>
      </c>
      <c r="D43" s="1051" t="s">
        <v>2689</v>
      </c>
      <c r="E43" s="191" t="s">
        <v>19</v>
      </c>
      <c r="F43" s="195">
        <v>19</v>
      </c>
      <c r="G43" s="179"/>
      <c r="H43" s="179">
        <f t="shared" ref="H43" si="0">ROUND(F43*G43,2)</f>
        <v>0</v>
      </c>
      <c r="I43" s="23"/>
      <c r="J43" s="42">
        <v>767</v>
      </c>
      <c r="K43" s="50"/>
      <c r="M43" s="23"/>
      <c r="N43" s="23"/>
    </row>
    <row r="44" spans="1:16" s="25" customFormat="1" ht="36">
      <c r="A44" s="72">
        <f>A43+1</f>
        <v>12</v>
      </c>
      <c r="B44" s="79" t="s">
        <v>29</v>
      </c>
      <c r="C44" s="80" t="s">
        <v>731</v>
      </c>
      <c r="D44" s="80" t="s">
        <v>732</v>
      </c>
      <c r="E44" s="79" t="s">
        <v>19</v>
      </c>
      <c r="F44" s="75">
        <f>F47</f>
        <v>3</v>
      </c>
      <c r="G44" s="71"/>
      <c r="H44" s="71">
        <f>ROUND(F44*G44,2)</f>
        <v>0</v>
      </c>
      <c r="I44" s="23"/>
      <c r="J44" s="42">
        <v>767</v>
      </c>
      <c r="K44" s="50">
        <f>ROUND(0.073,3)</f>
        <v>7.2999999999999995E-2</v>
      </c>
      <c r="M44" s="23"/>
      <c r="N44" s="23"/>
    </row>
    <row r="45" spans="1:16" s="25" customFormat="1" ht="12">
      <c r="A45" s="64"/>
      <c r="B45" s="1"/>
      <c r="C45" s="1"/>
      <c r="D45" s="59" t="s">
        <v>763</v>
      </c>
      <c r="E45" s="60"/>
      <c r="F45" s="78">
        <v>1</v>
      </c>
      <c r="G45" s="1"/>
      <c r="H45" s="65"/>
      <c r="I45" s="26"/>
      <c r="J45" s="40"/>
      <c r="K45" s="51"/>
      <c r="M45" s="23"/>
      <c r="N45" s="23"/>
    </row>
    <row r="46" spans="1:16" s="25" customFormat="1" ht="12">
      <c r="A46" s="64"/>
      <c r="B46" s="1"/>
      <c r="C46" s="1"/>
      <c r="D46" s="59" t="s">
        <v>764</v>
      </c>
      <c r="E46" s="60"/>
      <c r="F46" s="78">
        <v>2</v>
      </c>
      <c r="G46" s="1"/>
      <c r="H46" s="65"/>
      <c r="I46" s="26"/>
      <c r="J46" s="40"/>
      <c r="K46" s="51"/>
      <c r="M46" s="23"/>
      <c r="N46" s="23"/>
    </row>
    <row r="47" spans="1:16" s="25" customFormat="1" ht="12">
      <c r="A47" s="64"/>
      <c r="B47" s="1"/>
      <c r="C47" s="1"/>
      <c r="D47" s="61" t="s">
        <v>26</v>
      </c>
      <c r="E47" s="62"/>
      <c r="F47" s="63">
        <f>SUM(F45:F46)</f>
        <v>3</v>
      </c>
      <c r="G47" s="1"/>
      <c r="H47" s="65"/>
      <c r="I47" s="26"/>
      <c r="J47" s="40"/>
      <c r="K47" s="51"/>
      <c r="M47" s="23"/>
      <c r="N47" s="23"/>
    </row>
    <row r="48" spans="1:16" s="25" customFormat="1" ht="36">
      <c r="A48" s="72">
        <f>A44+1</f>
        <v>13</v>
      </c>
      <c r="B48" s="191" t="s">
        <v>45</v>
      </c>
      <c r="C48" s="197" t="s">
        <v>765</v>
      </c>
      <c r="D48" s="197" t="s">
        <v>766</v>
      </c>
      <c r="E48" s="191" t="s">
        <v>19</v>
      </c>
      <c r="F48" s="195">
        <v>1</v>
      </c>
      <c r="G48" s="179"/>
      <c r="H48" s="179">
        <f t="shared" ref="H48:H49" si="1">ROUND(F48*G48,2)</f>
        <v>0</v>
      </c>
      <c r="I48" s="23"/>
      <c r="J48" s="42">
        <v>767</v>
      </c>
      <c r="K48" s="50"/>
      <c r="M48" s="23"/>
      <c r="N48" s="23"/>
    </row>
    <row r="49" spans="1:17" s="25" customFormat="1" ht="36">
      <c r="A49" s="72">
        <f>A48+1</f>
        <v>14</v>
      </c>
      <c r="B49" s="191" t="s">
        <v>45</v>
      </c>
      <c r="C49" s="197" t="s">
        <v>767</v>
      </c>
      <c r="D49" s="197" t="s">
        <v>768</v>
      </c>
      <c r="E49" s="191" t="s">
        <v>19</v>
      </c>
      <c r="F49" s="195">
        <v>2</v>
      </c>
      <c r="G49" s="179"/>
      <c r="H49" s="179">
        <f t="shared" si="1"/>
        <v>0</v>
      </c>
      <c r="I49" s="23"/>
      <c r="J49" s="42">
        <v>767</v>
      </c>
      <c r="K49" s="50"/>
      <c r="M49" s="23"/>
      <c r="N49" s="23"/>
    </row>
    <row r="50" spans="1:17" s="24" customFormat="1" ht="23.25" customHeight="1">
      <c r="A50" s="11"/>
      <c r="B50" s="2"/>
      <c r="C50" s="14">
        <v>783</v>
      </c>
      <c r="D50" s="68" t="s">
        <v>80</v>
      </c>
      <c r="E50" s="69"/>
      <c r="F50" s="70"/>
      <c r="G50" s="2"/>
      <c r="H50" s="67">
        <f>SUM(H51:H56)</f>
        <v>0</v>
      </c>
      <c r="I50" s="46"/>
      <c r="J50" s="42">
        <v>783</v>
      </c>
      <c r="K50" s="51"/>
      <c r="L50" s="47"/>
      <c r="M50" s="23"/>
      <c r="N50" s="23"/>
      <c r="O50" s="25"/>
      <c r="P50" s="25"/>
    </row>
    <row r="51" spans="1:17" s="25" customFormat="1" ht="24">
      <c r="A51" s="72">
        <f>A49+1</f>
        <v>15</v>
      </c>
      <c r="B51" s="79">
        <v>783</v>
      </c>
      <c r="C51" s="80" t="s">
        <v>769</v>
      </c>
      <c r="D51" s="80" t="s">
        <v>770</v>
      </c>
      <c r="E51" s="79" t="s">
        <v>13</v>
      </c>
      <c r="F51" s="75">
        <f>F53</f>
        <v>34.409999999999997</v>
      </c>
      <c r="G51" s="71"/>
      <c r="H51" s="71">
        <f>ROUND(F51*G51,2)</f>
        <v>0</v>
      </c>
      <c r="I51" s="23"/>
      <c r="J51" s="42">
        <v>783</v>
      </c>
      <c r="K51" s="50"/>
      <c r="L51" s="47"/>
      <c r="M51" s="23"/>
      <c r="N51" s="23"/>
    </row>
    <row r="52" spans="1:17" s="25" customFormat="1" ht="14.25">
      <c r="A52" s="64"/>
      <c r="B52" s="1"/>
      <c r="C52" s="1"/>
      <c r="D52" s="59" t="s">
        <v>771</v>
      </c>
      <c r="E52" s="77"/>
      <c r="F52" s="57">
        <f>ROUND(110.1*0.128+61.4*0.14+308.52*0.038,2)</f>
        <v>34.409999999999997</v>
      </c>
      <c r="G52" s="1"/>
      <c r="H52" s="65"/>
      <c r="I52" s="26"/>
      <c r="J52" s="40"/>
      <c r="K52" s="51"/>
      <c r="L52" s="47"/>
      <c r="M52" s="23"/>
      <c r="N52" s="23"/>
    </row>
    <row r="53" spans="1:17" s="25" customFormat="1" ht="14.25">
      <c r="A53" s="64"/>
      <c r="B53" s="1"/>
      <c r="C53" s="1"/>
      <c r="D53" s="61" t="s">
        <v>26</v>
      </c>
      <c r="E53" s="62"/>
      <c r="F53" s="63">
        <f>SUM(F52:F52)</f>
        <v>34.409999999999997</v>
      </c>
      <c r="G53" s="1"/>
      <c r="H53" s="65"/>
      <c r="I53" s="26"/>
      <c r="J53" s="40"/>
      <c r="K53" s="51"/>
      <c r="L53" s="47"/>
      <c r="M53" s="23"/>
      <c r="N53" s="23"/>
    </row>
    <row r="54" spans="1:17" s="25" customFormat="1" ht="24">
      <c r="A54" s="72">
        <f>A51+1</f>
        <v>16</v>
      </c>
      <c r="B54" s="79">
        <v>783</v>
      </c>
      <c r="C54" s="186">
        <v>783271001</v>
      </c>
      <c r="D54" s="190" t="s">
        <v>772</v>
      </c>
      <c r="E54" s="210" t="s">
        <v>13</v>
      </c>
      <c r="F54" s="211">
        <f>F56</f>
        <v>34.409999999999997</v>
      </c>
      <c r="G54" s="71"/>
      <c r="H54" s="71">
        <f>ROUND(F54*G54,2)</f>
        <v>0</v>
      </c>
      <c r="I54" s="23"/>
      <c r="J54" s="42">
        <v>783</v>
      </c>
      <c r="K54" s="50"/>
      <c r="M54" s="23"/>
      <c r="N54" s="23"/>
    </row>
    <row r="55" spans="1:17" s="25" customFormat="1" ht="12">
      <c r="A55" s="64"/>
      <c r="B55" s="1"/>
      <c r="C55" s="3"/>
      <c r="D55" s="59" t="s">
        <v>773</v>
      </c>
      <c r="E55" s="212"/>
      <c r="F55" s="213">
        <f>F51</f>
        <v>34.409999999999997</v>
      </c>
      <c r="G55" s="1"/>
      <c r="H55" s="65"/>
      <c r="I55" s="26"/>
      <c r="J55" s="40"/>
      <c r="K55" s="51"/>
      <c r="M55" s="23"/>
      <c r="N55" s="23"/>
    </row>
    <row r="56" spans="1:17" s="25" customFormat="1" ht="12">
      <c r="A56" s="64"/>
      <c r="B56" s="1"/>
      <c r="C56" s="33"/>
      <c r="D56" s="214" t="s">
        <v>26</v>
      </c>
      <c r="E56" s="215"/>
      <c r="F56" s="216">
        <f>SUM(F55:F55)</f>
        <v>34.409999999999997</v>
      </c>
      <c r="G56" s="1"/>
      <c r="H56" s="65"/>
      <c r="I56" s="26"/>
      <c r="J56" s="40"/>
      <c r="K56" s="51"/>
      <c r="M56" s="23"/>
      <c r="N56" s="23"/>
    </row>
    <row r="57" spans="1:17" ht="8.25" customHeight="1">
      <c r="D57" s="19"/>
      <c r="E57" s="20"/>
      <c r="F57" s="21"/>
    </row>
    <row r="58" spans="1:17" s="50" customFormat="1" ht="16.5" customHeight="1">
      <c r="A58" s="33"/>
      <c r="B58" s="33"/>
      <c r="C58" s="33"/>
      <c r="D58" s="37" t="s">
        <v>23</v>
      </c>
      <c r="E58" s="34"/>
      <c r="F58" s="22"/>
      <c r="G58" s="35"/>
      <c r="H58" s="38">
        <f>SUM(H9,H38)</f>
        <v>0</v>
      </c>
      <c r="I58" s="23"/>
      <c r="J58" s="48" t="s">
        <v>46</v>
      </c>
      <c r="L58" s="24"/>
      <c r="M58" s="54"/>
      <c r="N58" s="54"/>
      <c r="O58" s="33"/>
      <c r="P58" s="33"/>
      <c r="Q58" s="33"/>
    </row>
    <row r="60" spans="1:17" s="50" customFormat="1" ht="12" customHeight="1">
      <c r="A60" s="33"/>
      <c r="B60" s="33"/>
      <c r="C60" s="33"/>
      <c r="D60" s="33"/>
      <c r="E60" s="33"/>
      <c r="F60" s="33"/>
      <c r="G60" s="33"/>
      <c r="H60" s="33"/>
      <c r="I60" s="23"/>
      <c r="J60" s="39"/>
      <c r="L60" s="24"/>
      <c r="M60" s="54"/>
      <c r="N60" s="54"/>
      <c r="O60" s="33"/>
      <c r="P60" s="33"/>
      <c r="Q60" s="33"/>
    </row>
    <row r="61" spans="1:17" s="50" customFormat="1" ht="12" customHeight="1">
      <c r="A61" s="33"/>
      <c r="B61" s="33"/>
      <c r="C61" s="33"/>
      <c r="D61" s="33"/>
      <c r="E61" s="33"/>
      <c r="F61" s="33"/>
      <c r="G61" s="33"/>
      <c r="H61" s="33"/>
      <c r="I61" s="23"/>
      <c r="J61" s="39"/>
      <c r="L61" s="24"/>
      <c r="M61" s="54"/>
      <c r="N61" s="54"/>
      <c r="O61" s="33"/>
      <c r="P61" s="33"/>
      <c r="Q61" s="33"/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79" orientation="portrait" horizontalDpi="4294967295" verticalDpi="4294967295" r:id="rId1"/>
  <headerFooter>
    <oddFooter>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Y84"/>
  <sheetViews>
    <sheetView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I11" sqref="I11"/>
    </sheetView>
  </sheetViews>
  <sheetFormatPr defaultColWidth="9.140625" defaultRowHeight="12" outlineLevelCol="1"/>
  <cols>
    <col min="1" max="1" width="7.5703125" style="83" customWidth="1"/>
    <col min="2" max="2" width="26.85546875" style="82" bestFit="1" customWidth="1"/>
    <col min="3" max="3" width="9.140625" style="83" customWidth="1"/>
    <col min="4" max="4" width="12.140625" style="83" customWidth="1"/>
    <col min="5" max="5" width="21.5703125" style="83" customWidth="1"/>
    <col min="6" max="6" width="9.7109375" style="83" customWidth="1"/>
    <col min="7" max="8" width="9.7109375" style="83" customWidth="1" outlineLevel="1"/>
    <col min="9" max="9" width="14.5703125" style="83" customWidth="1"/>
    <col min="10" max="10" width="8.28515625" style="83" customWidth="1"/>
    <col min="11" max="11" width="9.5703125" style="82" customWidth="1" outlineLevel="1"/>
    <col min="12" max="13" width="9.7109375" style="83" customWidth="1" outlineLevel="1"/>
    <col min="14" max="14" width="20.140625" style="82" customWidth="1"/>
    <col min="15" max="15" width="12.5703125" style="83" customWidth="1"/>
    <col min="16" max="21" width="9.7109375" style="82" customWidth="1" outlineLevel="1"/>
    <col min="22" max="22" width="22" style="82" customWidth="1" outlineLevel="1"/>
    <col min="23" max="23" width="2.7109375" style="82" customWidth="1"/>
    <col min="24" max="24" width="9.140625" style="82"/>
    <col min="25" max="25" width="22.85546875" style="82" hidden="1" customWidth="1"/>
    <col min="26" max="16384" width="9.140625" style="82"/>
  </cols>
  <sheetData>
    <row r="1" spans="1:25" ht="17.25" customHeight="1">
      <c r="A1" s="124" t="s">
        <v>215</v>
      </c>
      <c r="K1" s="83"/>
      <c r="N1" s="83"/>
      <c r="P1" s="83"/>
      <c r="Q1" s="83"/>
      <c r="R1" s="83"/>
      <c r="S1" s="83"/>
      <c r="T1" s="83"/>
      <c r="V1" s="122" t="s">
        <v>114</v>
      </c>
      <c r="X1" s="120"/>
    </row>
    <row r="2" spans="1:25" ht="17.25" customHeight="1">
      <c r="A2" s="124" t="s">
        <v>216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X2" s="120"/>
    </row>
    <row r="3" spans="1:25" ht="15.75">
      <c r="A3" s="123" t="s">
        <v>250</v>
      </c>
      <c r="G3" s="132" t="s">
        <v>86</v>
      </c>
      <c r="H3" s="134" t="s">
        <v>185</v>
      </c>
      <c r="I3" s="82"/>
      <c r="J3" s="82"/>
      <c r="K3" s="134" t="s">
        <v>117</v>
      </c>
      <c r="L3" s="132" t="s">
        <v>221</v>
      </c>
      <c r="M3" s="134" t="s">
        <v>83</v>
      </c>
      <c r="O3" s="82"/>
      <c r="P3" s="132" t="s">
        <v>221</v>
      </c>
      <c r="Q3" s="136" t="s">
        <v>117</v>
      </c>
      <c r="R3" s="136" t="s">
        <v>184</v>
      </c>
      <c r="S3" s="134" t="s">
        <v>185</v>
      </c>
      <c r="T3" s="134" t="s">
        <v>83</v>
      </c>
      <c r="U3" s="134" t="s">
        <v>85</v>
      </c>
      <c r="V3" s="122"/>
      <c r="X3" s="120"/>
    </row>
    <row r="4" spans="1:25" ht="19.5">
      <c r="A4" s="82"/>
      <c r="F4" s="83" t="s">
        <v>112</v>
      </c>
      <c r="G4" s="133" t="s">
        <v>113</v>
      </c>
      <c r="H4" s="135" t="s">
        <v>174</v>
      </c>
      <c r="I4" s="121"/>
      <c r="J4" s="83" t="s">
        <v>112</v>
      </c>
      <c r="K4" s="135" t="s">
        <v>118</v>
      </c>
      <c r="L4" s="133" t="s">
        <v>222</v>
      </c>
      <c r="M4" s="135" t="s">
        <v>110</v>
      </c>
      <c r="N4" s="121"/>
      <c r="O4" s="83" t="s">
        <v>112</v>
      </c>
      <c r="P4" s="133" t="s">
        <v>222</v>
      </c>
      <c r="Q4" s="135" t="s">
        <v>126</v>
      </c>
      <c r="R4" s="135" t="s">
        <v>111</v>
      </c>
      <c r="S4" s="135" t="s">
        <v>174</v>
      </c>
      <c r="T4" s="135" t="s">
        <v>110</v>
      </c>
      <c r="U4" s="135" t="s">
        <v>239</v>
      </c>
      <c r="X4" s="120"/>
    </row>
    <row r="5" spans="1:25" s="118" customFormat="1" ht="9.75" customHeight="1" thickBot="1">
      <c r="A5" s="119"/>
      <c r="C5" s="119"/>
      <c r="D5" s="119"/>
      <c r="E5" s="119"/>
      <c r="F5" s="119"/>
      <c r="G5" s="119"/>
      <c r="H5" s="119"/>
      <c r="L5" s="119"/>
      <c r="M5" s="119"/>
    </row>
    <row r="6" spans="1:25" s="114" customFormat="1" ht="24" customHeight="1" thickTop="1" thickBot="1">
      <c r="A6" s="117" t="s">
        <v>46</v>
      </c>
      <c r="B6" s="116" t="s">
        <v>109</v>
      </c>
      <c r="C6" s="115" t="s">
        <v>108</v>
      </c>
      <c r="D6" s="143" t="s">
        <v>116</v>
      </c>
      <c r="E6" s="1143" t="s">
        <v>88</v>
      </c>
      <c r="F6" s="1144"/>
      <c r="G6" s="1144"/>
      <c r="H6" s="1144"/>
      <c r="I6" s="1149" t="s">
        <v>107</v>
      </c>
      <c r="J6" s="1150"/>
      <c r="K6" s="1150"/>
      <c r="L6" s="1150"/>
      <c r="M6" s="1151"/>
      <c r="N6" s="1143" t="s">
        <v>87</v>
      </c>
      <c r="O6" s="1144"/>
      <c r="P6" s="1144"/>
      <c r="Q6" s="1144"/>
      <c r="R6" s="1144"/>
      <c r="S6" s="1144"/>
      <c r="T6" s="1144"/>
      <c r="U6" s="1145"/>
      <c r="V6" s="144" t="s">
        <v>106</v>
      </c>
    </row>
    <row r="7" spans="1:25" s="111" customFormat="1" ht="10.5" customHeight="1" thickTop="1">
      <c r="A7" s="113">
        <v>1</v>
      </c>
      <c r="B7" s="112">
        <v>2</v>
      </c>
      <c r="C7" s="112">
        <v>3</v>
      </c>
      <c r="D7" s="112">
        <v>4</v>
      </c>
      <c r="E7" s="112" t="s">
        <v>127</v>
      </c>
      <c r="F7" s="112" t="s">
        <v>128</v>
      </c>
      <c r="G7" s="112" t="s">
        <v>129</v>
      </c>
      <c r="H7" s="112" t="s">
        <v>130</v>
      </c>
      <c r="I7" s="112" t="s">
        <v>131</v>
      </c>
      <c r="J7" s="112" t="s">
        <v>132</v>
      </c>
      <c r="K7" s="112" t="s">
        <v>133</v>
      </c>
      <c r="L7" s="112" t="s">
        <v>134</v>
      </c>
      <c r="M7" s="112" t="s">
        <v>183</v>
      </c>
      <c r="N7" s="112" t="s">
        <v>135</v>
      </c>
      <c r="O7" s="112" t="s">
        <v>136</v>
      </c>
      <c r="P7" s="112" t="s">
        <v>137</v>
      </c>
      <c r="Q7" s="112" t="s">
        <v>138</v>
      </c>
      <c r="R7" s="112" t="s">
        <v>139</v>
      </c>
      <c r="S7" s="112" t="s">
        <v>140</v>
      </c>
      <c r="T7" s="112" t="s">
        <v>141</v>
      </c>
      <c r="U7" s="112" t="s">
        <v>142</v>
      </c>
      <c r="V7" s="112">
        <v>8</v>
      </c>
    </row>
    <row r="8" spans="1:25" s="109" customFormat="1" ht="6" customHeight="1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</row>
    <row r="9" spans="1:25" s="90" customFormat="1">
      <c r="A9" s="125" t="s">
        <v>104</v>
      </c>
      <c r="B9" s="127"/>
      <c r="C9" s="128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30"/>
      <c r="O9" s="129"/>
      <c r="P9" s="130"/>
      <c r="Q9" s="130"/>
      <c r="R9" s="130"/>
      <c r="S9" s="130"/>
      <c r="T9" s="130"/>
      <c r="U9" s="130"/>
      <c r="V9" s="131"/>
      <c r="X9" s="89" t="s">
        <v>66</v>
      </c>
    </row>
    <row r="10" spans="1:25" ht="23.25" customHeight="1">
      <c r="A10" s="126" t="s">
        <v>103</v>
      </c>
      <c r="B10" s="103" t="s">
        <v>105</v>
      </c>
      <c r="C10" s="101">
        <v>6.96</v>
      </c>
      <c r="D10" s="101">
        <v>2.9</v>
      </c>
      <c r="E10" s="139" t="s">
        <v>217</v>
      </c>
      <c r="F10" s="141" t="s">
        <v>86</v>
      </c>
      <c r="G10" s="100">
        <f t="shared" ref="G10:G18" si="0">C10</f>
        <v>6.96</v>
      </c>
      <c r="H10" s="99">
        <f t="shared" ref="H10:H18" si="1">C10</f>
        <v>6.96</v>
      </c>
      <c r="I10" s="98" t="s">
        <v>223</v>
      </c>
      <c r="J10" s="107" t="s">
        <v>218</v>
      </c>
      <c r="K10" s="100">
        <f>C10</f>
        <v>6.96</v>
      </c>
      <c r="L10" s="99">
        <f>C10</f>
        <v>6.96</v>
      </c>
      <c r="M10" s="149">
        <f>C10</f>
        <v>6.96</v>
      </c>
      <c r="N10" s="146"/>
      <c r="O10" s="97" t="s">
        <v>224</v>
      </c>
      <c r="P10" s="106">
        <f>ROUND(2*(2.18+4.445)*2.9-(0.8*2+3*0.6*2+1.1*2.4)+(2*2.4+1.1)*0.23,2)</f>
        <v>31.94</v>
      </c>
      <c r="Q10" s="96">
        <f>ROUND(2*(2.18+4.445)*2.9-(0.8*2+3*0.6*2+1.1*2.4)+(2*2.4+1.1)*0.23,2)</f>
        <v>31.94</v>
      </c>
      <c r="R10" s="96"/>
      <c r="S10" s="96"/>
      <c r="T10" s="96">
        <f t="shared" ref="T10:T18" si="2">Q10-R10</f>
        <v>31.94</v>
      </c>
      <c r="U10" s="105">
        <f>ROUND(2*(2.18+4.445+0.23)-1.1-0.8,1)</f>
        <v>11.8</v>
      </c>
      <c r="V10" s="104" t="s">
        <v>228</v>
      </c>
      <c r="X10" s="89" t="s">
        <v>66</v>
      </c>
    </row>
    <row r="11" spans="1:25" ht="23.25" customHeight="1">
      <c r="A11" s="126" t="s">
        <v>102</v>
      </c>
      <c r="B11" s="102" t="s">
        <v>208</v>
      </c>
      <c r="C11" s="101">
        <v>11.32</v>
      </c>
      <c r="D11" s="101">
        <v>2.9</v>
      </c>
      <c r="E11" s="140" t="s">
        <v>217</v>
      </c>
      <c r="F11" s="142" t="s">
        <v>86</v>
      </c>
      <c r="G11" s="100">
        <f t="shared" si="0"/>
        <v>11.32</v>
      </c>
      <c r="H11" s="99">
        <f t="shared" si="1"/>
        <v>11.32</v>
      </c>
      <c r="I11" s="98" t="s">
        <v>223</v>
      </c>
      <c r="J11" s="97" t="s">
        <v>218</v>
      </c>
      <c r="K11" s="100">
        <f t="shared" ref="K11:K18" si="3">C11</f>
        <v>11.32</v>
      </c>
      <c r="L11" s="99">
        <f t="shared" ref="L11:L18" si="4">C11</f>
        <v>11.32</v>
      </c>
      <c r="M11" s="150">
        <f t="shared" ref="M11:M18" si="5">C11</f>
        <v>11.32</v>
      </c>
      <c r="N11" s="147"/>
      <c r="O11" s="97" t="s">
        <v>224</v>
      </c>
      <c r="P11" s="106">
        <f>ROUND(2*(3.875+2.92)*2.9-(2*1.8*1.5+0.8*2)+2*(2*1.5+1.8)*0.23,2)</f>
        <v>34.619999999999997</v>
      </c>
      <c r="Q11" s="96">
        <f>ROUND(2*(3.875+2.92)*2.9-(2*1.8*1.5+0.8*2)+2*(2*1.5+1.8)*0.23,2)</f>
        <v>34.619999999999997</v>
      </c>
      <c r="R11" s="96"/>
      <c r="S11" s="96"/>
      <c r="T11" s="96">
        <f t="shared" si="2"/>
        <v>34.619999999999997</v>
      </c>
      <c r="U11" s="105">
        <f>ROUND(2*(3.875+2.92)-0.8,1)</f>
        <v>12.8</v>
      </c>
      <c r="V11" s="104" t="s">
        <v>228</v>
      </c>
      <c r="X11" s="89" t="s">
        <v>66</v>
      </c>
      <c r="Y11" s="82" t="s">
        <v>92</v>
      </c>
    </row>
    <row r="12" spans="1:25" ht="23.25" customHeight="1">
      <c r="A12" s="126" t="s">
        <v>101</v>
      </c>
      <c r="B12" s="102" t="s">
        <v>209</v>
      </c>
      <c r="C12" s="101">
        <v>4</v>
      </c>
      <c r="D12" s="101">
        <v>2.9</v>
      </c>
      <c r="E12" s="140" t="s">
        <v>217</v>
      </c>
      <c r="F12" s="142" t="s">
        <v>86</v>
      </c>
      <c r="G12" s="100">
        <f t="shared" si="0"/>
        <v>4</v>
      </c>
      <c r="H12" s="99">
        <f t="shared" si="1"/>
        <v>4</v>
      </c>
      <c r="I12" s="98" t="s">
        <v>223</v>
      </c>
      <c r="J12" s="97" t="s">
        <v>218</v>
      </c>
      <c r="K12" s="100">
        <f t="shared" si="3"/>
        <v>4</v>
      </c>
      <c r="L12" s="99">
        <f t="shared" si="4"/>
        <v>4</v>
      </c>
      <c r="M12" s="150">
        <f t="shared" si="5"/>
        <v>4</v>
      </c>
      <c r="N12" s="147" t="s">
        <v>227</v>
      </c>
      <c r="O12" s="97" t="s">
        <v>225</v>
      </c>
      <c r="P12" s="106">
        <f>ROUND(2*(1.4+2.895)*2.9-(0.6*2+1.2*0.75)+(2*0.75+1.2)*0.23+1.915*0.12,2)</f>
        <v>23.66</v>
      </c>
      <c r="Q12" s="96">
        <f>ROUND(2*(1.4+2.895)*2.9-(0.6*2+1.2*0.75)+(2*0.75+1.2)*0.23+1.915*0.12,2)</f>
        <v>23.66</v>
      </c>
      <c r="R12" s="96">
        <f>ROUND(2*(1.4+2.895)*2-(0.6*2+1.2*0.35)+(2*0.35+1.2)*0.23+1.915*0.12,2)</f>
        <v>16.23</v>
      </c>
      <c r="S12" s="96">
        <f>ROUND(2*(1.4+2.895)*1-0.6*1,2)</f>
        <v>7.99</v>
      </c>
      <c r="T12" s="96">
        <f t="shared" si="2"/>
        <v>7.43</v>
      </c>
      <c r="U12" s="105"/>
      <c r="V12" s="104"/>
      <c r="X12" s="89" t="s">
        <v>66</v>
      </c>
      <c r="Y12" s="82" t="s">
        <v>91</v>
      </c>
    </row>
    <row r="13" spans="1:25" ht="23.25" customHeight="1">
      <c r="A13" s="126" t="s">
        <v>100</v>
      </c>
      <c r="B13" s="103" t="s">
        <v>210</v>
      </c>
      <c r="C13" s="101">
        <v>5.3</v>
      </c>
      <c r="D13" s="101">
        <v>2.9</v>
      </c>
      <c r="E13" s="140" t="s">
        <v>217</v>
      </c>
      <c r="F13" s="142" t="s">
        <v>86</v>
      </c>
      <c r="G13" s="100">
        <f t="shared" si="0"/>
        <v>5.3</v>
      </c>
      <c r="H13" s="99">
        <f t="shared" si="1"/>
        <v>5.3</v>
      </c>
      <c r="I13" s="98" t="s">
        <v>223</v>
      </c>
      <c r="J13" s="97" t="s">
        <v>218</v>
      </c>
      <c r="K13" s="100">
        <f t="shared" si="3"/>
        <v>5.3</v>
      </c>
      <c r="L13" s="99">
        <f t="shared" si="4"/>
        <v>5.3</v>
      </c>
      <c r="M13" s="150">
        <f t="shared" si="5"/>
        <v>5.3</v>
      </c>
      <c r="N13" s="147" t="s">
        <v>227</v>
      </c>
      <c r="O13" s="97" t="s">
        <v>225</v>
      </c>
      <c r="P13" s="106">
        <f>ROUND(2*(1.83+2.895)*2.9-(0.6*2+1.2*0.75)+(2*0.75+1.2)*0.23+1.83*0.21,2)</f>
        <v>26.31</v>
      </c>
      <c r="Q13" s="96">
        <f>ROUND(2*(1.83+2.895)*2.9-(0.6*2+1.2*0.75)+(2*0.75+1.2)*0.23+1.83*0.21,2)</f>
        <v>26.31</v>
      </c>
      <c r="R13" s="96">
        <f>ROUND(2*(1.83+2.895)*2-(0.6*2+1.2*0.35)+(2*0.35+1.2)*0.23+1.83*0.21,2)</f>
        <v>18.100000000000001</v>
      </c>
      <c r="S13" s="96">
        <f>ROUND(2*(1.83+2.895)*1-0.6*1,2)</f>
        <v>8.85</v>
      </c>
      <c r="T13" s="96">
        <f t="shared" si="2"/>
        <v>8.2099999999999973</v>
      </c>
      <c r="U13" s="105"/>
      <c r="V13" s="104"/>
      <c r="X13" s="89" t="s">
        <v>66</v>
      </c>
      <c r="Y13" s="82" t="s">
        <v>90</v>
      </c>
    </row>
    <row r="14" spans="1:25" ht="23.25" customHeight="1">
      <c r="A14" s="126" t="s">
        <v>99</v>
      </c>
      <c r="B14" s="102" t="s">
        <v>94</v>
      </c>
      <c r="C14" s="101">
        <v>1.56</v>
      </c>
      <c r="D14" s="101">
        <v>2.9</v>
      </c>
      <c r="E14" s="140" t="s">
        <v>217</v>
      </c>
      <c r="F14" s="142" t="s">
        <v>86</v>
      </c>
      <c r="G14" s="100">
        <f t="shared" si="0"/>
        <v>1.56</v>
      </c>
      <c r="H14" s="99">
        <f t="shared" si="1"/>
        <v>1.56</v>
      </c>
      <c r="I14" s="98" t="s">
        <v>223</v>
      </c>
      <c r="J14" s="97" t="s">
        <v>218</v>
      </c>
      <c r="K14" s="100">
        <f t="shared" si="3"/>
        <v>1.56</v>
      </c>
      <c r="L14" s="99">
        <f t="shared" si="4"/>
        <v>1.56</v>
      </c>
      <c r="M14" s="150">
        <f t="shared" si="5"/>
        <v>1.56</v>
      </c>
      <c r="N14" s="147" t="s">
        <v>227</v>
      </c>
      <c r="O14" s="97" t="s">
        <v>226</v>
      </c>
      <c r="P14" s="106">
        <f>ROUND(2*(1.83+0.85)*2.9-0.6*2,2)</f>
        <v>14.34</v>
      </c>
      <c r="Q14" s="96">
        <f>ROUND(2*(1.83+0.85)*2.9-0.6*2,2)</f>
        <v>14.34</v>
      </c>
      <c r="R14" s="96">
        <f>ROUND(2*(1.83+0.85)*2-0.6*2,2)</f>
        <v>9.52</v>
      </c>
      <c r="S14" s="96">
        <f>ROUND(2*(1.83+0.85)*1-0.6*1,2)</f>
        <v>4.76</v>
      </c>
      <c r="T14" s="96">
        <f t="shared" si="2"/>
        <v>4.82</v>
      </c>
      <c r="U14" s="105"/>
      <c r="V14" s="104"/>
      <c r="X14" s="89" t="s">
        <v>66</v>
      </c>
      <c r="Y14" s="82" t="s">
        <v>89</v>
      </c>
    </row>
    <row r="15" spans="1:25" ht="23.25" customHeight="1">
      <c r="A15" s="126" t="s">
        <v>98</v>
      </c>
      <c r="B15" s="103" t="s">
        <v>211</v>
      </c>
      <c r="C15" s="101">
        <v>3.77</v>
      </c>
      <c r="D15" s="101">
        <v>2.9</v>
      </c>
      <c r="E15" s="140" t="s">
        <v>217</v>
      </c>
      <c r="F15" s="142" t="s">
        <v>86</v>
      </c>
      <c r="G15" s="100">
        <f t="shared" si="0"/>
        <v>3.77</v>
      </c>
      <c r="H15" s="99">
        <f t="shared" si="1"/>
        <v>3.77</v>
      </c>
      <c r="I15" s="98" t="s">
        <v>223</v>
      </c>
      <c r="J15" s="97" t="s">
        <v>218</v>
      </c>
      <c r="K15" s="100">
        <f t="shared" si="3"/>
        <v>3.77</v>
      </c>
      <c r="L15" s="99">
        <f t="shared" si="4"/>
        <v>3.77</v>
      </c>
      <c r="M15" s="150">
        <f t="shared" si="5"/>
        <v>3.77</v>
      </c>
      <c r="N15" s="147" t="s">
        <v>227</v>
      </c>
      <c r="O15" s="97" t="s">
        <v>225</v>
      </c>
      <c r="P15" s="106">
        <f>ROUND(2*(1.8+2.12)*2.9-2*0.6*2+(2*2+0.6)*0.23+1.895*0.15,2)</f>
        <v>21.68</v>
      </c>
      <c r="Q15" s="106">
        <f>ROUND(2*(1.8+2.12)*2.9-2*0.6*2+(2*2+0.6)*0.23+1.895*0.15,2)</f>
        <v>21.68</v>
      </c>
      <c r="R15" s="96">
        <f>ROUND(2*(1.8+2.12)*2-2*0.6*2+2*2*0.23+1.895*0.15,2)</f>
        <v>14.48</v>
      </c>
      <c r="S15" s="96">
        <f>ROUND(2*(1.8+2.12)*1-2*0.6*1+2*1*0.23,2)</f>
        <v>7.1</v>
      </c>
      <c r="T15" s="96">
        <f t="shared" si="2"/>
        <v>7.1999999999999993</v>
      </c>
      <c r="U15" s="105"/>
      <c r="V15" s="104"/>
      <c r="X15" s="89" t="s">
        <v>66</v>
      </c>
    </row>
    <row r="16" spans="1:25" ht="23.25" customHeight="1">
      <c r="A16" s="126" t="s">
        <v>97</v>
      </c>
      <c r="B16" s="103" t="s">
        <v>212</v>
      </c>
      <c r="C16" s="101">
        <v>6.05</v>
      </c>
      <c r="D16" s="101">
        <v>2.9</v>
      </c>
      <c r="E16" s="140" t="s">
        <v>217</v>
      </c>
      <c r="F16" s="142" t="s">
        <v>86</v>
      </c>
      <c r="G16" s="100">
        <f t="shared" si="0"/>
        <v>6.05</v>
      </c>
      <c r="H16" s="99">
        <f t="shared" si="1"/>
        <v>6.05</v>
      </c>
      <c r="I16" s="98" t="s">
        <v>223</v>
      </c>
      <c r="J16" s="97" t="s">
        <v>218</v>
      </c>
      <c r="K16" s="100">
        <f t="shared" si="3"/>
        <v>6.05</v>
      </c>
      <c r="L16" s="99">
        <f t="shared" si="4"/>
        <v>6.05</v>
      </c>
      <c r="M16" s="150">
        <f t="shared" si="5"/>
        <v>6.05</v>
      </c>
      <c r="N16" s="147" t="s">
        <v>227</v>
      </c>
      <c r="O16" s="97" t="s">
        <v>225</v>
      </c>
      <c r="P16" s="106">
        <f>ROUND(2*(1.83+3.305)*2.9-(0.6*2+1.2*0.75)+(2*0.75+1.2)*0.23+1.83*(0.21+0.15),2)</f>
        <v>28.96</v>
      </c>
      <c r="Q16" s="96">
        <f>ROUND(2*(1.83+3.305)*2.9-(0.6*2+1.2*0.75)+(2*0.75+1.2)*0.23+1.83*(0.21+0.15),2)</f>
        <v>28.96</v>
      </c>
      <c r="R16" s="96">
        <f>ROUND(2*(1.83+3.305)*2-(0.6*2+1.2*0.35)+(2*0.35+1.2)*0.23+1.83*(0.21+0.15),2)</f>
        <v>20.02</v>
      </c>
      <c r="S16" s="96">
        <f>ROUND(2*(1.83+3.305)*1-0.6*1,2)</f>
        <v>9.67</v>
      </c>
      <c r="T16" s="96">
        <f t="shared" si="2"/>
        <v>8.9400000000000013</v>
      </c>
      <c r="U16" s="105"/>
      <c r="V16" s="104"/>
      <c r="X16" s="89" t="s">
        <v>66</v>
      </c>
    </row>
    <row r="17" spans="1:25" ht="23.25" customHeight="1">
      <c r="A17" s="126" t="s">
        <v>96</v>
      </c>
      <c r="B17" s="103" t="s">
        <v>213</v>
      </c>
      <c r="C17" s="101">
        <v>4.21</v>
      </c>
      <c r="D17" s="101">
        <v>2.9</v>
      </c>
      <c r="E17" s="140" t="s">
        <v>217</v>
      </c>
      <c r="F17" s="142" t="s">
        <v>86</v>
      </c>
      <c r="G17" s="100">
        <f t="shared" si="0"/>
        <v>4.21</v>
      </c>
      <c r="H17" s="99">
        <f t="shared" si="1"/>
        <v>4.21</v>
      </c>
      <c r="I17" s="98" t="s">
        <v>223</v>
      </c>
      <c r="J17" s="97" t="s">
        <v>218</v>
      </c>
      <c r="K17" s="100">
        <f t="shared" si="3"/>
        <v>4.21</v>
      </c>
      <c r="L17" s="99">
        <f t="shared" si="4"/>
        <v>4.21</v>
      </c>
      <c r="M17" s="150">
        <f t="shared" si="5"/>
        <v>4.21</v>
      </c>
      <c r="N17" s="148" t="s">
        <v>227</v>
      </c>
      <c r="O17" s="97" t="s">
        <v>226</v>
      </c>
      <c r="P17" s="108">
        <f>ROUND(2*(1.8+2.2)*2.9-1.1*2.4+(2*2.4+1.1)*0.23,2)</f>
        <v>21.92</v>
      </c>
      <c r="Q17" s="96">
        <f>ROUND(2*(1.8+2.2)*2.9-1.1*2.4+(2*2.4+1.1)*0.23,2)</f>
        <v>21.92</v>
      </c>
      <c r="R17" s="96">
        <f>ROUND(2*(1.8+2.2)*2-1.1*2+2*2*0.23,2)</f>
        <v>14.72</v>
      </c>
      <c r="S17" s="96">
        <f>ROUND(2*(1.8+2.2)*1-1.1*1+2*1*0.23,2)</f>
        <v>7.36</v>
      </c>
      <c r="T17" s="96">
        <f t="shared" si="2"/>
        <v>7.2000000000000011</v>
      </c>
      <c r="U17" s="105"/>
      <c r="V17" s="104"/>
      <c r="X17" s="89" t="s">
        <v>66</v>
      </c>
    </row>
    <row r="18" spans="1:25" ht="23.25" customHeight="1" thickBot="1">
      <c r="A18" s="126" t="s">
        <v>95</v>
      </c>
      <c r="B18" s="103" t="s">
        <v>214</v>
      </c>
      <c r="C18" s="101">
        <v>24.57</v>
      </c>
      <c r="D18" s="101">
        <v>2.9</v>
      </c>
      <c r="E18" s="140" t="s">
        <v>217</v>
      </c>
      <c r="F18" s="142" t="s">
        <v>86</v>
      </c>
      <c r="G18" s="100">
        <f t="shared" si="0"/>
        <v>24.57</v>
      </c>
      <c r="H18" s="99">
        <f t="shared" si="1"/>
        <v>24.57</v>
      </c>
      <c r="I18" s="98" t="s">
        <v>223</v>
      </c>
      <c r="J18" s="97" t="s">
        <v>218</v>
      </c>
      <c r="K18" s="100">
        <f t="shared" si="3"/>
        <v>24.57</v>
      </c>
      <c r="L18" s="99">
        <f t="shared" si="4"/>
        <v>24.57</v>
      </c>
      <c r="M18" s="150">
        <f t="shared" si="5"/>
        <v>24.57</v>
      </c>
      <c r="N18" s="148"/>
      <c r="O18" s="97" t="s">
        <v>224</v>
      </c>
      <c r="P18" s="106">
        <f>ROUND(2*(6.4+3.775)*2.9-(1.8*2.4+1.2*0.75+2.4*0.75)+(2*2.4+1.8+2*2*0.75+1.2+2.4)*0.23,2)</f>
        <v>55.03</v>
      </c>
      <c r="Q18" s="96">
        <f>ROUND(2*(6.4+3.775)*2.9-(1.8*2.4+1.2*0.75+2.4*0.75)+(2*2.4+1.8+2*2*0.75+1.2+2.4)*0.23,2)</f>
        <v>55.03</v>
      </c>
      <c r="R18" s="96"/>
      <c r="S18" s="96"/>
      <c r="T18" s="96">
        <f t="shared" si="2"/>
        <v>55.03</v>
      </c>
      <c r="U18" s="105">
        <f>ROUND(2*(6.4+3.775+0.23)-1.8,1)</f>
        <v>19</v>
      </c>
      <c r="V18" s="104" t="s">
        <v>228</v>
      </c>
      <c r="X18" s="89" t="s">
        <v>66</v>
      </c>
    </row>
    <row r="19" spans="1:25" s="90" customFormat="1" ht="12.75" thickBot="1">
      <c r="A19" s="95" t="s">
        <v>93</v>
      </c>
      <c r="B19" s="95"/>
      <c r="C19" s="92">
        <f>SUM(C10:C18)</f>
        <v>67.740000000000009</v>
      </c>
      <c r="D19" s="93"/>
      <c r="E19" s="93"/>
      <c r="F19" s="93"/>
      <c r="G19" s="92">
        <f t="shared" ref="G19:H19" si="6">SUM(G10:G18)</f>
        <v>67.740000000000009</v>
      </c>
      <c r="H19" s="92">
        <f t="shared" si="6"/>
        <v>67.740000000000009</v>
      </c>
      <c r="I19" s="93"/>
      <c r="J19" s="93"/>
      <c r="K19" s="92">
        <f>SUM(K10:K18)</f>
        <v>67.740000000000009</v>
      </c>
      <c r="L19" s="92">
        <f>SUM(L10:L18)</f>
        <v>67.740000000000009</v>
      </c>
      <c r="M19" s="92">
        <f>SUM(M10:M18)</f>
        <v>67.740000000000009</v>
      </c>
      <c r="N19" s="94"/>
      <c r="O19" s="93"/>
      <c r="P19" s="92">
        <f t="shared" ref="P19:U19" si="7">SUM(P10:P18)</f>
        <v>258.46000000000004</v>
      </c>
      <c r="Q19" s="92">
        <f t="shared" si="7"/>
        <v>258.46000000000004</v>
      </c>
      <c r="R19" s="92">
        <f t="shared" si="7"/>
        <v>93.07</v>
      </c>
      <c r="S19" s="92">
        <f t="shared" si="7"/>
        <v>45.730000000000004</v>
      </c>
      <c r="T19" s="92">
        <f t="shared" si="7"/>
        <v>165.39000000000001</v>
      </c>
      <c r="U19" s="92">
        <f t="shared" si="7"/>
        <v>43.6</v>
      </c>
      <c r="V19" s="91"/>
      <c r="X19" s="89" t="s">
        <v>66</v>
      </c>
    </row>
    <row r="20" spans="1:25">
      <c r="E20" s="84"/>
      <c r="F20" s="84"/>
      <c r="G20" s="84"/>
      <c r="H20" s="84"/>
      <c r="L20" s="84"/>
      <c r="M20" s="84"/>
      <c r="V20" s="83"/>
    </row>
    <row r="21" spans="1:25" ht="12.75" thickBot="1">
      <c r="E21" s="84"/>
      <c r="F21" s="84"/>
      <c r="G21" s="84"/>
      <c r="H21" s="84"/>
      <c r="L21" s="84"/>
      <c r="M21" s="84"/>
      <c r="V21" s="83"/>
    </row>
    <row r="22" spans="1:25" ht="20.25" customHeight="1" thickTop="1" thickBot="1">
      <c r="E22" s="84"/>
      <c r="F22" s="84"/>
      <c r="G22" s="1140" t="s">
        <v>219</v>
      </c>
      <c r="H22" s="1142"/>
      <c r="K22" s="1146" t="s">
        <v>220</v>
      </c>
      <c r="L22" s="1147"/>
      <c r="M22" s="1148"/>
      <c r="P22" s="1140" t="s">
        <v>186</v>
      </c>
      <c r="Q22" s="1141"/>
      <c r="R22" s="1141"/>
      <c r="S22" s="1141"/>
      <c r="T22" s="1141"/>
      <c r="U22" s="1142"/>
      <c r="V22" s="83"/>
    </row>
    <row r="23" spans="1:25" s="83" customFormat="1" ht="12.75" thickTop="1">
      <c r="E23" s="87"/>
      <c r="F23" s="87"/>
      <c r="G23" s="137" t="s">
        <v>86</v>
      </c>
      <c r="H23" s="137" t="s">
        <v>185</v>
      </c>
      <c r="K23" s="137" t="s">
        <v>117</v>
      </c>
      <c r="L23" s="137" t="s">
        <v>221</v>
      </c>
      <c r="M23" s="137" t="s">
        <v>83</v>
      </c>
      <c r="P23" s="137" t="s">
        <v>221</v>
      </c>
      <c r="Q23" s="137" t="s">
        <v>117</v>
      </c>
      <c r="R23" s="137" t="s">
        <v>184</v>
      </c>
      <c r="S23" s="137" t="s">
        <v>185</v>
      </c>
      <c r="T23" s="137" t="s">
        <v>83</v>
      </c>
      <c r="U23" s="137" t="s">
        <v>85</v>
      </c>
    </row>
    <row r="24" spans="1:25">
      <c r="C24" s="82"/>
      <c r="E24" s="84"/>
      <c r="F24" s="89" t="s">
        <v>66</v>
      </c>
      <c r="G24" s="138">
        <f t="shared" ref="G24:H24" si="8">G19</f>
        <v>67.740000000000009</v>
      </c>
      <c r="H24" s="138">
        <f t="shared" si="8"/>
        <v>67.740000000000009</v>
      </c>
      <c r="J24" s="89" t="s">
        <v>66</v>
      </c>
      <c r="K24" s="138">
        <f>K19</f>
        <v>67.740000000000009</v>
      </c>
      <c r="L24" s="138">
        <f>L19</f>
        <v>67.740000000000009</v>
      </c>
      <c r="M24" s="138">
        <f>M19</f>
        <v>67.740000000000009</v>
      </c>
      <c r="O24" s="89" t="s">
        <v>66</v>
      </c>
      <c r="P24" s="138">
        <f t="shared" ref="P24:U24" si="9">P19</f>
        <v>258.46000000000004</v>
      </c>
      <c r="Q24" s="138">
        <f t="shared" si="9"/>
        <v>258.46000000000004</v>
      </c>
      <c r="R24" s="138">
        <f t="shared" si="9"/>
        <v>93.07</v>
      </c>
      <c r="S24" s="138">
        <f t="shared" si="9"/>
        <v>45.730000000000004</v>
      </c>
      <c r="T24" s="138">
        <f t="shared" si="9"/>
        <v>165.39000000000001</v>
      </c>
      <c r="U24" s="138">
        <f t="shared" si="9"/>
        <v>43.6</v>
      </c>
      <c r="V24" s="83"/>
    </row>
    <row r="25" spans="1:25" s="85" customFormat="1">
      <c r="B25" s="86"/>
      <c r="E25" s="88"/>
      <c r="F25" s="85" t="s">
        <v>84</v>
      </c>
      <c r="G25" s="137">
        <f t="shared" ref="G25:H25" si="10">SUM(G24:G24)</f>
        <v>67.740000000000009</v>
      </c>
      <c r="H25" s="137">
        <f t="shared" si="10"/>
        <v>67.740000000000009</v>
      </c>
      <c r="J25" s="85" t="s">
        <v>84</v>
      </c>
      <c r="K25" s="137">
        <f>SUM(K24:K24)</f>
        <v>67.740000000000009</v>
      </c>
      <c r="L25" s="137">
        <f>SUM(L24:L24)</f>
        <v>67.740000000000009</v>
      </c>
      <c r="M25" s="137">
        <f>SUM(M24:M24)</f>
        <v>67.740000000000009</v>
      </c>
      <c r="N25" s="86"/>
      <c r="O25" s="85" t="s">
        <v>84</v>
      </c>
      <c r="P25" s="137">
        <f t="shared" ref="P25:U25" si="11">SUM(P24:P24)</f>
        <v>258.46000000000004</v>
      </c>
      <c r="Q25" s="137">
        <f t="shared" si="11"/>
        <v>258.46000000000004</v>
      </c>
      <c r="R25" s="137">
        <f t="shared" si="11"/>
        <v>93.07</v>
      </c>
      <c r="S25" s="137">
        <f t="shared" si="11"/>
        <v>45.730000000000004</v>
      </c>
      <c r="T25" s="137">
        <f t="shared" si="11"/>
        <v>165.39000000000001</v>
      </c>
      <c r="U25" s="137">
        <f t="shared" si="11"/>
        <v>43.6</v>
      </c>
      <c r="W25" s="86"/>
      <c r="X25" s="86"/>
      <c r="Y25" s="86"/>
    </row>
    <row r="26" spans="1:25" s="83" customFormat="1">
      <c r="B26" s="82"/>
      <c r="E26" s="84"/>
      <c r="F26" s="84"/>
      <c r="G26" s="84"/>
      <c r="H26" s="84"/>
      <c r="K26" s="82"/>
      <c r="L26" s="84"/>
      <c r="M26" s="84"/>
      <c r="N26" s="82"/>
      <c r="P26" s="82"/>
      <c r="Q26" s="82"/>
      <c r="R26" s="82"/>
      <c r="S26" s="82"/>
      <c r="T26" s="82"/>
      <c r="U26" s="82"/>
      <c r="W26" s="82"/>
      <c r="X26" s="82"/>
      <c r="Y26" s="82"/>
    </row>
    <row r="27" spans="1:25" s="83" customFormat="1">
      <c r="B27" s="82"/>
      <c r="E27" s="84"/>
      <c r="F27" s="84"/>
      <c r="G27" s="84"/>
      <c r="H27" s="84"/>
      <c r="K27" s="82"/>
      <c r="L27" s="84"/>
      <c r="M27" s="84"/>
      <c r="N27" s="82"/>
      <c r="P27" s="82"/>
      <c r="Q27" s="82"/>
      <c r="R27" s="82"/>
      <c r="S27" s="82"/>
      <c r="T27" s="82"/>
      <c r="U27" s="82"/>
      <c r="W27" s="82"/>
      <c r="X27" s="82"/>
      <c r="Y27" s="82"/>
    </row>
    <row r="28" spans="1:25" s="83" customFormat="1">
      <c r="B28" s="82"/>
      <c r="E28" s="84"/>
      <c r="F28" s="84"/>
      <c r="G28" s="84"/>
      <c r="H28" s="84"/>
      <c r="K28" s="82"/>
      <c r="L28" s="84"/>
      <c r="M28" s="84"/>
      <c r="N28" s="82"/>
      <c r="P28" s="82"/>
      <c r="Q28" s="82"/>
      <c r="R28" s="82"/>
      <c r="S28" s="82"/>
      <c r="T28" s="82"/>
      <c r="U28" s="82"/>
      <c r="W28" s="82"/>
      <c r="X28" s="82"/>
      <c r="Y28" s="82"/>
    </row>
    <row r="29" spans="1:25" s="83" customFormat="1">
      <c r="B29" s="82"/>
      <c r="E29" s="84"/>
      <c r="F29" s="84"/>
      <c r="G29" s="84"/>
      <c r="H29" s="84"/>
      <c r="K29" s="82"/>
      <c r="L29" s="84"/>
      <c r="M29" s="84"/>
      <c r="N29" s="82"/>
      <c r="P29" s="82"/>
      <c r="Q29" s="82"/>
      <c r="R29" s="82"/>
      <c r="S29" s="82"/>
      <c r="T29" s="82"/>
      <c r="U29" s="82"/>
      <c r="W29" s="82"/>
      <c r="X29" s="82"/>
      <c r="Y29" s="82"/>
    </row>
    <row r="30" spans="1:25" s="83" customFormat="1">
      <c r="B30" s="82"/>
      <c r="E30" s="84"/>
      <c r="F30" s="84"/>
      <c r="G30" s="84"/>
      <c r="H30" s="84"/>
      <c r="K30" s="82"/>
      <c r="L30" s="84"/>
      <c r="M30" s="84"/>
      <c r="N30" s="82"/>
      <c r="P30" s="82"/>
      <c r="Q30" s="82"/>
      <c r="R30" s="82"/>
      <c r="S30" s="82"/>
      <c r="T30" s="82"/>
      <c r="U30" s="82"/>
      <c r="W30" s="82"/>
      <c r="X30" s="82"/>
      <c r="Y30" s="82"/>
    </row>
    <row r="31" spans="1:25" s="83" customFormat="1">
      <c r="B31" s="82"/>
      <c r="E31" s="84"/>
      <c r="F31" s="84"/>
      <c r="G31" s="84"/>
      <c r="H31" s="84"/>
      <c r="K31" s="82"/>
      <c r="L31" s="84"/>
      <c r="M31" s="84"/>
      <c r="N31" s="82"/>
      <c r="P31" s="82"/>
      <c r="Q31" s="82"/>
      <c r="R31" s="82"/>
      <c r="S31" s="82"/>
      <c r="T31" s="82"/>
      <c r="U31" s="82"/>
      <c r="W31" s="82"/>
      <c r="X31" s="82"/>
      <c r="Y31" s="82"/>
    </row>
    <row r="32" spans="1:25" s="83" customFormat="1">
      <c r="B32" s="82"/>
      <c r="E32" s="84"/>
      <c r="F32" s="84"/>
      <c r="G32" s="84"/>
      <c r="H32" s="84"/>
      <c r="K32" s="82"/>
      <c r="L32" s="84"/>
      <c r="M32" s="84"/>
      <c r="N32" s="82"/>
      <c r="P32" s="82"/>
      <c r="Q32" s="82"/>
      <c r="R32" s="82"/>
      <c r="S32" s="82"/>
      <c r="T32" s="82"/>
      <c r="U32" s="82"/>
      <c r="W32" s="82"/>
      <c r="X32" s="82"/>
      <c r="Y32" s="82"/>
    </row>
    <row r="33" spans="2:25" s="83" customFormat="1">
      <c r="B33" s="82"/>
      <c r="E33" s="84"/>
      <c r="F33" s="84"/>
      <c r="G33" s="84"/>
      <c r="H33" s="84"/>
      <c r="K33" s="82"/>
      <c r="L33" s="84"/>
      <c r="M33" s="84"/>
      <c r="N33" s="82"/>
      <c r="P33" s="82"/>
      <c r="Q33" s="82"/>
      <c r="R33" s="82"/>
      <c r="S33" s="82"/>
      <c r="T33" s="82"/>
      <c r="U33" s="82"/>
      <c r="W33" s="82"/>
      <c r="X33" s="82"/>
      <c r="Y33" s="82"/>
    </row>
    <row r="34" spans="2:25" s="83" customFormat="1">
      <c r="B34" s="82"/>
      <c r="E34" s="84"/>
      <c r="F34" s="84"/>
      <c r="G34" s="84"/>
      <c r="H34" s="84"/>
      <c r="K34" s="82"/>
      <c r="L34" s="84"/>
      <c r="M34" s="84"/>
      <c r="N34" s="82"/>
      <c r="P34" s="82"/>
      <c r="Q34" s="82"/>
      <c r="R34" s="82"/>
      <c r="S34" s="82"/>
      <c r="T34" s="82"/>
      <c r="U34" s="82"/>
      <c r="W34" s="82"/>
      <c r="X34" s="82"/>
      <c r="Y34" s="82"/>
    </row>
    <row r="35" spans="2:25" s="83" customFormat="1">
      <c r="B35" s="82"/>
      <c r="E35" s="84"/>
      <c r="F35" s="84"/>
      <c r="G35" s="84"/>
      <c r="H35" s="84"/>
      <c r="K35" s="82"/>
      <c r="L35" s="84"/>
      <c r="M35" s="84"/>
      <c r="N35" s="82"/>
      <c r="P35" s="82"/>
      <c r="Q35" s="82"/>
      <c r="R35" s="82"/>
      <c r="S35" s="82"/>
      <c r="T35" s="82"/>
      <c r="U35" s="82"/>
      <c r="W35" s="82"/>
      <c r="X35" s="82"/>
      <c r="Y35" s="82"/>
    </row>
    <row r="36" spans="2:25" s="83" customFormat="1">
      <c r="B36" s="82"/>
      <c r="E36" s="84"/>
      <c r="F36" s="84"/>
      <c r="G36" s="84"/>
      <c r="H36" s="84"/>
      <c r="K36" s="82"/>
      <c r="L36" s="84"/>
      <c r="M36" s="84"/>
      <c r="N36" s="82"/>
      <c r="P36" s="82"/>
      <c r="Q36" s="82"/>
      <c r="R36" s="82"/>
      <c r="S36" s="82"/>
      <c r="T36" s="82"/>
      <c r="U36" s="82"/>
      <c r="W36" s="82"/>
      <c r="X36" s="82"/>
      <c r="Y36" s="82"/>
    </row>
    <row r="37" spans="2:25" s="83" customFormat="1">
      <c r="B37" s="82"/>
      <c r="E37" s="84"/>
      <c r="F37" s="84"/>
      <c r="G37" s="84"/>
      <c r="H37" s="84"/>
      <c r="K37" s="82"/>
      <c r="L37" s="84"/>
      <c r="M37" s="84"/>
      <c r="N37" s="82"/>
      <c r="P37" s="82"/>
      <c r="Q37" s="82"/>
      <c r="R37" s="82"/>
      <c r="S37" s="82"/>
      <c r="T37" s="82"/>
      <c r="U37" s="82"/>
      <c r="W37" s="82"/>
      <c r="X37" s="82"/>
      <c r="Y37" s="82"/>
    </row>
    <row r="38" spans="2:25" s="83" customFormat="1">
      <c r="B38" s="82"/>
      <c r="E38" s="84"/>
      <c r="F38" s="84"/>
      <c r="G38" s="84"/>
      <c r="H38" s="84"/>
      <c r="K38" s="82"/>
      <c r="L38" s="84"/>
      <c r="M38" s="84"/>
      <c r="N38" s="82"/>
      <c r="P38" s="82"/>
      <c r="Q38" s="82"/>
      <c r="R38" s="82"/>
      <c r="S38" s="82"/>
      <c r="T38" s="82"/>
      <c r="U38" s="82"/>
      <c r="W38" s="82"/>
      <c r="X38" s="82"/>
      <c r="Y38" s="82"/>
    </row>
    <row r="39" spans="2:25" s="83" customFormat="1">
      <c r="B39" s="82"/>
      <c r="E39" s="84"/>
      <c r="F39" s="84"/>
      <c r="G39" s="84"/>
      <c r="H39" s="84"/>
      <c r="K39" s="82"/>
      <c r="L39" s="84"/>
      <c r="M39" s="84"/>
      <c r="N39" s="82"/>
      <c r="P39" s="82"/>
      <c r="Q39" s="82"/>
      <c r="R39" s="82"/>
      <c r="S39" s="82"/>
      <c r="T39" s="82"/>
      <c r="U39" s="82"/>
      <c r="W39" s="82"/>
      <c r="X39" s="82"/>
      <c r="Y39" s="82"/>
    </row>
    <row r="40" spans="2:25" s="83" customFormat="1">
      <c r="B40" s="82"/>
      <c r="E40" s="84"/>
      <c r="F40" s="84"/>
      <c r="G40" s="84"/>
      <c r="H40" s="84"/>
      <c r="K40" s="82"/>
      <c r="L40" s="84"/>
      <c r="M40" s="84"/>
      <c r="N40" s="82"/>
      <c r="P40" s="82"/>
      <c r="Q40" s="82"/>
      <c r="R40" s="82"/>
      <c r="S40" s="82"/>
      <c r="T40" s="82"/>
      <c r="U40" s="82"/>
      <c r="W40" s="82"/>
      <c r="X40" s="82"/>
      <c r="Y40" s="82"/>
    </row>
    <row r="41" spans="2:25" s="83" customFormat="1">
      <c r="B41" s="82"/>
      <c r="E41" s="84"/>
      <c r="F41" s="84"/>
      <c r="G41" s="84"/>
      <c r="H41" s="84"/>
      <c r="K41" s="82"/>
      <c r="L41" s="84"/>
      <c r="M41" s="84"/>
      <c r="N41" s="82"/>
      <c r="P41" s="82"/>
      <c r="Q41" s="82"/>
      <c r="R41" s="82"/>
      <c r="S41" s="82"/>
      <c r="T41" s="82"/>
      <c r="U41" s="82"/>
      <c r="W41" s="82"/>
      <c r="X41" s="82"/>
      <c r="Y41" s="82"/>
    </row>
    <row r="42" spans="2:25" s="83" customFormat="1">
      <c r="B42" s="82"/>
      <c r="E42" s="84"/>
      <c r="F42" s="84"/>
      <c r="G42" s="84"/>
      <c r="H42" s="84"/>
      <c r="K42" s="82"/>
      <c r="L42" s="84"/>
      <c r="M42" s="84"/>
      <c r="N42" s="82"/>
      <c r="P42" s="82"/>
      <c r="Q42" s="82"/>
      <c r="R42" s="82"/>
      <c r="S42" s="82"/>
      <c r="T42" s="82"/>
      <c r="U42" s="82"/>
      <c r="W42" s="82"/>
      <c r="X42" s="82"/>
      <c r="Y42" s="82"/>
    </row>
    <row r="43" spans="2:25" s="83" customFormat="1">
      <c r="B43" s="82"/>
      <c r="E43" s="84"/>
      <c r="F43" s="84"/>
      <c r="G43" s="84"/>
      <c r="H43" s="84"/>
      <c r="K43" s="82"/>
      <c r="L43" s="84"/>
      <c r="M43" s="84"/>
      <c r="N43" s="82"/>
      <c r="P43" s="82"/>
      <c r="Q43" s="82"/>
      <c r="R43" s="82"/>
      <c r="S43" s="82"/>
      <c r="T43" s="82"/>
      <c r="U43" s="82"/>
      <c r="W43" s="82"/>
      <c r="X43" s="82"/>
      <c r="Y43" s="82"/>
    </row>
    <row r="44" spans="2:25" s="83" customFormat="1">
      <c r="B44" s="82"/>
      <c r="E44" s="84"/>
      <c r="F44" s="84"/>
      <c r="G44" s="84"/>
      <c r="H44" s="84"/>
      <c r="K44" s="82"/>
      <c r="L44" s="84"/>
      <c r="M44" s="84"/>
      <c r="N44" s="82"/>
      <c r="P44" s="82"/>
      <c r="Q44" s="82"/>
      <c r="R44" s="82"/>
      <c r="S44" s="82"/>
      <c r="T44" s="82"/>
      <c r="U44" s="82"/>
      <c r="W44" s="82"/>
      <c r="X44" s="82"/>
      <c r="Y44" s="82"/>
    </row>
    <row r="45" spans="2:25" s="83" customFormat="1">
      <c r="B45" s="82"/>
      <c r="E45" s="84"/>
      <c r="F45" s="84"/>
      <c r="G45" s="84"/>
      <c r="H45" s="84"/>
      <c r="K45" s="82"/>
      <c r="L45" s="84"/>
      <c r="M45" s="84"/>
      <c r="N45" s="82"/>
      <c r="P45" s="82"/>
      <c r="Q45" s="82"/>
      <c r="R45" s="82"/>
      <c r="S45" s="82"/>
      <c r="T45" s="82"/>
      <c r="U45" s="82"/>
      <c r="W45" s="82"/>
      <c r="X45" s="82"/>
      <c r="Y45" s="82"/>
    </row>
    <row r="46" spans="2:25" s="83" customFormat="1">
      <c r="B46" s="82"/>
      <c r="E46" s="84"/>
      <c r="F46" s="84"/>
      <c r="G46" s="84"/>
      <c r="H46" s="84"/>
      <c r="K46" s="82"/>
      <c r="L46" s="84"/>
      <c r="M46" s="84"/>
      <c r="N46" s="82"/>
      <c r="P46" s="82"/>
      <c r="Q46" s="82"/>
      <c r="R46" s="82"/>
      <c r="S46" s="82"/>
      <c r="T46" s="82"/>
      <c r="U46" s="82"/>
      <c r="W46" s="82"/>
      <c r="X46" s="82"/>
      <c r="Y46" s="82"/>
    </row>
    <row r="47" spans="2:25" s="83" customFormat="1">
      <c r="B47" s="82"/>
      <c r="E47" s="84"/>
      <c r="F47" s="84"/>
      <c r="G47" s="84"/>
      <c r="H47" s="84"/>
      <c r="K47" s="82"/>
      <c r="L47" s="84"/>
      <c r="M47" s="84"/>
      <c r="N47" s="82"/>
      <c r="P47" s="82"/>
      <c r="Q47" s="82"/>
      <c r="R47" s="82"/>
      <c r="S47" s="82"/>
      <c r="T47" s="82"/>
      <c r="U47" s="82"/>
      <c r="W47" s="82"/>
      <c r="X47" s="82"/>
      <c r="Y47" s="82"/>
    </row>
    <row r="48" spans="2:25" s="83" customFormat="1">
      <c r="B48" s="82"/>
      <c r="E48" s="84"/>
      <c r="F48" s="84"/>
      <c r="G48" s="84"/>
      <c r="H48" s="84"/>
      <c r="K48" s="82"/>
      <c r="L48" s="84"/>
      <c r="M48" s="84"/>
      <c r="N48" s="82"/>
      <c r="P48" s="82"/>
      <c r="Q48" s="82"/>
      <c r="R48" s="82"/>
      <c r="S48" s="82"/>
      <c r="T48" s="82"/>
      <c r="U48" s="82"/>
      <c r="W48" s="82"/>
      <c r="X48" s="82"/>
      <c r="Y48" s="82"/>
    </row>
    <row r="49" spans="2:25" s="83" customFormat="1">
      <c r="B49" s="82"/>
      <c r="E49" s="84"/>
      <c r="F49" s="84"/>
      <c r="G49" s="84"/>
      <c r="H49" s="84"/>
      <c r="K49" s="82"/>
      <c r="L49" s="84"/>
      <c r="M49" s="84"/>
      <c r="N49" s="82"/>
      <c r="P49" s="82"/>
      <c r="Q49" s="82"/>
      <c r="R49" s="82"/>
      <c r="S49" s="82"/>
      <c r="T49" s="82"/>
      <c r="U49" s="82"/>
      <c r="W49" s="82"/>
      <c r="X49" s="82"/>
      <c r="Y49" s="82"/>
    </row>
    <row r="50" spans="2:25" s="83" customFormat="1">
      <c r="B50" s="82"/>
      <c r="E50" s="84"/>
      <c r="F50" s="84"/>
      <c r="G50" s="84"/>
      <c r="H50" s="84"/>
      <c r="K50" s="82"/>
      <c r="L50" s="84"/>
      <c r="M50" s="84"/>
      <c r="N50" s="82"/>
      <c r="P50" s="82"/>
      <c r="Q50" s="82"/>
      <c r="R50" s="82"/>
      <c r="S50" s="82"/>
      <c r="T50" s="82"/>
      <c r="U50" s="82"/>
      <c r="W50" s="82"/>
      <c r="X50" s="82"/>
      <c r="Y50" s="82"/>
    </row>
    <row r="51" spans="2:25" s="83" customFormat="1">
      <c r="B51" s="82"/>
      <c r="E51" s="84"/>
      <c r="F51" s="84"/>
      <c r="G51" s="84"/>
      <c r="H51" s="84"/>
      <c r="K51" s="82"/>
      <c r="L51" s="84"/>
      <c r="M51" s="84"/>
      <c r="N51" s="82"/>
      <c r="P51" s="82"/>
      <c r="Q51" s="82"/>
      <c r="R51" s="82"/>
      <c r="S51" s="82"/>
      <c r="T51" s="82"/>
      <c r="U51" s="82"/>
      <c r="W51" s="82"/>
      <c r="X51" s="82"/>
      <c r="Y51" s="82"/>
    </row>
    <row r="52" spans="2:25" s="83" customFormat="1">
      <c r="B52" s="82"/>
      <c r="E52" s="84"/>
      <c r="F52" s="84"/>
      <c r="G52" s="84"/>
      <c r="H52" s="84"/>
      <c r="K52" s="82"/>
      <c r="L52" s="84"/>
      <c r="M52" s="84"/>
      <c r="N52" s="82"/>
      <c r="P52" s="82"/>
      <c r="Q52" s="82"/>
      <c r="R52" s="82"/>
      <c r="S52" s="82"/>
      <c r="T52" s="82"/>
      <c r="U52" s="82"/>
      <c r="W52" s="82"/>
      <c r="X52" s="82"/>
      <c r="Y52" s="82"/>
    </row>
    <row r="53" spans="2:25" s="83" customFormat="1">
      <c r="B53" s="82"/>
      <c r="E53" s="84"/>
      <c r="F53" s="84"/>
      <c r="G53" s="84"/>
      <c r="H53" s="84"/>
      <c r="K53" s="82"/>
      <c r="L53" s="84"/>
      <c r="M53" s="84"/>
      <c r="N53" s="82"/>
      <c r="P53" s="82"/>
      <c r="Q53" s="82"/>
      <c r="R53" s="82"/>
      <c r="S53" s="82"/>
      <c r="T53" s="82"/>
      <c r="U53" s="82"/>
      <c r="W53" s="82"/>
      <c r="X53" s="82"/>
      <c r="Y53" s="82"/>
    </row>
    <row r="54" spans="2:25" s="83" customFormat="1">
      <c r="B54" s="82"/>
      <c r="E54" s="84"/>
      <c r="F54" s="84"/>
      <c r="G54" s="84"/>
      <c r="H54" s="84"/>
      <c r="K54" s="82"/>
      <c r="L54" s="84"/>
      <c r="M54" s="84"/>
      <c r="N54" s="82"/>
      <c r="P54" s="82"/>
      <c r="Q54" s="82"/>
      <c r="R54" s="82"/>
      <c r="S54" s="82"/>
      <c r="T54" s="82"/>
      <c r="U54" s="82"/>
      <c r="W54" s="82"/>
      <c r="X54" s="82"/>
      <c r="Y54" s="82"/>
    </row>
    <row r="55" spans="2:25" s="83" customFormat="1">
      <c r="B55" s="82"/>
      <c r="E55" s="84"/>
      <c r="F55" s="84"/>
      <c r="G55" s="84"/>
      <c r="H55" s="84"/>
      <c r="K55" s="82"/>
      <c r="L55" s="84"/>
      <c r="M55" s="84"/>
      <c r="N55" s="82"/>
      <c r="P55" s="82"/>
      <c r="Q55" s="82"/>
      <c r="R55" s="82"/>
      <c r="S55" s="82"/>
      <c r="T55" s="82"/>
      <c r="U55" s="82"/>
      <c r="W55" s="82"/>
      <c r="X55" s="82"/>
      <c r="Y55" s="82"/>
    </row>
    <row r="56" spans="2:25" s="83" customFormat="1">
      <c r="B56" s="82"/>
      <c r="E56" s="84"/>
      <c r="F56" s="84"/>
      <c r="G56" s="84"/>
      <c r="H56" s="84"/>
      <c r="K56" s="82"/>
      <c r="L56" s="84"/>
      <c r="M56" s="84"/>
      <c r="N56" s="82"/>
      <c r="P56" s="82"/>
      <c r="Q56" s="82"/>
      <c r="R56" s="82"/>
      <c r="S56" s="82"/>
      <c r="T56" s="82"/>
      <c r="U56" s="82"/>
      <c r="W56" s="82"/>
      <c r="X56" s="82"/>
      <c r="Y56" s="82"/>
    </row>
    <row r="57" spans="2:25" s="83" customFormat="1">
      <c r="B57" s="82"/>
      <c r="E57" s="84"/>
      <c r="F57" s="84"/>
      <c r="G57" s="84"/>
      <c r="H57" s="84"/>
      <c r="K57" s="82"/>
      <c r="L57" s="84"/>
      <c r="M57" s="84"/>
      <c r="N57" s="82"/>
      <c r="P57" s="82"/>
      <c r="Q57" s="82"/>
      <c r="R57" s="82"/>
      <c r="S57" s="82"/>
      <c r="T57" s="82"/>
      <c r="U57" s="82"/>
      <c r="W57" s="82"/>
      <c r="X57" s="82"/>
      <c r="Y57" s="82"/>
    </row>
    <row r="58" spans="2:25" s="83" customFormat="1">
      <c r="B58" s="82"/>
      <c r="E58" s="84"/>
      <c r="F58" s="84"/>
      <c r="G58" s="84"/>
      <c r="H58" s="84"/>
      <c r="K58" s="82"/>
      <c r="L58" s="84"/>
      <c r="M58" s="84"/>
      <c r="N58" s="82"/>
      <c r="P58" s="82"/>
      <c r="Q58" s="82"/>
      <c r="R58" s="82"/>
      <c r="S58" s="82"/>
      <c r="T58" s="82"/>
      <c r="U58" s="82"/>
      <c r="W58" s="82"/>
      <c r="X58" s="82"/>
      <c r="Y58" s="82"/>
    </row>
    <row r="59" spans="2:25" s="83" customFormat="1">
      <c r="B59" s="82"/>
      <c r="E59" s="84"/>
      <c r="F59" s="84"/>
      <c r="G59" s="84"/>
      <c r="H59" s="84"/>
      <c r="K59" s="82"/>
      <c r="L59" s="84"/>
      <c r="M59" s="84"/>
      <c r="N59" s="82"/>
      <c r="P59" s="82"/>
      <c r="Q59" s="82"/>
      <c r="R59" s="82"/>
      <c r="S59" s="82"/>
      <c r="T59" s="82"/>
      <c r="U59" s="82"/>
      <c r="W59" s="82"/>
      <c r="X59" s="82"/>
      <c r="Y59" s="82"/>
    </row>
    <row r="60" spans="2:25" s="83" customFormat="1">
      <c r="B60" s="82"/>
      <c r="E60" s="84"/>
      <c r="F60" s="84"/>
      <c r="G60" s="84"/>
      <c r="H60" s="84"/>
      <c r="K60" s="82"/>
      <c r="L60" s="84"/>
      <c r="M60" s="84"/>
      <c r="N60" s="82"/>
      <c r="P60" s="82"/>
      <c r="Q60" s="82"/>
      <c r="R60" s="82"/>
      <c r="S60" s="82"/>
      <c r="T60" s="82"/>
      <c r="U60" s="82"/>
      <c r="W60" s="82"/>
      <c r="X60" s="82"/>
      <c r="Y60" s="82"/>
    </row>
    <row r="61" spans="2:25" s="83" customFormat="1">
      <c r="B61" s="82"/>
      <c r="E61" s="84"/>
      <c r="F61" s="84"/>
      <c r="G61" s="84"/>
      <c r="H61" s="84"/>
      <c r="K61" s="82"/>
      <c r="L61" s="84"/>
      <c r="M61" s="84"/>
      <c r="N61" s="82"/>
      <c r="P61" s="82"/>
      <c r="Q61" s="82"/>
      <c r="R61" s="82"/>
      <c r="S61" s="82"/>
      <c r="T61" s="82"/>
      <c r="U61" s="82"/>
      <c r="W61" s="82"/>
      <c r="X61" s="82"/>
      <c r="Y61" s="82"/>
    </row>
    <row r="62" spans="2:25" s="83" customFormat="1">
      <c r="B62" s="82"/>
      <c r="E62" s="84"/>
      <c r="F62" s="84"/>
      <c r="G62" s="84"/>
      <c r="H62" s="84"/>
      <c r="K62" s="82"/>
      <c r="L62" s="84"/>
      <c r="M62" s="84"/>
      <c r="N62" s="82"/>
      <c r="P62" s="82"/>
      <c r="Q62" s="82"/>
      <c r="R62" s="82"/>
      <c r="S62" s="82"/>
      <c r="T62" s="82"/>
      <c r="U62" s="82"/>
      <c r="W62" s="82"/>
      <c r="X62" s="82"/>
      <c r="Y62" s="82"/>
    </row>
    <row r="63" spans="2:25" s="83" customFormat="1">
      <c r="B63" s="82"/>
      <c r="E63" s="84"/>
      <c r="F63" s="84"/>
      <c r="G63" s="84"/>
      <c r="H63" s="84"/>
      <c r="K63" s="82"/>
      <c r="L63" s="84"/>
      <c r="M63" s="84"/>
      <c r="N63" s="82"/>
      <c r="P63" s="82"/>
      <c r="Q63" s="82"/>
      <c r="R63" s="82"/>
      <c r="S63" s="82"/>
      <c r="T63" s="82"/>
      <c r="U63" s="82"/>
      <c r="W63" s="82"/>
      <c r="X63" s="82"/>
      <c r="Y63" s="82"/>
    </row>
    <row r="64" spans="2:25" s="83" customFormat="1">
      <c r="B64" s="82"/>
      <c r="E64" s="84"/>
      <c r="F64" s="84"/>
      <c r="G64" s="84"/>
      <c r="H64" s="84"/>
      <c r="K64" s="82"/>
      <c r="L64" s="84"/>
      <c r="M64" s="84"/>
      <c r="N64" s="82"/>
      <c r="P64" s="82"/>
      <c r="Q64" s="82"/>
      <c r="R64" s="82"/>
      <c r="S64" s="82"/>
      <c r="T64" s="82"/>
      <c r="U64" s="82"/>
      <c r="W64" s="82"/>
      <c r="X64" s="82"/>
      <c r="Y64" s="82"/>
    </row>
    <row r="65" spans="2:25" s="83" customFormat="1">
      <c r="B65" s="82"/>
      <c r="E65" s="84"/>
      <c r="F65" s="84"/>
      <c r="G65" s="84"/>
      <c r="H65" s="84"/>
      <c r="K65" s="82"/>
      <c r="L65" s="84"/>
      <c r="M65" s="84"/>
      <c r="N65" s="82"/>
      <c r="P65" s="82"/>
      <c r="Q65" s="82"/>
      <c r="R65" s="82"/>
      <c r="S65" s="82"/>
      <c r="T65" s="82"/>
      <c r="U65" s="82"/>
      <c r="W65" s="82"/>
      <c r="X65" s="82"/>
      <c r="Y65" s="82"/>
    </row>
    <row r="66" spans="2:25" s="83" customFormat="1">
      <c r="B66" s="82"/>
      <c r="E66" s="84"/>
      <c r="F66" s="84"/>
      <c r="G66" s="84"/>
      <c r="H66" s="84"/>
      <c r="K66" s="82"/>
      <c r="L66" s="84"/>
      <c r="M66" s="84"/>
      <c r="N66" s="82"/>
      <c r="P66" s="82"/>
      <c r="Q66" s="82"/>
      <c r="R66" s="82"/>
      <c r="S66" s="82"/>
      <c r="T66" s="82"/>
      <c r="U66" s="82"/>
      <c r="W66" s="82"/>
      <c r="X66" s="82"/>
      <c r="Y66" s="82"/>
    </row>
    <row r="67" spans="2:25" s="83" customFormat="1">
      <c r="B67" s="82"/>
      <c r="E67" s="84"/>
      <c r="F67" s="84"/>
      <c r="G67" s="84"/>
      <c r="H67" s="84"/>
      <c r="K67" s="82"/>
      <c r="L67" s="84"/>
      <c r="M67" s="84"/>
      <c r="N67" s="82"/>
      <c r="P67" s="82"/>
      <c r="Q67" s="82"/>
      <c r="R67" s="82"/>
      <c r="S67" s="82"/>
      <c r="T67" s="82"/>
      <c r="U67" s="82"/>
      <c r="W67" s="82"/>
      <c r="X67" s="82"/>
      <c r="Y67" s="82"/>
    </row>
    <row r="68" spans="2:25" s="83" customFormat="1">
      <c r="B68" s="82"/>
      <c r="E68" s="84"/>
      <c r="F68" s="84"/>
      <c r="G68" s="84"/>
      <c r="H68" s="84"/>
      <c r="K68" s="82"/>
      <c r="L68" s="84"/>
      <c r="M68" s="84"/>
      <c r="N68" s="82"/>
      <c r="P68" s="82"/>
      <c r="Q68" s="82"/>
      <c r="R68" s="82"/>
      <c r="S68" s="82"/>
      <c r="T68" s="82"/>
      <c r="U68" s="82"/>
      <c r="W68" s="82"/>
      <c r="X68" s="82"/>
      <c r="Y68" s="82"/>
    </row>
    <row r="69" spans="2:25" s="83" customFormat="1">
      <c r="B69" s="82"/>
      <c r="E69" s="84"/>
      <c r="F69" s="84"/>
      <c r="G69" s="84"/>
      <c r="H69" s="84"/>
      <c r="K69" s="82"/>
      <c r="L69" s="84"/>
      <c r="M69" s="84"/>
      <c r="N69" s="82"/>
      <c r="P69" s="82"/>
      <c r="Q69" s="82"/>
      <c r="R69" s="82"/>
      <c r="S69" s="82"/>
      <c r="T69" s="82"/>
      <c r="U69" s="82"/>
      <c r="W69" s="82"/>
      <c r="X69" s="82"/>
      <c r="Y69" s="82"/>
    </row>
    <row r="70" spans="2:25" s="83" customFormat="1">
      <c r="B70" s="82"/>
      <c r="E70" s="84"/>
      <c r="F70" s="84"/>
      <c r="G70" s="84"/>
      <c r="H70" s="84"/>
      <c r="K70" s="82"/>
      <c r="L70" s="84"/>
      <c r="M70" s="84"/>
      <c r="N70" s="82"/>
      <c r="P70" s="82"/>
      <c r="Q70" s="82"/>
      <c r="R70" s="82"/>
      <c r="S70" s="82"/>
      <c r="T70" s="82"/>
      <c r="U70" s="82"/>
      <c r="W70" s="82"/>
      <c r="X70" s="82"/>
      <c r="Y70" s="82"/>
    </row>
    <row r="71" spans="2:25" s="83" customFormat="1">
      <c r="B71" s="82"/>
      <c r="E71" s="84"/>
      <c r="F71" s="84"/>
      <c r="G71" s="84"/>
      <c r="H71" s="84"/>
      <c r="K71" s="82"/>
      <c r="L71" s="84"/>
      <c r="M71" s="84"/>
      <c r="N71" s="82"/>
      <c r="P71" s="82"/>
      <c r="Q71" s="82"/>
      <c r="R71" s="82"/>
      <c r="S71" s="82"/>
      <c r="T71" s="82"/>
      <c r="U71" s="82"/>
      <c r="W71" s="82"/>
      <c r="X71" s="82"/>
      <c r="Y71" s="82"/>
    </row>
    <row r="72" spans="2:25" s="83" customFormat="1">
      <c r="B72" s="82"/>
      <c r="E72" s="84"/>
      <c r="F72" s="84"/>
      <c r="G72" s="84"/>
      <c r="H72" s="84"/>
      <c r="K72" s="82"/>
      <c r="L72" s="84"/>
      <c r="M72" s="84"/>
      <c r="N72" s="82"/>
      <c r="P72" s="82"/>
      <c r="Q72" s="82"/>
      <c r="R72" s="82"/>
      <c r="S72" s="82"/>
      <c r="T72" s="82"/>
      <c r="U72" s="82"/>
      <c r="W72" s="82"/>
      <c r="X72" s="82"/>
      <c r="Y72" s="82"/>
    </row>
    <row r="73" spans="2:25" s="83" customFormat="1">
      <c r="B73" s="82"/>
      <c r="E73" s="84"/>
      <c r="F73" s="84"/>
      <c r="G73" s="84"/>
      <c r="H73" s="84"/>
      <c r="K73" s="82"/>
      <c r="L73" s="84"/>
      <c r="M73" s="84"/>
      <c r="N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2:25" s="83" customFormat="1">
      <c r="B74" s="82"/>
      <c r="E74" s="84"/>
      <c r="F74" s="84"/>
      <c r="G74" s="84"/>
      <c r="H74" s="84"/>
      <c r="K74" s="82"/>
      <c r="L74" s="84"/>
      <c r="M74" s="84"/>
      <c r="N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2:25" s="83" customFormat="1">
      <c r="B75" s="82"/>
      <c r="E75" s="84"/>
      <c r="F75" s="84"/>
      <c r="G75" s="84"/>
      <c r="H75" s="84"/>
      <c r="K75" s="82"/>
      <c r="L75" s="84"/>
      <c r="M75" s="84"/>
      <c r="N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2:25" s="83" customFormat="1">
      <c r="B76" s="82"/>
      <c r="E76" s="84"/>
      <c r="F76" s="84"/>
      <c r="G76" s="84"/>
      <c r="H76" s="84"/>
      <c r="K76" s="82"/>
      <c r="L76" s="84"/>
      <c r="M76" s="84"/>
      <c r="N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2:25" s="83" customFormat="1">
      <c r="B77" s="82"/>
      <c r="E77" s="84"/>
      <c r="F77" s="84"/>
      <c r="G77" s="84"/>
      <c r="H77" s="84"/>
      <c r="K77" s="82"/>
      <c r="L77" s="84"/>
      <c r="M77" s="84"/>
      <c r="N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2:25" s="83" customFormat="1">
      <c r="B78" s="82"/>
      <c r="E78" s="84"/>
      <c r="F78" s="84"/>
      <c r="G78" s="84"/>
      <c r="H78" s="84"/>
      <c r="K78" s="82"/>
      <c r="L78" s="84"/>
      <c r="M78" s="84"/>
      <c r="N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2:25" s="83" customFormat="1">
      <c r="B79" s="82"/>
      <c r="E79" s="84"/>
      <c r="F79" s="84"/>
      <c r="G79" s="84"/>
      <c r="H79" s="84"/>
      <c r="K79" s="82"/>
      <c r="L79" s="84"/>
      <c r="M79" s="84"/>
      <c r="N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spans="2:25" s="83" customFormat="1">
      <c r="B80" s="82"/>
      <c r="E80" s="84"/>
      <c r="F80" s="84"/>
      <c r="G80" s="84"/>
      <c r="H80" s="84"/>
      <c r="K80" s="82"/>
      <c r="L80" s="84"/>
      <c r="M80" s="84"/>
      <c r="N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spans="2:25" s="83" customFormat="1">
      <c r="B81" s="82"/>
      <c r="E81" s="84"/>
      <c r="F81" s="84"/>
      <c r="G81" s="84"/>
      <c r="H81" s="84"/>
      <c r="K81" s="82"/>
      <c r="L81" s="84"/>
      <c r="M81" s="84"/>
      <c r="N81" s="82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spans="2:25" s="83" customFormat="1">
      <c r="B82" s="82"/>
      <c r="E82" s="84"/>
      <c r="F82" s="84"/>
      <c r="G82" s="84"/>
      <c r="H82" s="84"/>
      <c r="K82" s="82"/>
      <c r="L82" s="84"/>
      <c r="M82" s="84"/>
      <c r="N82" s="82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spans="2:25" s="83" customFormat="1">
      <c r="B83" s="82"/>
      <c r="E83" s="84"/>
      <c r="F83" s="84"/>
      <c r="G83" s="84"/>
      <c r="H83" s="84"/>
      <c r="K83" s="82"/>
      <c r="L83" s="84"/>
      <c r="M83" s="84"/>
      <c r="N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2:25" s="83" customFormat="1">
      <c r="B84" s="82"/>
      <c r="E84" s="84"/>
      <c r="F84" s="84"/>
      <c r="G84" s="84"/>
      <c r="H84" s="84"/>
      <c r="K84" s="82"/>
      <c r="L84" s="84"/>
      <c r="M84" s="84"/>
      <c r="N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</sheetData>
  <autoFilter ref="A7:X19" xr:uid="{00000000-0009-0000-0000-000018000000}"/>
  <mergeCells count="6">
    <mergeCell ref="P22:U22"/>
    <mergeCell ref="N6:U6"/>
    <mergeCell ref="K22:M22"/>
    <mergeCell ref="I6:M6"/>
    <mergeCell ref="E6:H6"/>
    <mergeCell ref="G22:H22"/>
  </mergeCells>
  <conditionalFormatting sqref="K10:M18 G10:H18 P10:U18">
    <cfRule type="cellIs" dxfId="0" priority="3" operator="notEqual">
      <formula>0</formula>
    </cfRule>
  </conditionalFormatting>
  <pageMargins left="0.51181102362204722" right="0.51181102362204722" top="0.55118110236220474" bottom="0.35433070866141736" header="0.31496062992125984" footer="0.11811023622047245"/>
  <pageSetup paperSize="9" scale="34" fitToHeight="0" orientation="portrait" horizontalDpi="4294967295" verticalDpi="4294967295" r:id="rId1"/>
  <headerFooter>
    <oddFooter>&amp;L&amp;"Arial,Normálne"Šaľa, 13.11.2017&amp;C&amp;"Arial,Normálne"&amp;P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66"/>
    <pageSetUpPr fitToPage="1"/>
  </sheetPr>
  <dimension ref="A1:Q392"/>
  <sheetViews>
    <sheetView zoomScaleNormal="100" workbookViewId="0">
      <pane ySplit="7" topLeftCell="A194" activePane="bottomLeft" state="frozenSplit"/>
      <selection activeCell="H234" sqref="H234"/>
      <selection pane="bottomLeft" activeCell="H344" sqref="H344"/>
    </sheetView>
  </sheetViews>
  <sheetFormatPr defaultColWidth="9" defaultRowHeight="12" customHeight="1" outlineLevelCol="1"/>
  <cols>
    <col min="1" max="1" width="6.140625" style="33" customWidth="1"/>
    <col min="2" max="2" width="5.7109375" style="33" customWidth="1"/>
    <col min="3" max="3" width="17.855468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hidden="1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10" t="s">
        <v>662</v>
      </c>
      <c r="B1" s="1110"/>
      <c r="C1" s="1110"/>
      <c r="D1" s="1110"/>
      <c r="E1" s="1110"/>
      <c r="F1" s="1110"/>
      <c r="G1" s="1110"/>
      <c r="H1" s="1110"/>
    </row>
    <row r="2" spans="1:14" s="22" customFormat="1" ht="18" customHeight="1">
      <c r="A2" s="55" t="s">
        <v>77</v>
      </c>
      <c r="B2" s="29"/>
      <c r="C2" s="55" t="s">
        <v>2664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659</v>
      </c>
      <c r="D3" s="31"/>
      <c r="E3" s="76"/>
      <c r="F3" s="3" t="s">
        <v>2</v>
      </c>
      <c r="G3" s="155">
        <v>44670</v>
      </c>
      <c r="H3" s="1048"/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660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SUM(H10,H37,H70,H97,H117,H130,H182,H209)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SUM(H11:H36)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>
      <c r="A11" s="156">
        <v>1</v>
      </c>
      <c r="B11" s="157" t="s">
        <v>29</v>
      </c>
      <c r="C11" s="158">
        <v>1312011011</v>
      </c>
      <c r="D11" s="158" t="s">
        <v>51</v>
      </c>
      <c r="E11" s="157" t="s">
        <v>12</v>
      </c>
      <c r="F11" s="159">
        <f>F15</f>
        <v>57.879999999999995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145" customFormat="1">
      <c r="A12" s="161"/>
      <c r="B12" s="162"/>
      <c r="C12" s="162"/>
      <c r="D12" s="163" t="s">
        <v>258</v>
      </c>
      <c r="E12" s="164"/>
      <c r="F12" s="57">
        <f>ROUND(13.1*8.3*0.3,2)</f>
        <v>32.619999999999997</v>
      </c>
      <c r="G12" s="162"/>
      <c r="H12" s="165"/>
      <c r="I12" s="23"/>
      <c r="J12" s="39"/>
      <c r="K12" s="43"/>
      <c r="L12" s="23"/>
      <c r="M12" s="54"/>
    </row>
    <row r="13" spans="1:14" s="145" customFormat="1">
      <c r="A13" s="161"/>
      <c r="B13" s="162"/>
      <c r="C13" s="162"/>
      <c r="D13" s="163" t="s">
        <v>259</v>
      </c>
      <c r="E13" s="164"/>
      <c r="F13" s="57">
        <f>ROUND((2*12.5+3*5.7)*0.6*1,2)</f>
        <v>25.26</v>
      </c>
      <c r="G13" s="162"/>
      <c r="H13" s="165"/>
      <c r="I13" s="23"/>
      <c r="J13" s="39"/>
      <c r="K13" s="43"/>
      <c r="L13" s="23"/>
      <c r="M13" s="54"/>
    </row>
    <row r="14" spans="1:14" s="145" customFormat="1" ht="22.5">
      <c r="A14" s="161"/>
      <c r="B14" s="162"/>
      <c r="C14" s="162"/>
      <c r="D14" s="217" t="s">
        <v>399</v>
      </c>
      <c r="E14" s="164"/>
      <c r="F14" s="57"/>
      <c r="G14" s="162"/>
      <c r="H14" s="165"/>
      <c r="I14" s="23"/>
      <c r="J14" s="39"/>
      <c r="K14" s="43"/>
      <c r="L14" s="23"/>
      <c r="M14" s="54"/>
    </row>
    <row r="15" spans="1:14" s="145" customFormat="1">
      <c r="A15" s="6"/>
      <c r="B15" s="166"/>
      <c r="C15" s="166"/>
      <c r="D15" s="167" t="s">
        <v>26</v>
      </c>
      <c r="E15" s="62"/>
      <c r="F15" s="168">
        <f>SUM(F12:F13)</f>
        <v>57.879999999999995</v>
      </c>
      <c r="G15" s="166"/>
      <c r="H15" s="169"/>
      <c r="I15" s="23"/>
      <c r="J15" s="39"/>
      <c r="K15" s="43"/>
      <c r="L15" s="23"/>
      <c r="M15" s="54"/>
    </row>
    <row r="16" spans="1:14" s="145" customFormat="1" ht="48">
      <c r="A16" s="156">
        <f>A11+1</f>
        <v>2</v>
      </c>
      <c r="B16" s="157" t="s">
        <v>29</v>
      </c>
      <c r="C16" s="158">
        <v>162201102</v>
      </c>
      <c r="D16" s="158" t="s">
        <v>143</v>
      </c>
      <c r="E16" s="157" t="s">
        <v>12</v>
      </c>
      <c r="F16" s="159">
        <f>F18</f>
        <v>9.42</v>
      </c>
      <c r="G16" s="160"/>
      <c r="H16" s="71">
        <f>ROUND(F16*G16,2)</f>
        <v>0</v>
      </c>
      <c r="I16" s="23"/>
      <c r="J16" s="42">
        <v>1</v>
      </c>
      <c r="K16" s="43"/>
      <c r="L16" s="23"/>
      <c r="M16" s="54"/>
    </row>
    <row r="17" spans="1:13" s="145" customFormat="1">
      <c r="A17" s="6"/>
      <c r="B17" s="166"/>
      <c r="C17" s="166"/>
      <c r="D17" s="170" t="s">
        <v>262</v>
      </c>
      <c r="E17" s="77"/>
      <c r="F17" s="171">
        <v>9.42</v>
      </c>
      <c r="G17" s="166"/>
      <c r="H17" s="169"/>
      <c r="I17" s="23"/>
      <c r="J17" s="39"/>
      <c r="K17" s="43"/>
      <c r="L17" s="23"/>
      <c r="M17" s="54"/>
    </row>
    <row r="18" spans="1:13" s="145" customFormat="1">
      <c r="A18" s="6"/>
      <c r="B18" s="166"/>
      <c r="C18" s="166"/>
      <c r="D18" s="167" t="s">
        <v>26</v>
      </c>
      <c r="E18" s="62"/>
      <c r="F18" s="168">
        <f>SUM(F17:F17)</f>
        <v>9.42</v>
      </c>
      <c r="G18" s="166"/>
      <c r="H18" s="169"/>
      <c r="I18" s="23"/>
      <c r="J18" s="39"/>
      <c r="K18" s="43"/>
      <c r="L18" s="23"/>
      <c r="M18" s="54"/>
    </row>
    <row r="19" spans="1:13" s="145" customFormat="1" ht="36">
      <c r="A19" s="156">
        <f>A16+1</f>
        <v>3</v>
      </c>
      <c r="B19" s="157" t="s">
        <v>29</v>
      </c>
      <c r="C19" s="158">
        <v>162501102</v>
      </c>
      <c r="D19" s="158" t="s">
        <v>144</v>
      </c>
      <c r="E19" s="157" t="s">
        <v>12</v>
      </c>
      <c r="F19" s="159">
        <f>F21</f>
        <v>48.46</v>
      </c>
      <c r="G19" s="160"/>
      <c r="H19" s="71">
        <f>ROUND(F19*G19,2)</f>
        <v>0</v>
      </c>
      <c r="I19" s="23"/>
      <c r="J19" s="42">
        <v>1</v>
      </c>
      <c r="K19" s="43"/>
      <c r="L19" s="23"/>
      <c r="M19" s="54"/>
    </row>
    <row r="20" spans="1:13" s="145" customFormat="1">
      <c r="A20" s="6"/>
      <c r="B20" s="166"/>
      <c r="C20" s="166"/>
      <c r="D20" s="170" t="s">
        <v>263</v>
      </c>
      <c r="E20" s="77"/>
      <c r="F20" s="171">
        <f>57.88-9.42</f>
        <v>48.46</v>
      </c>
      <c r="G20" s="166"/>
      <c r="H20" s="169"/>
      <c r="I20" s="23"/>
      <c r="J20" s="39"/>
      <c r="K20" s="43"/>
      <c r="L20" s="23"/>
      <c r="M20" s="54"/>
    </row>
    <row r="21" spans="1:13" s="145" customFormat="1">
      <c r="A21" s="6"/>
      <c r="B21" s="166"/>
      <c r="C21" s="166"/>
      <c r="D21" s="167" t="s">
        <v>26</v>
      </c>
      <c r="E21" s="62"/>
      <c r="F21" s="168">
        <f>SUM(F20:F20)</f>
        <v>48.46</v>
      </c>
      <c r="G21" s="166"/>
      <c r="H21" s="169"/>
      <c r="I21" s="23"/>
      <c r="J21" s="39"/>
      <c r="K21" s="43"/>
      <c r="L21" s="23"/>
      <c r="M21" s="54"/>
    </row>
    <row r="22" spans="1:13" s="145" customFormat="1" ht="36">
      <c r="A22" s="156">
        <f>A19+1</f>
        <v>4</v>
      </c>
      <c r="B22" s="157" t="s">
        <v>29</v>
      </c>
      <c r="C22" s="158">
        <v>162501113</v>
      </c>
      <c r="D22" s="158" t="s">
        <v>145</v>
      </c>
      <c r="E22" s="157" t="s">
        <v>12</v>
      </c>
      <c r="F22" s="159">
        <f>F24</f>
        <v>581.52</v>
      </c>
      <c r="G22" s="160"/>
      <c r="H22" s="71">
        <f>ROUND(F22*G22,2)</f>
        <v>0</v>
      </c>
      <c r="I22" s="23"/>
      <c r="J22" s="42">
        <v>1</v>
      </c>
      <c r="K22" s="43"/>
      <c r="L22" s="23"/>
      <c r="M22" s="54"/>
    </row>
    <row r="23" spans="1:13" s="145" customFormat="1">
      <c r="A23" s="6"/>
      <c r="B23" s="166"/>
      <c r="C23" s="166"/>
      <c r="D23" s="170" t="s">
        <v>264</v>
      </c>
      <c r="E23" s="77"/>
      <c r="F23" s="171">
        <f>48.46*12</f>
        <v>581.52</v>
      </c>
      <c r="G23" s="166"/>
      <c r="H23" s="169"/>
      <c r="I23" s="23"/>
      <c r="J23" s="39"/>
      <c r="K23" s="43"/>
      <c r="L23" s="23"/>
      <c r="M23" s="54"/>
    </row>
    <row r="24" spans="1:13" s="145" customFormat="1">
      <c r="A24" s="6"/>
      <c r="B24" s="166"/>
      <c r="C24" s="166"/>
      <c r="D24" s="167" t="s">
        <v>26</v>
      </c>
      <c r="E24" s="62"/>
      <c r="F24" s="168">
        <f>SUM(F23:F23)</f>
        <v>581.52</v>
      </c>
      <c r="G24" s="166"/>
      <c r="H24" s="169"/>
      <c r="I24" s="23"/>
      <c r="J24" s="39"/>
      <c r="K24" s="43"/>
      <c r="L24" s="23"/>
      <c r="M24" s="54"/>
    </row>
    <row r="25" spans="1:13" s="145" customFormat="1">
      <c r="A25" s="156">
        <f>A22+1</f>
        <v>5</v>
      </c>
      <c r="B25" s="157" t="s">
        <v>29</v>
      </c>
      <c r="C25" s="158">
        <v>171201201</v>
      </c>
      <c r="D25" s="158" t="s">
        <v>265</v>
      </c>
      <c r="E25" s="157" t="s">
        <v>12</v>
      </c>
      <c r="F25" s="159">
        <f>F27</f>
        <v>48.46</v>
      </c>
      <c r="G25" s="160"/>
      <c r="H25" s="71">
        <f>ROUND(F25*G25,2)</f>
        <v>0</v>
      </c>
      <c r="I25" s="23"/>
      <c r="J25" s="42">
        <v>1</v>
      </c>
      <c r="K25" s="43"/>
      <c r="L25" s="23"/>
      <c r="M25" s="54"/>
    </row>
    <row r="26" spans="1:13" s="145" customFormat="1">
      <c r="A26" s="6"/>
      <c r="B26" s="166"/>
      <c r="C26" s="166"/>
      <c r="D26" s="170" t="s">
        <v>263</v>
      </c>
      <c r="E26" s="77"/>
      <c r="F26" s="171">
        <f>57.88-9.42</f>
        <v>48.46</v>
      </c>
      <c r="G26" s="166"/>
      <c r="H26" s="169"/>
      <c r="I26" s="23"/>
      <c r="J26" s="39"/>
      <c r="K26" s="43"/>
      <c r="L26" s="23"/>
      <c r="M26" s="54"/>
    </row>
    <row r="27" spans="1:13" s="145" customFormat="1">
      <c r="A27" s="6"/>
      <c r="B27" s="166"/>
      <c r="C27" s="166"/>
      <c r="D27" s="167" t="s">
        <v>26</v>
      </c>
      <c r="E27" s="62"/>
      <c r="F27" s="168">
        <f>SUM(F26:F26)</f>
        <v>48.46</v>
      </c>
      <c r="G27" s="166"/>
      <c r="H27" s="169"/>
      <c r="I27" s="23"/>
      <c r="J27" s="39"/>
      <c r="K27" s="43"/>
      <c r="L27" s="23"/>
      <c r="M27" s="54"/>
    </row>
    <row r="28" spans="1:13" s="145" customFormat="1" ht="24">
      <c r="A28" s="156">
        <f>A25+1</f>
        <v>6</v>
      </c>
      <c r="B28" s="157" t="s">
        <v>29</v>
      </c>
      <c r="C28" s="158" t="s">
        <v>31</v>
      </c>
      <c r="D28" s="158" t="s">
        <v>32</v>
      </c>
      <c r="E28" s="157" t="s">
        <v>15</v>
      </c>
      <c r="F28" s="159">
        <f>F30</f>
        <v>86.26</v>
      </c>
      <c r="G28" s="160"/>
      <c r="H28" s="71">
        <f>ROUND(F28*G28,2)</f>
        <v>0</v>
      </c>
      <c r="I28" s="23"/>
      <c r="J28" s="42">
        <v>1</v>
      </c>
      <c r="K28" s="43"/>
      <c r="L28" s="23"/>
      <c r="M28" s="54"/>
    </row>
    <row r="29" spans="1:13" s="145" customFormat="1">
      <c r="A29" s="6"/>
      <c r="B29" s="166"/>
      <c r="C29" s="166"/>
      <c r="D29" s="170" t="s">
        <v>266</v>
      </c>
      <c r="E29" s="77"/>
      <c r="F29" s="171">
        <f>ROUND(48.46*1.78,2)</f>
        <v>86.26</v>
      </c>
      <c r="G29" s="166"/>
      <c r="H29" s="169"/>
      <c r="I29" s="23"/>
      <c r="J29" s="39"/>
      <c r="K29" s="43"/>
      <c r="L29" s="23"/>
      <c r="M29" s="54"/>
    </row>
    <row r="30" spans="1:13" s="145" customFormat="1">
      <c r="A30" s="6"/>
      <c r="B30" s="166"/>
      <c r="C30" s="166"/>
      <c r="D30" s="167" t="s">
        <v>26</v>
      </c>
      <c r="E30" s="62"/>
      <c r="F30" s="168">
        <f>SUM(F29:F29)</f>
        <v>86.26</v>
      </c>
      <c r="G30" s="166"/>
      <c r="H30" s="169"/>
      <c r="I30" s="23"/>
      <c r="J30" s="39"/>
      <c r="K30" s="43"/>
      <c r="L30" s="23"/>
      <c r="M30" s="54"/>
    </row>
    <row r="31" spans="1:13" s="145" customFormat="1" ht="24">
      <c r="A31" s="156">
        <f>A28+1</f>
        <v>7</v>
      </c>
      <c r="B31" s="157" t="s">
        <v>29</v>
      </c>
      <c r="C31" s="158">
        <v>174101001</v>
      </c>
      <c r="D31" s="158" t="s">
        <v>146</v>
      </c>
      <c r="E31" s="157" t="s">
        <v>12</v>
      </c>
      <c r="F31" s="159">
        <f>F33</f>
        <v>9.42</v>
      </c>
      <c r="G31" s="160"/>
      <c r="H31" s="71">
        <f>ROUND(F31*G31,2)</f>
        <v>0</v>
      </c>
      <c r="I31" s="23"/>
      <c r="J31" s="42">
        <v>1</v>
      </c>
      <c r="K31" s="43"/>
      <c r="L31" s="23"/>
      <c r="M31" s="54"/>
    </row>
    <row r="32" spans="1:13" s="145" customFormat="1">
      <c r="A32" s="6"/>
      <c r="B32" s="166"/>
      <c r="C32" s="166"/>
      <c r="D32" s="59" t="s">
        <v>261</v>
      </c>
      <c r="E32" s="77"/>
      <c r="F32" s="57">
        <f>ROUND(6.1*(5.4+4.9)*0.15,2)</f>
        <v>9.42</v>
      </c>
      <c r="G32" s="166"/>
      <c r="H32" s="169"/>
      <c r="I32" s="23"/>
      <c r="J32" s="39"/>
      <c r="K32" s="43"/>
      <c r="L32" s="23"/>
      <c r="M32" s="54"/>
    </row>
    <row r="33" spans="1:14" s="145" customFormat="1">
      <c r="A33" s="6"/>
      <c r="B33" s="166"/>
      <c r="C33" s="166"/>
      <c r="D33" s="167" t="s">
        <v>26</v>
      </c>
      <c r="E33" s="62"/>
      <c r="F33" s="168">
        <f>SUM(F32:F32)</f>
        <v>9.42</v>
      </c>
      <c r="G33" s="166"/>
      <c r="H33" s="169"/>
      <c r="I33" s="23"/>
      <c r="J33" s="39"/>
      <c r="K33" s="43"/>
      <c r="L33" s="23"/>
      <c r="M33" s="54"/>
    </row>
    <row r="34" spans="1:14" s="145" customFormat="1">
      <c r="A34" s="156">
        <f>A31+1</f>
        <v>8</v>
      </c>
      <c r="B34" s="157" t="s">
        <v>29</v>
      </c>
      <c r="C34" s="158" t="s">
        <v>75</v>
      </c>
      <c r="D34" s="158" t="s">
        <v>147</v>
      </c>
      <c r="E34" s="157" t="s">
        <v>13</v>
      </c>
      <c r="F34" s="159">
        <f>F36</f>
        <v>108.73</v>
      </c>
      <c r="G34" s="160"/>
      <c r="H34" s="71">
        <f>ROUND(F34*G34,2)</f>
        <v>0</v>
      </c>
      <c r="I34" s="23"/>
      <c r="J34" s="42">
        <v>1</v>
      </c>
      <c r="K34" s="43"/>
      <c r="L34" s="23"/>
      <c r="M34" s="54"/>
    </row>
    <row r="35" spans="1:14" s="145" customFormat="1">
      <c r="A35" s="6"/>
      <c r="B35" s="166"/>
      <c r="C35" s="166"/>
      <c r="D35" s="170" t="s">
        <v>260</v>
      </c>
      <c r="E35" s="77"/>
      <c r="F35" s="171">
        <f>ROUND(13.1*8.3,2)</f>
        <v>108.73</v>
      </c>
      <c r="G35" s="166"/>
      <c r="H35" s="169"/>
      <c r="I35" s="23"/>
      <c r="J35" s="39"/>
      <c r="K35" s="43"/>
      <c r="L35" s="23"/>
      <c r="M35" s="54"/>
    </row>
    <row r="36" spans="1:14" s="145" customFormat="1">
      <c r="A36" s="6"/>
      <c r="B36" s="166"/>
      <c r="C36" s="166"/>
      <c r="D36" s="167" t="s">
        <v>26</v>
      </c>
      <c r="E36" s="62"/>
      <c r="F36" s="168">
        <f>SUM(F35:F35)</f>
        <v>108.73</v>
      </c>
      <c r="G36" s="166"/>
      <c r="H36" s="169"/>
      <c r="I36" s="23"/>
      <c r="J36" s="39"/>
      <c r="K36" s="43"/>
      <c r="L36" s="23"/>
      <c r="M36" s="54"/>
    </row>
    <row r="37" spans="1:14" s="22" customFormat="1" ht="21" customHeight="1">
      <c r="A37" s="4"/>
      <c r="B37" s="4"/>
      <c r="C37" s="5">
        <v>2</v>
      </c>
      <c r="D37" s="5" t="s">
        <v>16</v>
      </c>
      <c r="E37" s="7"/>
      <c r="F37" s="8"/>
      <c r="G37" s="4"/>
      <c r="H37" s="66">
        <f>SUM(H38:H69)</f>
        <v>0</v>
      </c>
      <c r="I37" s="45"/>
      <c r="J37" s="42">
        <v>2</v>
      </c>
      <c r="K37" s="50"/>
      <c r="L37" s="24"/>
      <c r="M37" s="54"/>
      <c r="N37" s="54"/>
    </row>
    <row r="38" spans="1:14" s="22" customFormat="1" ht="24">
      <c r="A38" s="156">
        <f>A34+1</f>
        <v>9</v>
      </c>
      <c r="B38" s="157" t="s">
        <v>29</v>
      </c>
      <c r="C38" s="158">
        <v>271533001</v>
      </c>
      <c r="D38" s="158" t="s">
        <v>267</v>
      </c>
      <c r="E38" s="157" t="s">
        <v>12</v>
      </c>
      <c r="F38" s="159">
        <f>SUM(F40)</f>
        <v>8.02</v>
      </c>
      <c r="G38" s="160"/>
      <c r="H38" s="71">
        <f>ROUND(F38*G38,2)</f>
        <v>0</v>
      </c>
      <c r="I38" s="23"/>
      <c r="J38" s="42">
        <v>2</v>
      </c>
      <c r="K38" s="43">
        <f>ROUND(F38*1.85,3)</f>
        <v>14.837</v>
      </c>
      <c r="L38" s="24"/>
      <c r="M38" s="54"/>
      <c r="N38" s="54"/>
    </row>
    <row r="39" spans="1:14" s="22" customFormat="1">
      <c r="A39" s="56"/>
      <c r="B39" s="3"/>
      <c r="C39" s="3"/>
      <c r="D39" s="59" t="s">
        <v>268</v>
      </c>
      <c r="E39" s="77"/>
      <c r="F39" s="57">
        <f>ROUND(6.4*(5.7+5.2)*0.25-6.1*(5.4+4.9)*0.15,2)</f>
        <v>8.02</v>
      </c>
      <c r="G39" s="3"/>
      <c r="H39" s="58"/>
      <c r="I39" s="23"/>
      <c r="J39" s="39"/>
      <c r="K39" s="43"/>
      <c r="L39" s="24"/>
      <c r="M39" s="54"/>
      <c r="N39" s="54"/>
    </row>
    <row r="40" spans="1:14" s="22" customFormat="1">
      <c r="A40" s="56"/>
      <c r="B40" s="3"/>
      <c r="C40" s="3"/>
      <c r="D40" s="61" t="s">
        <v>26</v>
      </c>
      <c r="E40" s="62"/>
      <c r="F40" s="63">
        <f>SUM(F39:F39)</f>
        <v>8.02</v>
      </c>
      <c r="G40" s="3"/>
      <c r="H40" s="58"/>
      <c r="I40" s="23"/>
      <c r="J40" s="39"/>
      <c r="K40" s="43"/>
      <c r="L40" s="24"/>
      <c r="M40" s="54"/>
      <c r="N40" s="54"/>
    </row>
    <row r="41" spans="1:14" s="22" customFormat="1" ht="24">
      <c r="A41" s="156">
        <f>A38+1</f>
        <v>10</v>
      </c>
      <c r="B41" s="157" t="s">
        <v>29</v>
      </c>
      <c r="C41" s="158">
        <v>273321411</v>
      </c>
      <c r="D41" s="158" t="s">
        <v>125</v>
      </c>
      <c r="E41" s="157" t="s">
        <v>12</v>
      </c>
      <c r="F41" s="159">
        <f>SUM(F43)</f>
        <v>8.26</v>
      </c>
      <c r="G41" s="160"/>
      <c r="H41" s="71">
        <f>ROUND(F41*G41,2)</f>
        <v>0</v>
      </c>
      <c r="I41" s="23"/>
      <c r="J41" s="42">
        <v>2</v>
      </c>
      <c r="K41" s="43">
        <f>ROUND(F41*2.4,3)</f>
        <v>19.824000000000002</v>
      </c>
      <c r="L41" s="24"/>
      <c r="M41" s="54"/>
      <c r="N41" s="54"/>
    </row>
    <row r="42" spans="1:14" s="22" customFormat="1">
      <c r="A42" s="56"/>
      <c r="B42" s="3"/>
      <c r="C42" s="3"/>
      <c r="D42" s="59" t="s">
        <v>255</v>
      </c>
      <c r="E42" s="77"/>
      <c r="F42" s="57">
        <f>ROUND(11.8*7*0.1,2)</f>
        <v>8.26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>
      <c r="A43" s="56"/>
      <c r="B43" s="3"/>
      <c r="C43" s="3"/>
      <c r="D43" s="61" t="s">
        <v>26</v>
      </c>
      <c r="E43" s="62"/>
      <c r="F43" s="63">
        <f>SUM(F42:F42)</f>
        <v>8.26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>
      <c r="A44" s="156">
        <f>A41+1</f>
        <v>11</v>
      </c>
      <c r="B44" s="157" t="s">
        <v>29</v>
      </c>
      <c r="C44" s="158">
        <v>273351215</v>
      </c>
      <c r="D44" s="158" t="s">
        <v>121</v>
      </c>
      <c r="E44" s="157" t="s">
        <v>13</v>
      </c>
      <c r="F44" s="159">
        <f>SUM(F46)</f>
        <v>3.76</v>
      </c>
      <c r="G44" s="160"/>
      <c r="H44" s="71">
        <f>ROUND(F44*G44,2)</f>
        <v>0</v>
      </c>
      <c r="I44" s="23"/>
      <c r="J44" s="42">
        <v>2</v>
      </c>
      <c r="K44" s="43">
        <f>ROUND(F44*0.005,3)</f>
        <v>1.9E-2</v>
      </c>
      <c r="L44" s="24"/>
      <c r="M44" s="54"/>
      <c r="N44" s="54"/>
    </row>
    <row r="45" spans="1:14" s="22" customFormat="1">
      <c r="A45" s="56"/>
      <c r="B45" s="3"/>
      <c r="C45" s="3"/>
      <c r="D45" s="172" t="s">
        <v>256</v>
      </c>
      <c r="E45" s="77"/>
      <c r="F45" s="57">
        <f>ROUND(2*(11.8+7)*0.1,2)</f>
        <v>3.76</v>
      </c>
      <c r="G45" s="3"/>
      <c r="H45" s="58"/>
      <c r="I45" s="23"/>
      <c r="J45" s="39"/>
      <c r="K45" s="43"/>
      <c r="L45" s="24"/>
      <c r="M45" s="54"/>
      <c r="N45" s="54"/>
    </row>
    <row r="46" spans="1:14" s="22" customFormat="1">
      <c r="A46" s="56"/>
      <c r="B46" s="3"/>
      <c r="C46" s="3"/>
      <c r="D46" s="61" t="s">
        <v>26</v>
      </c>
      <c r="E46" s="62"/>
      <c r="F46" s="63">
        <f>SUM(F45:F45)</f>
        <v>3.76</v>
      </c>
      <c r="G46" s="3"/>
      <c r="H46" s="58"/>
      <c r="I46" s="23"/>
      <c r="J46" s="39"/>
      <c r="K46" s="43"/>
      <c r="L46" s="24"/>
      <c r="M46" s="54"/>
      <c r="N46" s="54"/>
    </row>
    <row r="47" spans="1:14" s="22" customFormat="1">
      <c r="A47" s="156">
        <f>A44+1</f>
        <v>12</v>
      </c>
      <c r="B47" s="157" t="s">
        <v>29</v>
      </c>
      <c r="C47" s="158">
        <v>273351216</v>
      </c>
      <c r="D47" s="158" t="s">
        <v>122</v>
      </c>
      <c r="E47" s="157" t="s">
        <v>13</v>
      </c>
      <c r="F47" s="159">
        <f>F44</f>
        <v>3.76</v>
      </c>
      <c r="G47" s="160"/>
      <c r="H47" s="71">
        <f>ROUND(F47*G47,2)</f>
        <v>0</v>
      </c>
      <c r="I47" s="23"/>
      <c r="J47" s="42">
        <v>2</v>
      </c>
      <c r="K47" s="43">
        <f>ROUND(F47*0.005,3)</f>
        <v>1.9E-2</v>
      </c>
      <c r="L47" s="24"/>
      <c r="M47" s="54"/>
      <c r="N47" s="54"/>
    </row>
    <row r="48" spans="1:14" s="22" customFormat="1" ht="24">
      <c r="A48" s="156">
        <f>A47+1</f>
        <v>13</v>
      </c>
      <c r="B48" s="157" t="s">
        <v>29</v>
      </c>
      <c r="C48" s="158" t="s">
        <v>123</v>
      </c>
      <c r="D48" s="158" t="s">
        <v>124</v>
      </c>
      <c r="E48" s="157" t="s">
        <v>13</v>
      </c>
      <c r="F48" s="159">
        <f>SUM(F50)</f>
        <v>82.6</v>
      </c>
      <c r="G48" s="160"/>
      <c r="H48" s="71">
        <f>ROUND(F48*G48,2)</f>
        <v>0</v>
      </c>
      <c r="I48" s="23" t="s">
        <v>72</v>
      </c>
      <c r="J48" s="42">
        <v>2</v>
      </c>
      <c r="K48" s="43">
        <f>ROUND(7.9*1.05/1000*F48,3)</f>
        <v>0.68500000000000005</v>
      </c>
      <c r="L48" s="24"/>
      <c r="M48" s="54"/>
      <c r="N48" s="54"/>
    </row>
    <row r="49" spans="1:14" s="22" customFormat="1">
      <c r="A49" s="56"/>
      <c r="B49" s="3"/>
      <c r="C49" s="3"/>
      <c r="D49" s="172" t="s">
        <v>257</v>
      </c>
      <c r="E49" s="77"/>
      <c r="F49" s="57">
        <f>ROUND(11.8*7,2)</f>
        <v>82.6</v>
      </c>
      <c r="G49" s="3"/>
      <c r="H49" s="58"/>
      <c r="I49" s="23"/>
      <c r="J49" s="39"/>
      <c r="K49" s="43"/>
      <c r="L49" s="24"/>
      <c r="M49" s="54"/>
      <c r="N49" s="54"/>
    </row>
    <row r="50" spans="1:14" s="22" customFormat="1">
      <c r="A50" s="56"/>
      <c r="B50" s="3"/>
      <c r="C50" s="3"/>
      <c r="D50" s="61" t="s">
        <v>26</v>
      </c>
      <c r="E50" s="62"/>
      <c r="F50" s="63">
        <f>SUM(F49:F49)</f>
        <v>82.6</v>
      </c>
      <c r="G50" s="3"/>
      <c r="H50" s="58"/>
      <c r="I50" s="23"/>
      <c r="J50" s="39"/>
      <c r="K50" s="43"/>
      <c r="L50" s="24"/>
      <c r="M50" s="54"/>
      <c r="N50" s="54"/>
    </row>
    <row r="51" spans="1:14" s="22" customFormat="1" ht="24">
      <c r="A51" s="156">
        <f>A48+1</f>
        <v>14</v>
      </c>
      <c r="B51" s="157" t="s">
        <v>29</v>
      </c>
      <c r="C51" s="158">
        <v>274321311</v>
      </c>
      <c r="D51" s="158" t="s">
        <v>254</v>
      </c>
      <c r="E51" s="157" t="s">
        <v>12</v>
      </c>
      <c r="F51" s="159">
        <f>SUM(F53)</f>
        <v>15.3</v>
      </c>
      <c r="G51" s="160"/>
      <c r="H51" s="71">
        <f>ROUND(F51*G51,2)</f>
        <v>0</v>
      </c>
      <c r="I51" s="23"/>
      <c r="J51" s="42">
        <v>2</v>
      </c>
      <c r="K51" s="43">
        <f>ROUND(F51*2.4,3)</f>
        <v>36.72</v>
      </c>
      <c r="L51" s="24"/>
      <c r="M51" s="54"/>
      <c r="N51" s="54"/>
    </row>
    <row r="52" spans="1:14" s="22" customFormat="1">
      <c r="A52" s="56"/>
      <c r="B52" s="3"/>
      <c r="C52" s="3"/>
      <c r="D52" s="59" t="s">
        <v>251</v>
      </c>
      <c r="E52" s="77"/>
      <c r="F52" s="57">
        <f>ROUND(0.6*0.6*(2*12.1+3*6.1),2)</f>
        <v>15.3</v>
      </c>
      <c r="G52" s="3"/>
      <c r="H52" s="58"/>
      <c r="I52" s="23"/>
      <c r="J52" s="39"/>
      <c r="K52" s="43"/>
      <c r="L52" s="24"/>
      <c r="M52" s="54"/>
      <c r="N52" s="54"/>
    </row>
    <row r="53" spans="1:14" s="22" customFormat="1">
      <c r="A53" s="56"/>
      <c r="B53" s="3"/>
      <c r="C53" s="3"/>
      <c r="D53" s="61" t="s">
        <v>26</v>
      </c>
      <c r="E53" s="62"/>
      <c r="F53" s="63">
        <f>SUM(F52:F52)</f>
        <v>15.3</v>
      </c>
      <c r="G53" s="3"/>
      <c r="H53" s="58"/>
      <c r="I53" s="23"/>
      <c r="J53" s="39"/>
      <c r="K53" s="43"/>
      <c r="L53" s="24"/>
      <c r="M53" s="54"/>
      <c r="N53" s="54"/>
    </row>
    <row r="54" spans="1:14" s="22" customFormat="1" ht="24">
      <c r="A54" s="156">
        <f>A51+1</f>
        <v>15</v>
      </c>
      <c r="B54" s="157" t="s">
        <v>29</v>
      </c>
      <c r="C54" s="158" t="s">
        <v>68</v>
      </c>
      <c r="D54" s="158" t="s">
        <v>69</v>
      </c>
      <c r="E54" s="157" t="s">
        <v>13</v>
      </c>
      <c r="F54" s="159">
        <f>SUM(F56)</f>
        <v>51</v>
      </c>
      <c r="G54" s="160"/>
      <c r="H54" s="71">
        <f>ROUND(F54*G54,2)</f>
        <v>0</v>
      </c>
      <c r="I54" s="23"/>
      <c r="J54" s="42">
        <v>2</v>
      </c>
      <c r="K54" s="43">
        <f>ROUND(F54*0.005,3)</f>
        <v>0.255</v>
      </c>
      <c r="L54" s="24"/>
      <c r="M54" s="54"/>
      <c r="N54" s="54"/>
    </row>
    <row r="55" spans="1:14" s="22" customFormat="1">
      <c r="A55" s="56"/>
      <c r="B55" s="3"/>
      <c r="C55" s="3"/>
      <c r="D55" s="59" t="s">
        <v>252</v>
      </c>
      <c r="E55" s="77"/>
      <c r="F55" s="57">
        <f>ROUND(2*0.6*(2*12.1+3*6.1),2)</f>
        <v>51</v>
      </c>
      <c r="G55" s="3"/>
      <c r="H55" s="58"/>
      <c r="I55" s="23"/>
      <c r="J55" s="39"/>
      <c r="K55" s="43"/>
      <c r="L55" s="24"/>
      <c r="M55" s="54"/>
      <c r="N55" s="54"/>
    </row>
    <row r="56" spans="1:14" s="22" customFormat="1">
      <c r="A56" s="56"/>
      <c r="B56" s="3"/>
      <c r="C56" s="3"/>
      <c r="D56" s="61" t="s">
        <v>26</v>
      </c>
      <c r="E56" s="62"/>
      <c r="F56" s="63">
        <f>SUM(F55:F55)</f>
        <v>51</v>
      </c>
      <c r="G56" s="3"/>
      <c r="H56" s="58"/>
      <c r="I56" s="23"/>
      <c r="J56" s="39"/>
      <c r="K56" s="43"/>
      <c r="L56" s="24"/>
      <c r="M56" s="54"/>
      <c r="N56" s="54"/>
    </row>
    <row r="57" spans="1:14" s="22" customFormat="1" ht="24">
      <c r="A57" s="156">
        <f>A54+1</f>
        <v>16</v>
      </c>
      <c r="B57" s="157" t="s">
        <v>29</v>
      </c>
      <c r="C57" s="158" t="s">
        <v>70</v>
      </c>
      <c r="D57" s="158" t="s">
        <v>71</v>
      </c>
      <c r="E57" s="157" t="s">
        <v>13</v>
      </c>
      <c r="F57" s="159">
        <f>F54</f>
        <v>51</v>
      </c>
      <c r="G57" s="160"/>
      <c r="H57" s="71">
        <f>ROUND(F57*G57,2)</f>
        <v>0</v>
      </c>
      <c r="I57" s="23"/>
      <c r="J57" s="42">
        <v>2</v>
      </c>
      <c r="K57" s="43">
        <f>ROUND(F57*0.005,3)</f>
        <v>0.255</v>
      </c>
      <c r="L57" s="24"/>
      <c r="M57" s="54"/>
      <c r="N57" s="54"/>
    </row>
    <row r="58" spans="1:14" s="22" customFormat="1">
      <c r="A58" s="156">
        <f>A57+1</f>
        <v>17</v>
      </c>
      <c r="B58" s="157" t="s">
        <v>29</v>
      </c>
      <c r="C58" s="158" t="s">
        <v>119</v>
      </c>
      <c r="D58" s="158" t="s">
        <v>120</v>
      </c>
      <c r="E58" s="157" t="s">
        <v>15</v>
      </c>
      <c r="F58" s="159">
        <f>SUM(F60)</f>
        <v>1.07</v>
      </c>
      <c r="G58" s="160"/>
      <c r="H58" s="71">
        <f>ROUND(F58*G58,2)</f>
        <v>0</v>
      </c>
      <c r="I58" s="23" t="s">
        <v>72</v>
      </c>
      <c r="J58" s="42">
        <v>2</v>
      </c>
      <c r="K58" s="43">
        <f>F58</f>
        <v>1.07</v>
      </c>
      <c r="L58" s="24"/>
      <c r="M58" s="54"/>
      <c r="N58" s="54"/>
    </row>
    <row r="59" spans="1:14" s="22" customFormat="1">
      <c r="A59" s="56"/>
      <c r="B59" s="3"/>
      <c r="C59" s="3"/>
      <c r="D59" s="172" t="s">
        <v>253</v>
      </c>
      <c r="E59" s="77"/>
      <c r="F59" s="57">
        <f>ROUND(15.3*70/1000,2)</f>
        <v>1.07</v>
      </c>
      <c r="G59" s="3"/>
      <c r="H59" s="58"/>
      <c r="I59" s="23"/>
      <c r="J59" s="39"/>
      <c r="K59" s="43"/>
      <c r="L59" s="24"/>
      <c r="M59" s="54"/>
      <c r="N59" s="54"/>
    </row>
    <row r="60" spans="1:14" s="22" customFormat="1">
      <c r="A60" s="56"/>
      <c r="B60" s="3"/>
      <c r="C60" s="3"/>
      <c r="D60" s="61" t="s">
        <v>26</v>
      </c>
      <c r="E60" s="62"/>
      <c r="F60" s="63">
        <f>SUM(F59:F59)</f>
        <v>1.07</v>
      </c>
      <c r="G60" s="3"/>
      <c r="H60" s="58"/>
      <c r="I60" s="23"/>
      <c r="J60" s="39"/>
      <c r="K60" s="43"/>
      <c r="L60" s="24"/>
      <c r="M60" s="54"/>
      <c r="N60" s="54"/>
    </row>
    <row r="61" spans="1:14" s="22" customFormat="1" ht="24">
      <c r="A61" s="156">
        <f>A58+1</f>
        <v>18</v>
      </c>
      <c r="B61" s="157" t="s">
        <v>29</v>
      </c>
      <c r="C61" s="158" t="s">
        <v>281</v>
      </c>
      <c r="D61" s="158" t="s">
        <v>280</v>
      </c>
      <c r="E61" s="157" t="s">
        <v>12</v>
      </c>
      <c r="F61" s="159">
        <f>SUM(F63)</f>
        <v>3.21</v>
      </c>
      <c r="G61" s="160"/>
      <c r="H61" s="71">
        <f>ROUND(F61*G61,2)</f>
        <v>0</v>
      </c>
      <c r="I61" s="23"/>
      <c r="J61" s="42">
        <v>2</v>
      </c>
      <c r="K61" s="43">
        <f>ROUND(F61*2.4,3)</f>
        <v>7.7039999999999997</v>
      </c>
      <c r="L61" s="24"/>
      <c r="M61" s="54"/>
      <c r="N61" s="54"/>
    </row>
    <row r="62" spans="1:14" s="22" customFormat="1">
      <c r="A62" s="56"/>
      <c r="B62" s="3"/>
      <c r="C62" s="3"/>
      <c r="D62" s="59" t="s">
        <v>269</v>
      </c>
      <c r="E62" s="77"/>
      <c r="F62" s="57">
        <f>ROUND(0.3*0.25*(2*11.8+3*6.4),2)</f>
        <v>3.21</v>
      </c>
      <c r="G62" s="3"/>
      <c r="H62" s="58"/>
      <c r="I62" s="23"/>
      <c r="J62" s="39"/>
      <c r="K62" s="43"/>
      <c r="L62" s="24"/>
      <c r="M62" s="54"/>
      <c r="N62" s="54"/>
    </row>
    <row r="63" spans="1:14" s="22" customFormat="1">
      <c r="A63" s="56"/>
      <c r="B63" s="3"/>
      <c r="C63" s="3"/>
      <c r="D63" s="61" t="s">
        <v>26</v>
      </c>
      <c r="E63" s="62"/>
      <c r="F63" s="63">
        <f>SUM(F62:F62)</f>
        <v>3.21</v>
      </c>
      <c r="G63" s="3"/>
      <c r="H63" s="58"/>
      <c r="I63" s="23"/>
      <c r="J63" s="39"/>
      <c r="K63" s="43"/>
      <c r="L63" s="24"/>
      <c r="M63" s="54"/>
      <c r="N63" s="54"/>
    </row>
    <row r="64" spans="1:14" s="22" customFormat="1" ht="24">
      <c r="A64" s="156">
        <f>A61+1</f>
        <v>19</v>
      </c>
      <c r="B64" s="157" t="s">
        <v>29</v>
      </c>
      <c r="C64" s="158" t="s">
        <v>414</v>
      </c>
      <c r="D64" s="158" t="s">
        <v>400</v>
      </c>
      <c r="E64" s="157" t="s">
        <v>19</v>
      </c>
      <c r="F64" s="159">
        <f>SUM(F69)</f>
        <v>8</v>
      </c>
      <c r="G64" s="160"/>
      <c r="H64" s="71">
        <f>ROUND(F64*G64,2)</f>
        <v>0</v>
      </c>
      <c r="I64" s="23"/>
      <c r="J64" s="42">
        <v>2</v>
      </c>
      <c r="K64" s="43"/>
      <c r="L64" s="24"/>
      <c r="M64" s="54"/>
      <c r="N64" s="54"/>
    </row>
    <row r="65" spans="1:14" s="22" customFormat="1">
      <c r="A65" s="56"/>
      <c r="B65" s="3"/>
      <c r="C65" s="3"/>
      <c r="D65" s="59" t="s">
        <v>402</v>
      </c>
      <c r="E65" s="77"/>
      <c r="F65" s="57">
        <v>1</v>
      </c>
      <c r="G65" s="3"/>
      <c r="H65" s="58"/>
      <c r="I65" s="23"/>
      <c r="J65" s="39"/>
      <c r="K65" s="43"/>
      <c r="L65" s="24"/>
      <c r="M65" s="54"/>
      <c r="N65" s="54"/>
    </row>
    <row r="66" spans="1:14" s="22" customFormat="1">
      <c r="A66" s="56"/>
      <c r="B66" s="3"/>
      <c r="C66" s="3"/>
      <c r="D66" s="59" t="s">
        <v>401</v>
      </c>
      <c r="E66" s="77"/>
      <c r="F66" s="57">
        <v>1</v>
      </c>
      <c r="G66" s="3"/>
      <c r="H66" s="58"/>
      <c r="I66" s="23"/>
      <c r="J66" s="39"/>
      <c r="K66" s="43"/>
      <c r="L66" s="24"/>
      <c r="M66" s="54"/>
      <c r="N66" s="54"/>
    </row>
    <row r="67" spans="1:14" s="22" customFormat="1">
      <c r="A67" s="56"/>
      <c r="B67" s="3"/>
      <c r="C67" s="3"/>
      <c r="D67" s="59" t="s">
        <v>403</v>
      </c>
      <c r="E67" s="77"/>
      <c r="F67" s="57">
        <v>5</v>
      </c>
      <c r="G67" s="3"/>
      <c r="H67" s="58"/>
      <c r="I67" s="23"/>
      <c r="J67" s="39"/>
      <c r="K67" s="43"/>
      <c r="L67" s="24"/>
      <c r="M67" s="54"/>
      <c r="N67" s="54"/>
    </row>
    <row r="68" spans="1:14" s="22" customFormat="1">
      <c r="A68" s="56"/>
      <c r="B68" s="3"/>
      <c r="C68" s="3"/>
      <c r="D68" s="59" t="s">
        <v>404</v>
      </c>
      <c r="E68" s="77"/>
      <c r="F68" s="57">
        <v>1</v>
      </c>
      <c r="G68" s="3"/>
      <c r="H68" s="58"/>
      <c r="I68" s="23"/>
      <c r="J68" s="39"/>
      <c r="K68" s="43"/>
      <c r="L68" s="24"/>
      <c r="M68" s="54"/>
      <c r="N68" s="54"/>
    </row>
    <row r="69" spans="1:14" s="22" customFormat="1">
      <c r="A69" s="56"/>
      <c r="B69" s="3"/>
      <c r="C69" s="3"/>
      <c r="D69" s="61" t="s">
        <v>26</v>
      </c>
      <c r="E69" s="62"/>
      <c r="F69" s="63">
        <f>SUM(F65:F68)</f>
        <v>8</v>
      </c>
      <c r="G69" s="3"/>
      <c r="H69" s="58"/>
      <c r="I69" s="23"/>
      <c r="J69" s="39"/>
      <c r="K69" s="43"/>
      <c r="L69" s="24"/>
      <c r="M69" s="54"/>
      <c r="N69" s="54"/>
    </row>
    <row r="70" spans="1:14" s="22" customFormat="1" ht="21" customHeight="1">
      <c r="A70" s="4"/>
      <c r="B70" s="4"/>
      <c r="C70" s="5">
        <v>3</v>
      </c>
      <c r="D70" s="5" t="s">
        <v>17</v>
      </c>
      <c r="E70" s="7"/>
      <c r="F70" s="8"/>
      <c r="G70" s="4"/>
      <c r="H70" s="66">
        <f>SUM(H71:H96)</f>
        <v>0</v>
      </c>
      <c r="I70" s="45"/>
      <c r="J70" s="42">
        <v>3</v>
      </c>
      <c r="K70" s="50"/>
      <c r="L70" s="24"/>
      <c r="M70" s="54"/>
      <c r="N70" s="54"/>
    </row>
    <row r="71" spans="1:14" s="22" customFormat="1">
      <c r="A71" s="156">
        <f>A64+1</f>
        <v>20</v>
      </c>
      <c r="B71" s="157" t="s">
        <v>29</v>
      </c>
      <c r="C71" s="158">
        <v>312273116</v>
      </c>
      <c r="D71" s="158" t="s">
        <v>282</v>
      </c>
      <c r="E71" s="157" t="s">
        <v>12</v>
      </c>
      <c r="F71" s="159">
        <f>SUM(F75)</f>
        <v>34.179999999999993</v>
      </c>
      <c r="G71" s="160"/>
      <c r="H71" s="71">
        <f>ROUND(F71*G71,2)</f>
        <v>0</v>
      </c>
      <c r="I71" s="41"/>
      <c r="J71" s="42">
        <v>3</v>
      </c>
      <c r="K71" s="43">
        <f>ROUND(F71*1.87196,3)</f>
        <v>63.984000000000002</v>
      </c>
      <c r="L71" s="24"/>
      <c r="M71" s="54"/>
      <c r="N71" s="54"/>
    </row>
    <row r="72" spans="1:14" s="22" customFormat="1">
      <c r="A72" s="56"/>
      <c r="B72" s="3"/>
      <c r="C72" s="3"/>
      <c r="D72" s="173" t="s">
        <v>283</v>
      </c>
      <c r="E72" s="77"/>
      <c r="F72" s="57"/>
      <c r="G72" s="3"/>
      <c r="H72" s="58"/>
      <c r="I72" s="23"/>
      <c r="J72" s="39"/>
      <c r="K72" s="43"/>
      <c r="L72" s="24"/>
      <c r="M72" s="54"/>
      <c r="N72" s="54"/>
    </row>
    <row r="73" spans="1:14" s="22" customFormat="1">
      <c r="A73" s="56"/>
      <c r="B73" s="3"/>
      <c r="C73" s="3"/>
      <c r="D73" s="59" t="s">
        <v>284</v>
      </c>
      <c r="E73" s="77"/>
      <c r="F73" s="57">
        <f>ROUND((2*(11.8+7)*3.25+4.445*3)*0.3,2)</f>
        <v>40.659999999999997</v>
      </c>
      <c r="G73" s="3"/>
      <c r="H73" s="58"/>
      <c r="I73" s="23"/>
      <c r="J73" s="39"/>
      <c r="K73" s="43"/>
      <c r="L73" s="24"/>
      <c r="M73" s="54"/>
      <c r="N73" s="54"/>
    </row>
    <row r="74" spans="1:14" s="22" customFormat="1" ht="33.75">
      <c r="A74" s="56"/>
      <c r="B74" s="3"/>
      <c r="C74" s="3"/>
      <c r="D74" s="59" t="s">
        <v>322</v>
      </c>
      <c r="E74" s="77"/>
      <c r="F74" s="57">
        <f>ROUND(-(2*2.4*1.1+1.8*2.4+2*1.8*1.5+2.4*0.75+4*1.2*0.75+0.6*2)*0.3,2)</f>
        <v>-6.48</v>
      </c>
      <c r="G74" s="3"/>
      <c r="H74" s="58"/>
      <c r="I74" s="23"/>
      <c r="J74" s="39"/>
      <c r="K74" s="43"/>
      <c r="L74" s="24"/>
      <c r="M74" s="54"/>
      <c r="N74" s="54"/>
    </row>
    <row r="75" spans="1:14" s="22" customFormat="1">
      <c r="A75" s="56"/>
      <c r="B75" s="3"/>
      <c r="C75" s="3"/>
      <c r="D75" s="61" t="s">
        <v>26</v>
      </c>
      <c r="E75" s="62"/>
      <c r="F75" s="63">
        <f>SUM(F72:F74)</f>
        <v>34.179999999999993</v>
      </c>
      <c r="G75" s="3"/>
      <c r="H75" s="58"/>
      <c r="I75" s="23"/>
      <c r="J75" s="39"/>
      <c r="K75" s="43"/>
      <c r="L75" s="24"/>
      <c r="M75" s="54"/>
      <c r="N75" s="54"/>
    </row>
    <row r="76" spans="1:14" s="22" customFormat="1">
      <c r="A76" s="156">
        <f>A71+1</f>
        <v>21</v>
      </c>
      <c r="B76" s="157" t="s">
        <v>29</v>
      </c>
      <c r="C76" s="158">
        <v>317165102</v>
      </c>
      <c r="D76" s="158" t="s">
        <v>287</v>
      </c>
      <c r="E76" s="157" t="s">
        <v>19</v>
      </c>
      <c r="F76" s="159">
        <f>F78</f>
        <v>5</v>
      </c>
      <c r="G76" s="160"/>
      <c r="H76" s="71">
        <f>ROUND(F76*G76,2)</f>
        <v>0</v>
      </c>
      <c r="I76" s="41"/>
      <c r="J76" s="42">
        <v>3</v>
      </c>
      <c r="K76" s="43">
        <f>ROUND(F76*0.125*0.25*1.25*0.75,3)</f>
        <v>0.14599999999999999</v>
      </c>
      <c r="L76" s="24"/>
      <c r="M76" s="54"/>
      <c r="N76" s="54"/>
    </row>
    <row r="77" spans="1:14" s="22" customFormat="1">
      <c r="A77" s="56"/>
      <c r="B77" s="3"/>
      <c r="C77" s="3"/>
      <c r="D77" s="172" t="s">
        <v>288</v>
      </c>
      <c r="E77" s="77"/>
      <c r="F77" s="57">
        <v>5</v>
      </c>
      <c r="G77" s="3"/>
      <c r="H77" s="58"/>
      <c r="I77" s="23"/>
      <c r="J77" s="39"/>
      <c r="K77" s="43"/>
      <c r="L77" s="24"/>
      <c r="M77" s="54"/>
      <c r="N77" s="54"/>
    </row>
    <row r="78" spans="1:14" s="22" customFormat="1">
      <c r="A78" s="56"/>
      <c r="B78" s="3"/>
      <c r="C78" s="3"/>
      <c r="D78" s="61" t="s">
        <v>26</v>
      </c>
      <c r="E78" s="62"/>
      <c r="F78" s="63">
        <f>SUM(F77:F77)</f>
        <v>5</v>
      </c>
      <c r="G78" s="3"/>
      <c r="H78" s="58"/>
      <c r="I78" s="23"/>
      <c r="J78" s="39"/>
      <c r="K78" s="43"/>
      <c r="L78" s="24"/>
      <c r="M78" s="54"/>
      <c r="N78" s="54"/>
    </row>
    <row r="79" spans="1:14" s="22" customFormat="1">
      <c r="A79" s="156">
        <f>A76+1</f>
        <v>22</v>
      </c>
      <c r="B79" s="157" t="s">
        <v>29</v>
      </c>
      <c r="C79" s="158">
        <v>317165221</v>
      </c>
      <c r="D79" s="158" t="s">
        <v>294</v>
      </c>
      <c r="E79" s="157" t="s">
        <v>19</v>
      </c>
      <c r="F79" s="159">
        <f>SUM(F80)</f>
        <v>1</v>
      </c>
      <c r="G79" s="160"/>
      <c r="H79" s="71">
        <f>ROUND(F79*G79,2)</f>
        <v>0</v>
      </c>
      <c r="I79" s="41"/>
      <c r="J79" s="42">
        <v>3</v>
      </c>
      <c r="K79" s="43">
        <f>ROUND(F79*0.125*0.3*1.25*0.75,3)</f>
        <v>3.5000000000000003E-2</v>
      </c>
      <c r="L79" s="24"/>
      <c r="M79" s="54"/>
      <c r="N79" s="54"/>
    </row>
    <row r="80" spans="1:14" s="22" customFormat="1">
      <c r="A80" s="56"/>
      <c r="B80" s="3"/>
      <c r="C80" s="3"/>
      <c r="D80" s="172" t="s">
        <v>289</v>
      </c>
      <c r="E80" s="77"/>
      <c r="F80" s="57">
        <v>1</v>
      </c>
      <c r="G80" s="3"/>
      <c r="H80" s="58"/>
      <c r="I80" s="23"/>
      <c r="J80" s="39"/>
      <c r="K80" s="43"/>
      <c r="L80" s="24"/>
      <c r="M80" s="54"/>
      <c r="N80" s="54"/>
    </row>
    <row r="81" spans="1:14" s="22" customFormat="1">
      <c r="A81" s="56"/>
      <c r="B81" s="3"/>
      <c r="C81" s="3"/>
      <c r="D81" s="61" t="s">
        <v>26</v>
      </c>
      <c r="E81" s="62"/>
      <c r="F81" s="63">
        <f>SUM(F80:F80)</f>
        <v>1</v>
      </c>
      <c r="G81" s="3"/>
      <c r="H81" s="58"/>
      <c r="I81" s="23"/>
      <c r="J81" s="39"/>
      <c r="K81" s="43"/>
      <c r="L81" s="24"/>
      <c r="M81" s="54"/>
      <c r="N81" s="54"/>
    </row>
    <row r="82" spans="1:14" s="22" customFormat="1">
      <c r="A82" s="156">
        <f>A79+1</f>
        <v>23</v>
      </c>
      <c r="B82" s="157" t="s">
        <v>29</v>
      </c>
      <c r="C82" s="158">
        <v>317165222</v>
      </c>
      <c r="D82" s="158" t="s">
        <v>295</v>
      </c>
      <c r="E82" s="157" t="s">
        <v>19</v>
      </c>
      <c r="F82" s="159">
        <f>SUM(F83)</f>
        <v>2</v>
      </c>
      <c r="G82" s="160"/>
      <c r="H82" s="71">
        <f>ROUND(F82*G82,2)</f>
        <v>0</v>
      </c>
      <c r="I82" s="41"/>
      <c r="J82" s="42">
        <v>3</v>
      </c>
      <c r="K82" s="43">
        <f>ROUND(F82*0.125*0.3*1.5*0.75,3)</f>
        <v>8.4000000000000005E-2</v>
      </c>
      <c r="L82" s="24"/>
      <c r="M82" s="54"/>
      <c r="N82" s="54"/>
    </row>
    <row r="83" spans="1:14" s="22" customFormat="1">
      <c r="A83" s="56"/>
      <c r="B83" s="3"/>
      <c r="C83" s="3"/>
      <c r="D83" s="172" t="s">
        <v>290</v>
      </c>
      <c r="E83" s="77"/>
      <c r="F83" s="57">
        <v>2</v>
      </c>
      <c r="G83" s="3"/>
      <c r="H83" s="58"/>
      <c r="I83" s="23"/>
      <c r="J83" s="39"/>
      <c r="K83" s="43"/>
      <c r="L83" s="24"/>
      <c r="M83" s="54"/>
      <c r="N83" s="54"/>
    </row>
    <row r="84" spans="1:14" s="22" customFormat="1">
      <c r="A84" s="56"/>
      <c r="B84" s="3"/>
      <c r="C84" s="3"/>
      <c r="D84" s="61" t="s">
        <v>26</v>
      </c>
      <c r="E84" s="62"/>
      <c r="F84" s="63">
        <f>SUM(F83:F83)</f>
        <v>2</v>
      </c>
      <c r="G84" s="3"/>
      <c r="H84" s="58"/>
      <c r="I84" s="23"/>
      <c r="J84" s="39"/>
      <c r="K84" s="43"/>
      <c r="L84" s="24"/>
      <c r="M84" s="54"/>
      <c r="N84" s="54"/>
    </row>
    <row r="85" spans="1:14" s="22" customFormat="1">
      <c r="A85" s="156">
        <f>A82+1</f>
        <v>24</v>
      </c>
      <c r="B85" s="157" t="s">
        <v>29</v>
      </c>
      <c r="C85" s="158">
        <v>317165223</v>
      </c>
      <c r="D85" s="158" t="s">
        <v>296</v>
      </c>
      <c r="E85" s="157" t="s">
        <v>19</v>
      </c>
      <c r="F85" s="159">
        <f>SUM(F86)</f>
        <v>4</v>
      </c>
      <c r="G85" s="160"/>
      <c r="H85" s="71">
        <f>ROUND(F85*G85,2)</f>
        <v>0</v>
      </c>
      <c r="I85" s="41"/>
      <c r="J85" s="42">
        <v>3</v>
      </c>
      <c r="K85" s="43">
        <f>ROUND(F85*0.125*0.3*1.75*0.75,3)</f>
        <v>0.19700000000000001</v>
      </c>
      <c r="L85" s="24"/>
      <c r="M85" s="54"/>
      <c r="N85" s="54"/>
    </row>
    <row r="86" spans="1:14" s="22" customFormat="1">
      <c r="A86" s="56"/>
      <c r="B86" s="3"/>
      <c r="C86" s="3"/>
      <c r="D86" s="172" t="s">
        <v>291</v>
      </c>
      <c r="E86" s="77"/>
      <c r="F86" s="57">
        <v>4</v>
      </c>
      <c r="G86" s="3"/>
      <c r="H86" s="58"/>
      <c r="I86" s="23"/>
      <c r="J86" s="39"/>
      <c r="K86" s="43"/>
      <c r="L86" s="24"/>
      <c r="M86" s="54"/>
      <c r="N86" s="54"/>
    </row>
    <row r="87" spans="1:14" s="22" customFormat="1">
      <c r="A87" s="56"/>
      <c r="B87" s="3"/>
      <c r="C87" s="3"/>
      <c r="D87" s="61" t="s">
        <v>26</v>
      </c>
      <c r="E87" s="62"/>
      <c r="F87" s="63">
        <f>SUM(F86:F86)</f>
        <v>4</v>
      </c>
      <c r="G87" s="3"/>
      <c r="H87" s="58"/>
      <c r="I87" s="23"/>
      <c r="J87" s="39"/>
      <c r="K87" s="43"/>
      <c r="L87" s="24"/>
      <c r="M87" s="54"/>
      <c r="N87" s="54"/>
    </row>
    <row r="88" spans="1:14" s="22" customFormat="1">
      <c r="A88" s="156">
        <f>A85+1</f>
        <v>25</v>
      </c>
      <c r="B88" s="157" t="s">
        <v>29</v>
      </c>
      <c r="C88" s="158">
        <v>317165225</v>
      </c>
      <c r="D88" s="158" t="s">
        <v>297</v>
      </c>
      <c r="E88" s="157" t="s">
        <v>19</v>
      </c>
      <c r="F88" s="159">
        <f>SUM(F89)</f>
        <v>3</v>
      </c>
      <c r="G88" s="160"/>
      <c r="H88" s="71">
        <f>ROUND(F88*G88,2)</f>
        <v>0</v>
      </c>
      <c r="I88" s="41"/>
      <c r="J88" s="42">
        <v>3</v>
      </c>
      <c r="K88" s="43">
        <f>ROUND(F88*0.125*0.3*2.25*0.75,3)</f>
        <v>0.19</v>
      </c>
      <c r="L88" s="24"/>
      <c r="M88" s="54"/>
      <c r="N88" s="54"/>
    </row>
    <row r="89" spans="1:14" s="22" customFormat="1">
      <c r="A89" s="56"/>
      <c r="B89" s="3"/>
      <c r="C89" s="3"/>
      <c r="D89" s="172" t="s">
        <v>292</v>
      </c>
      <c r="E89" s="77"/>
      <c r="F89" s="57">
        <v>3</v>
      </c>
      <c r="G89" s="3"/>
      <c r="H89" s="58"/>
      <c r="I89" s="23"/>
      <c r="J89" s="39"/>
      <c r="K89" s="43"/>
      <c r="L89" s="24"/>
      <c r="M89" s="54"/>
      <c r="N89" s="54"/>
    </row>
    <row r="90" spans="1:14" s="22" customFormat="1">
      <c r="A90" s="56"/>
      <c r="B90" s="3"/>
      <c r="C90" s="3"/>
      <c r="D90" s="61" t="s">
        <v>26</v>
      </c>
      <c r="E90" s="62"/>
      <c r="F90" s="63">
        <f>SUM(F89:F89)</f>
        <v>3</v>
      </c>
      <c r="G90" s="3"/>
      <c r="H90" s="58"/>
      <c r="I90" s="23"/>
      <c r="J90" s="39"/>
      <c r="K90" s="43"/>
      <c r="L90" s="24"/>
      <c r="M90" s="54"/>
      <c r="N90" s="54"/>
    </row>
    <row r="91" spans="1:14" s="22" customFormat="1">
      <c r="A91" s="156">
        <f>A88+1</f>
        <v>26</v>
      </c>
      <c r="B91" s="157" t="s">
        <v>29</v>
      </c>
      <c r="C91" s="158">
        <v>317165129</v>
      </c>
      <c r="D91" s="158" t="s">
        <v>298</v>
      </c>
      <c r="E91" s="157" t="s">
        <v>19</v>
      </c>
      <c r="F91" s="159">
        <f>SUM(F92)</f>
        <v>2</v>
      </c>
      <c r="G91" s="160"/>
      <c r="H91" s="71">
        <f>ROUND(F91*G91,2)</f>
        <v>0</v>
      </c>
      <c r="I91" s="41"/>
      <c r="J91" s="42">
        <v>3</v>
      </c>
      <c r="K91" s="43">
        <f>ROUND(F91*0.125*0.15*3*0.75,3)</f>
        <v>8.4000000000000005E-2</v>
      </c>
      <c r="L91" s="24"/>
      <c r="M91" s="54"/>
      <c r="N91" s="54"/>
    </row>
    <row r="92" spans="1:14" s="22" customFormat="1">
      <c r="A92" s="56"/>
      <c r="B92" s="3"/>
      <c r="C92" s="3"/>
      <c r="D92" s="172" t="s">
        <v>293</v>
      </c>
      <c r="E92" s="77"/>
      <c r="F92" s="57">
        <v>2</v>
      </c>
      <c r="G92" s="3"/>
      <c r="H92" s="58"/>
      <c r="I92" s="23"/>
      <c r="J92" s="39"/>
      <c r="K92" s="43"/>
      <c r="L92" s="24"/>
      <c r="M92" s="54"/>
      <c r="N92" s="54"/>
    </row>
    <row r="93" spans="1:14" s="22" customFormat="1">
      <c r="A93" s="56"/>
      <c r="B93" s="3"/>
      <c r="C93" s="3"/>
      <c r="D93" s="61" t="s">
        <v>26</v>
      </c>
      <c r="E93" s="62"/>
      <c r="F93" s="63">
        <f>SUM(F92:F92)</f>
        <v>2</v>
      </c>
      <c r="G93" s="3"/>
      <c r="H93" s="58"/>
      <c r="I93" s="23"/>
      <c r="J93" s="39"/>
      <c r="K93" s="43"/>
      <c r="L93" s="24"/>
      <c r="M93" s="54"/>
      <c r="N93" s="54"/>
    </row>
    <row r="94" spans="1:14" s="22" customFormat="1">
      <c r="A94" s="156">
        <f>A91+1</f>
        <v>27</v>
      </c>
      <c r="B94" s="157" t="s">
        <v>29</v>
      </c>
      <c r="C94" s="158">
        <v>342272103</v>
      </c>
      <c r="D94" s="158" t="s">
        <v>285</v>
      </c>
      <c r="E94" s="157" t="s">
        <v>13</v>
      </c>
      <c r="F94" s="159">
        <f>SUM(F96)</f>
        <v>76.040000000000006</v>
      </c>
      <c r="G94" s="160"/>
      <c r="H94" s="71">
        <f>ROUND(F94*G94,2)</f>
        <v>0</v>
      </c>
      <c r="I94" s="41"/>
      <c r="J94" s="42">
        <v>3</v>
      </c>
      <c r="K94" s="43">
        <f>ROUND(F94*1.6*0.15,3)</f>
        <v>18.25</v>
      </c>
      <c r="L94" s="24"/>
      <c r="M94" s="54"/>
      <c r="N94" s="54"/>
    </row>
    <row r="95" spans="1:14" s="22" customFormat="1" ht="22.5">
      <c r="A95" s="56"/>
      <c r="B95" s="3"/>
      <c r="C95" s="3"/>
      <c r="D95" s="59" t="s">
        <v>286</v>
      </c>
      <c r="E95" s="77"/>
      <c r="F95" s="57">
        <f>ROUND((6.4+1.8+7.3+2*1.83+1.4+2.92+4)*3-(0.8*2+4*0.6*2),2)</f>
        <v>76.040000000000006</v>
      </c>
      <c r="G95" s="3"/>
      <c r="H95" s="58"/>
      <c r="I95" s="23"/>
      <c r="J95" s="39"/>
      <c r="K95" s="43"/>
      <c r="L95" s="24"/>
      <c r="M95" s="54"/>
      <c r="N95" s="54"/>
    </row>
    <row r="96" spans="1:14" s="22" customFormat="1">
      <c r="A96" s="56"/>
      <c r="B96" s="3"/>
      <c r="C96" s="3"/>
      <c r="D96" s="61" t="s">
        <v>26</v>
      </c>
      <c r="E96" s="62"/>
      <c r="F96" s="63">
        <f>SUM(F95:F95)</f>
        <v>76.040000000000006</v>
      </c>
      <c r="G96" s="3"/>
      <c r="H96" s="58"/>
      <c r="I96" s="23"/>
      <c r="J96" s="39"/>
      <c r="K96" s="43"/>
      <c r="L96" s="24"/>
      <c r="M96" s="54"/>
      <c r="N96" s="54"/>
    </row>
    <row r="97" spans="1:14" s="22" customFormat="1" ht="21" customHeight="1">
      <c r="A97" s="4"/>
      <c r="B97" s="4"/>
      <c r="C97" s="5">
        <v>4</v>
      </c>
      <c r="D97" s="5" t="s">
        <v>18</v>
      </c>
      <c r="E97" s="7"/>
      <c r="F97" s="8"/>
      <c r="G97" s="4"/>
      <c r="H97" s="66">
        <f>SUM(H98:H116)</f>
        <v>0</v>
      </c>
      <c r="I97" s="45"/>
      <c r="J97" s="42">
        <v>4</v>
      </c>
      <c r="K97" s="50"/>
      <c r="L97" s="24"/>
      <c r="M97" s="54"/>
      <c r="N97" s="54"/>
    </row>
    <row r="98" spans="1:14" s="22" customFormat="1" ht="36">
      <c r="A98" s="156">
        <f>A94+1</f>
        <v>28</v>
      </c>
      <c r="B98" s="157" t="s">
        <v>29</v>
      </c>
      <c r="C98" s="158">
        <v>411162820</v>
      </c>
      <c r="D98" s="158" t="s">
        <v>317</v>
      </c>
      <c r="E98" s="157" t="s">
        <v>13</v>
      </c>
      <c r="F98" s="159">
        <f>F100</f>
        <v>71.7</v>
      </c>
      <c r="G98" s="160"/>
      <c r="H98" s="71">
        <f>ROUND(F98*G98,2)</f>
        <v>0</v>
      </c>
      <c r="I98" s="41"/>
      <c r="J98" s="42">
        <v>4</v>
      </c>
      <c r="K98" s="43">
        <f>ROUND(F98*0.25*2.4,3)</f>
        <v>43.02</v>
      </c>
      <c r="L98" s="24"/>
      <c r="M98" s="54"/>
      <c r="N98" s="54"/>
    </row>
    <row r="99" spans="1:14" s="22" customFormat="1">
      <c r="A99" s="56"/>
      <c r="B99" s="3"/>
      <c r="C99" s="3"/>
      <c r="D99" s="59" t="s">
        <v>319</v>
      </c>
      <c r="E99" s="77"/>
      <c r="F99" s="57">
        <f>ROUND(11.2*6.4,1)</f>
        <v>71.7</v>
      </c>
      <c r="G99" s="3"/>
      <c r="H99" s="58"/>
      <c r="I99" s="23"/>
      <c r="J99" s="39"/>
      <c r="K99" s="43"/>
      <c r="L99" s="24"/>
      <c r="M99" s="54"/>
      <c r="N99" s="54"/>
    </row>
    <row r="100" spans="1:14" s="22" customFormat="1">
      <c r="A100" s="56"/>
      <c r="B100" s="3"/>
      <c r="C100" s="3"/>
      <c r="D100" s="61" t="s">
        <v>26</v>
      </c>
      <c r="E100" s="62"/>
      <c r="F100" s="63">
        <f>SUM(F99:F99)</f>
        <v>71.7</v>
      </c>
      <c r="G100" s="3"/>
      <c r="H100" s="58"/>
      <c r="I100" s="23"/>
      <c r="J100" s="39"/>
      <c r="K100" s="43"/>
      <c r="L100" s="24"/>
      <c r="M100" s="54"/>
      <c r="N100" s="54"/>
    </row>
    <row r="101" spans="1:14" s="22" customFormat="1" ht="24">
      <c r="A101" s="156">
        <f>A98+1</f>
        <v>29</v>
      </c>
      <c r="B101" s="157" t="s">
        <v>29</v>
      </c>
      <c r="C101" s="158" t="s">
        <v>73</v>
      </c>
      <c r="D101" s="158" t="s">
        <v>346</v>
      </c>
      <c r="E101" s="157" t="s">
        <v>15</v>
      </c>
      <c r="F101" s="159">
        <f>SUM(F103)</f>
        <v>0.45400000000000001</v>
      </c>
      <c r="G101" s="160"/>
      <c r="H101" s="71">
        <f>ROUND(F101*G101,2)</f>
        <v>0</v>
      </c>
      <c r="I101" s="23"/>
      <c r="J101" s="42">
        <v>4</v>
      </c>
      <c r="K101" s="43">
        <f>F101</f>
        <v>0.45400000000000001</v>
      </c>
      <c r="L101" s="24"/>
      <c r="M101" s="54"/>
      <c r="N101" s="54"/>
    </row>
    <row r="102" spans="1:14" s="22" customFormat="1">
      <c r="A102" s="56"/>
      <c r="B102" s="3"/>
      <c r="C102" s="3"/>
      <c r="D102" s="172" t="s">
        <v>349</v>
      </c>
      <c r="E102" s="77"/>
      <c r="F102" s="57">
        <f>454/1000</f>
        <v>0.45400000000000001</v>
      </c>
      <c r="G102" s="3"/>
      <c r="H102" s="58"/>
      <c r="I102" s="23"/>
      <c r="J102" s="39"/>
      <c r="K102" s="43"/>
      <c r="L102" s="24"/>
      <c r="M102" s="54"/>
      <c r="N102" s="54"/>
    </row>
    <row r="103" spans="1:14" s="22" customFormat="1">
      <c r="A103" s="56"/>
      <c r="B103" s="3"/>
      <c r="C103" s="3"/>
      <c r="D103" s="61" t="s">
        <v>26</v>
      </c>
      <c r="E103" s="62"/>
      <c r="F103" s="63">
        <f>SUM(F102:F102)</f>
        <v>0.45400000000000001</v>
      </c>
      <c r="G103" s="3"/>
      <c r="H103" s="58"/>
      <c r="I103" s="23"/>
      <c r="J103" s="39"/>
      <c r="K103" s="43"/>
      <c r="L103" s="24"/>
      <c r="M103" s="54"/>
      <c r="N103" s="54"/>
    </row>
    <row r="104" spans="1:14" s="22" customFormat="1" ht="36">
      <c r="A104" s="156">
        <f>A101+1</f>
        <v>30</v>
      </c>
      <c r="B104" s="157" t="s">
        <v>29</v>
      </c>
      <c r="C104" s="158" t="s">
        <v>347</v>
      </c>
      <c r="D104" s="158" t="s">
        <v>348</v>
      </c>
      <c r="E104" s="157" t="s">
        <v>15</v>
      </c>
      <c r="F104" s="159">
        <f>SUM(F106)</f>
        <v>0.53100000000000003</v>
      </c>
      <c r="G104" s="160"/>
      <c r="H104" s="71">
        <f>ROUND(F104*G104,2)</f>
        <v>0</v>
      </c>
      <c r="I104" s="23"/>
      <c r="J104" s="42">
        <v>4</v>
      </c>
      <c r="K104" s="43">
        <f>F104</f>
        <v>0.53100000000000003</v>
      </c>
      <c r="L104" s="24"/>
      <c r="M104" s="54"/>
      <c r="N104" s="54"/>
    </row>
    <row r="105" spans="1:14" s="22" customFormat="1">
      <c r="A105" s="56"/>
      <c r="B105" s="3"/>
      <c r="C105" s="3"/>
      <c r="D105" s="172" t="s">
        <v>350</v>
      </c>
      <c r="E105" s="77"/>
      <c r="F105" s="57">
        <f>531/1000</f>
        <v>0.53100000000000003</v>
      </c>
      <c r="G105" s="3"/>
      <c r="H105" s="58"/>
      <c r="I105" s="23"/>
      <c r="J105" s="39"/>
      <c r="K105" s="43"/>
      <c r="L105" s="24"/>
      <c r="M105" s="54"/>
      <c r="N105" s="54"/>
    </row>
    <row r="106" spans="1:14" s="22" customFormat="1">
      <c r="A106" s="56"/>
      <c r="B106" s="3"/>
      <c r="C106" s="3"/>
      <c r="D106" s="61" t="s">
        <v>26</v>
      </c>
      <c r="E106" s="62"/>
      <c r="F106" s="63">
        <f>SUM(F105:F105)</f>
        <v>0.53100000000000003</v>
      </c>
      <c r="G106" s="3"/>
      <c r="H106" s="58"/>
      <c r="I106" s="23"/>
      <c r="J106" s="39"/>
      <c r="K106" s="43"/>
      <c r="L106" s="24"/>
      <c r="M106" s="54"/>
      <c r="N106" s="54"/>
    </row>
    <row r="107" spans="1:14" s="22" customFormat="1" ht="24">
      <c r="A107" s="156">
        <f>A104+1</f>
        <v>31</v>
      </c>
      <c r="B107" s="157" t="s">
        <v>29</v>
      </c>
      <c r="C107" s="158" t="s">
        <v>148</v>
      </c>
      <c r="D107" s="158" t="s">
        <v>150</v>
      </c>
      <c r="E107" s="157" t="s">
        <v>12</v>
      </c>
      <c r="F107" s="159">
        <f>F109</f>
        <v>5.46</v>
      </c>
      <c r="G107" s="160"/>
      <c r="H107" s="71">
        <f>ROUND(F107*G107,2)</f>
        <v>0</v>
      </c>
      <c r="I107" s="41"/>
      <c r="J107" s="42">
        <v>4</v>
      </c>
      <c r="K107" s="43">
        <f>ROUND(F107*2.4,3)</f>
        <v>13.103999999999999</v>
      </c>
      <c r="L107" s="24"/>
      <c r="M107" s="54"/>
      <c r="N107" s="54"/>
    </row>
    <row r="108" spans="1:14" s="22" customFormat="1">
      <c r="A108" s="56"/>
      <c r="B108" s="3"/>
      <c r="C108" s="3"/>
      <c r="D108" s="59" t="s">
        <v>318</v>
      </c>
      <c r="E108" s="77"/>
      <c r="F108" s="57">
        <f>ROUND(2*2*(11.8+6.4)*0.3*0.25,2)</f>
        <v>5.46</v>
      </c>
      <c r="G108" s="3"/>
      <c r="H108" s="58"/>
      <c r="I108" s="23"/>
      <c r="J108" s="39"/>
      <c r="K108" s="43"/>
      <c r="L108" s="24"/>
      <c r="M108" s="54"/>
      <c r="N108" s="54"/>
    </row>
    <row r="109" spans="1:14" s="22" customFormat="1">
      <c r="A109" s="56"/>
      <c r="B109" s="3"/>
      <c r="C109" s="3"/>
      <c r="D109" s="61" t="s">
        <v>26</v>
      </c>
      <c r="E109" s="62"/>
      <c r="F109" s="63">
        <f>SUM(F108:F108)</f>
        <v>5.46</v>
      </c>
      <c r="G109" s="3"/>
      <c r="H109" s="58"/>
      <c r="I109" s="23"/>
      <c r="J109" s="39"/>
      <c r="K109" s="43"/>
      <c r="L109" s="24"/>
      <c r="M109" s="54"/>
      <c r="N109" s="54"/>
    </row>
    <row r="110" spans="1:14" s="22" customFormat="1" ht="24">
      <c r="A110" s="156">
        <f>A107+1</f>
        <v>32</v>
      </c>
      <c r="B110" s="157" t="s">
        <v>29</v>
      </c>
      <c r="C110" s="158" t="s">
        <v>33</v>
      </c>
      <c r="D110" s="158" t="s">
        <v>151</v>
      </c>
      <c r="E110" s="157" t="s">
        <v>13</v>
      </c>
      <c r="F110" s="159">
        <f>F112</f>
        <v>36.4</v>
      </c>
      <c r="G110" s="160"/>
      <c r="H110" s="71">
        <f>ROUND(F110*G110,2)</f>
        <v>0</v>
      </c>
      <c r="I110" s="41"/>
      <c r="J110" s="42">
        <v>4</v>
      </c>
      <c r="K110" s="43">
        <f>ROUND(F110*0.012,3)</f>
        <v>0.437</v>
      </c>
      <c r="L110" s="24"/>
      <c r="M110" s="54"/>
      <c r="N110" s="54"/>
    </row>
    <row r="111" spans="1:14" s="22" customFormat="1">
      <c r="A111" s="56"/>
      <c r="B111" s="3"/>
      <c r="C111" s="3"/>
      <c r="D111" s="59" t="s">
        <v>321</v>
      </c>
      <c r="E111" s="77"/>
      <c r="F111" s="57">
        <f>ROUND(2*2*2*(11.8+6.4)*0.25,2)</f>
        <v>36.4</v>
      </c>
      <c r="G111" s="3"/>
      <c r="H111" s="58"/>
      <c r="I111" s="23"/>
      <c r="J111" s="39"/>
      <c r="K111" s="43"/>
      <c r="L111" s="24"/>
      <c r="M111" s="54"/>
      <c r="N111" s="54"/>
    </row>
    <row r="112" spans="1:14" s="22" customFormat="1">
      <c r="A112" s="56"/>
      <c r="B112" s="3"/>
      <c r="C112" s="3"/>
      <c r="D112" s="61" t="s">
        <v>26</v>
      </c>
      <c r="E112" s="62"/>
      <c r="F112" s="63">
        <f>SUM(F111:F111)</f>
        <v>36.4</v>
      </c>
      <c r="G112" s="3"/>
      <c r="H112" s="58"/>
      <c r="I112" s="23"/>
      <c r="J112" s="39"/>
      <c r="K112" s="43"/>
      <c r="L112" s="24"/>
      <c r="M112" s="54"/>
      <c r="N112" s="54"/>
    </row>
    <row r="113" spans="1:14" s="22" customFormat="1" ht="24">
      <c r="A113" s="156">
        <f>A110+1</f>
        <v>33</v>
      </c>
      <c r="B113" s="157" t="s">
        <v>29</v>
      </c>
      <c r="C113" s="158" t="s">
        <v>34</v>
      </c>
      <c r="D113" s="158" t="s">
        <v>152</v>
      </c>
      <c r="E113" s="157" t="s">
        <v>13</v>
      </c>
      <c r="F113" s="159">
        <f>F110</f>
        <v>36.4</v>
      </c>
      <c r="G113" s="160"/>
      <c r="H113" s="71">
        <f>ROUND(F113*G113,2)</f>
        <v>0</v>
      </c>
      <c r="I113" s="41"/>
      <c r="J113" s="42">
        <v>4</v>
      </c>
      <c r="K113" s="43">
        <f>ROUND(F113*0.012,3)</f>
        <v>0.437</v>
      </c>
      <c r="L113" s="24"/>
      <c r="M113" s="54"/>
      <c r="N113" s="54"/>
    </row>
    <row r="114" spans="1:14" s="22" customFormat="1" ht="24">
      <c r="A114" s="156">
        <f>A113+1</f>
        <v>34</v>
      </c>
      <c r="B114" s="157" t="s">
        <v>29</v>
      </c>
      <c r="C114" s="158" t="s">
        <v>74</v>
      </c>
      <c r="D114" s="158" t="s">
        <v>149</v>
      </c>
      <c r="E114" s="157" t="s">
        <v>15</v>
      </c>
      <c r="F114" s="159">
        <f>SUM(F116)</f>
        <v>0.44</v>
      </c>
      <c r="G114" s="160"/>
      <c r="H114" s="71">
        <f>ROUND(F114*G114,2)</f>
        <v>0</v>
      </c>
      <c r="I114" s="23" t="s">
        <v>72</v>
      </c>
      <c r="J114" s="42">
        <v>4</v>
      </c>
      <c r="K114" s="43">
        <f>F114</f>
        <v>0.44</v>
      </c>
      <c r="L114" s="24"/>
      <c r="M114" s="54"/>
      <c r="N114" s="54"/>
    </row>
    <row r="115" spans="1:14" s="22" customFormat="1">
      <c r="A115" s="56"/>
      <c r="B115" s="3"/>
      <c r="C115" s="3"/>
      <c r="D115" s="172" t="s">
        <v>320</v>
      </c>
      <c r="E115" s="77"/>
      <c r="F115" s="57">
        <f>ROUND(5.46*80/1000,2)</f>
        <v>0.44</v>
      </c>
      <c r="G115" s="3"/>
      <c r="H115" s="58"/>
      <c r="I115" s="23"/>
      <c r="J115" s="39"/>
      <c r="K115" s="43"/>
      <c r="L115" s="24"/>
      <c r="M115" s="54"/>
      <c r="N115" s="54"/>
    </row>
    <row r="116" spans="1:14" s="22" customFormat="1">
      <c r="A116" s="56"/>
      <c r="B116" s="3"/>
      <c r="C116" s="3"/>
      <c r="D116" s="61" t="s">
        <v>26</v>
      </c>
      <c r="E116" s="62"/>
      <c r="F116" s="63">
        <f>SUM(F115:F115)</f>
        <v>0.44</v>
      </c>
      <c r="G116" s="3"/>
      <c r="H116" s="58"/>
      <c r="I116" s="23"/>
      <c r="J116" s="39"/>
      <c r="K116" s="43"/>
      <c r="L116" s="24"/>
      <c r="M116" s="54"/>
      <c r="N116" s="54"/>
    </row>
    <row r="117" spans="1:14" s="22" customFormat="1" ht="21" customHeight="1">
      <c r="A117" s="4"/>
      <c r="B117" s="4"/>
      <c r="C117" s="5">
        <v>5</v>
      </c>
      <c r="D117" s="5" t="s">
        <v>52</v>
      </c>
      <c r="E117" s="7"/>
      <c r="F117" s="8"/>
      <c r="G117" s="4"/>
      <c r="H117" s="66">
        <f>SUM(H118:H127)</f>
        <v>0</v>
      </c>
      <c r="I117" s="45"/>
      <c r="J117" s="42">
        <v>6</v>
      </c>
      <c r="K117" s="50"/>
      <c r="L117" s="24"/>
      <c r="M117" s="54"/>
      <c r="N117" s="54"/>
    </row>
    <row r="118" spans="1:14" s="22" customFormat="1" ht="24">
      <c r="A118" s="156">
        <f>A114+1</f>
        <v>35</v>
      </c>
      <c r="B118" s="157" t="s">
        <v>29</v>
      </c>
      <c r="C118" s="158" t="s">
        <v>415</v>
      </c>
      <c r="D118" s="158" t="s">
        <v>303</v>
      </c>
      <c r="E118" s="157" t="s">
        <v>13</v>
      </c>
      <c r="F118" s="159">
        <f>F120</f>
        <v>10.63</v>
      </c>
      <c r="G118" s="160"/>
      <c r="H118" s="71">
        <f>ROUND(F118*G118,2)</f>
        <v>0</v>
      </c>
      <c r="I118" s="23"/>
      <c r="J118" s="42">
        <v>6</v>
      </c>
      <c r="K118" s="43">
        <f>ROUND(F118*0.1*1.8,3)</f>
        <v>1.913</v>
      </c>
      <c r="L118" s="24"/>
      <c r="M118" s="54"/>
      <c r="N118" s="54"/>
    </row>
    <row r="119" spans="1:14" s="22" customFormat="1">
      <c r="A119" s="56"/>
      <c r="B119" s="3"/>
      <c r="C119" s="3"/>
      <c r="D119" s="59" t="s">
        <v>302</v>
      </c>
      <c r="E119" s="77"/>
      <c r="F119" s="57">
        <f>ROUND(0.5*(7.15+13.1+1),2)</f>
        <v>10.63</v>
      </c>
      <c r="G119" s="3"/>
      <c r="H119" s="58"/>
      <c r="I119" s="23"/>
      <c r="J119" s="39"/>
      <c r="K119" s="43"/>
      <c r="L119" s="24"/>
      <c r="M119" s="54"/>
      <c r="N119" s="54"/>
    </row>
    <row r="120" spans="1:14" s="22" customFormat="1">
      <c r="A120" s="56"/>
      <c r="B120" s="3"/>
      <c r="C120" s="3"/>
      <c r="D120" s="61" t="s">
        <v>26</v>
      </c>
      <c r="E120" s="62"/>
      <c r="F120" s="63">
        <f>SUM(F119:F119)</f>
        <v>10.63</v>
      </c>
      <c r="G120" s="3"/>
      <c r="H120" s="58"/>
      <c r="I120" s="23"/>
      <c r="J120" s="39"/>
      <c r="K120" s="43"/>
      <c r="L120" s="24"/>
      <c r="M120" s="54"/>
      <c r="N120" s="54"/>
    </row>
    <row r="121" spans="1:14" s="22" customFormat="1" ht="36">
      <c r="A121" s="156">
        <f>A118+1</f>
        <v>36</v>
      </c>
      <c r="B121" s="157" t="s">
        <v>29</v>
      </c>
      <c r="C121" s="158">
        <v>564251111</v>
      </c>
      <c r="D121" s="158" t="s">
        <v>301</v>
      </c>
      <c r="E121" s="157" t="s">
        <v>13</v>
      </c>
      <c r="F121" s="159">
        <f>F123</f>
        <v>10.63</v>
      </c>
      <c r="G121" s="160"/>
      <c r="H121" s="71">
        <f>ROUND(F121*G121,2)</f>
        <v>0</v>
      </c>
      <c r="I121" s="23"/>
      <c r="J121" s="42">
        <v>6</v>
      </c>
      <c r="K121" s="43">
        <f>ROUND(F121*0.15*1.8,3)</f>
        <v>2.87</v>
      </c>
      <c r="L121" s="24"/>
      <c r="M121" s="54"/>
      <c r="N121" s="54"/>
    </row>
    <row r="122" spans="1:14" s="22" customFormat="1">
      <c r="A122" s="56"/>
      <c r="B122" s="3"/>
      <c r="C122" s="3"/>
      <c r="D122" s="59" t="s">
        <v>302</v>
      </c>
      <c r="E122" s="77"/>
      <c r="F122" s="57">
        <f>ROUND(0.5*(7.15+13.1+1),2)</f>
        <v>10.63</v>
      </c>
      <c r="G122" s="3"/>
      <c r="H122" s="58"/>
      <c r="I122" s="23"/>
      <c r="J122" s="39"/>
      <c r="K122" s="43"/>
      <c r="L122" s="24"/>
      <c r="M122" s="54"/>
      <c r="N122" s="54"/>
    </row>
    <row r="123" spans="1:14" s="22" customFormat="1">
      <c r="A123" s="56"/>
      <c r="B123" s="3"/>
      <c r="C123" s="3"/>
      <c r="D123" s="61" t="s">
        <v>26</v>
      </c>
      <c r="E123" s="62"/>
      <c r="F123" s="63">
        <f>SUM(F122:F122)</f>
        <v>10.63</v>
      </c>
      <c r="G123" s="3"/>
      <c r="H123" s="58"/>
      <c r="I123" s="23"/>
      <c r="J123" s="39"/>
      <c r="K123" s="43"/>
      <c r="L123" s="24"/>
      <c r="M123" s="54"/>
      <c r="N123" s="54"/>
    </row>
    <row r="124" spans="1:14" s="22" customFormat="1" ht="36">
      <c r="A124" s="156">
        <f>A121+1</f>
        <v>37</v>
      </c>
      <c r="B124" s="157" t="s">
        <v>29</v>
      </c>
      <c r="C124" s="158">
        <v>916561112</v>
      </c>
      <c r="D124" s="158" t="s">
        <v>172</v>
      </c>
      <c r="E124" s="157" t="s">
        <v>14</v>
      </c>
      <c r="F124" s="159">
        <f>F126</f>
        <v>22.3</v>
      </c>
      <c r="G124" s="160"/>
      <c r="H124" s="71">
        <f>ROUND(F124*G124,2)</f>
        <v>0</v>
      </c>
      <c r="I124" s="23"/>
      <c r="J124" s="42">
        <v>6</v>
      </c>
      <c r="K124" s="43"/>
      <c r="L124" s="24"/>
      <c r="M124" s="54"/>
      <c r="N124" s="54"/>
    </row>
    <row r="125" spans="1:14" s="22" customFormat="1">
      <c r="A125" s="56"/>
      <c r="B125" s="3"/>
      <c r="C125" s="3"/>
      <c r="D125" s="174" t="s">
        <v>299</v>
      </c>
      <c r="E125" s="77"/>
      <c r="F125" s="57">
        <f>0.55+7.65+13.1+1</f>
        <v>22.3</v>
      </c>
      <c r="G125" s="3"/>
      <c r="H125" s="58"/>
      <c r="I125" s="23"/>
      <c r="J125" s="39"/>
      <c r="K125" s="43"/>
      <c r="L125" s="24"/>
      <c r="M125" s="54"/>
      <c r="N125" s="54"/>
    </row>
    <row r="126" spans="1:14" s="22" customFormat="1">
      <c r="A126" s="56"/>
      <c r="B126" s="3"/>
      <c r="C126" s="3"/>
      <c r="D126" s="61" t="s">
        <v>26</v>
      </c>
      <c r="E126" s="62"/>
      <c r="F126" s="63">
        <f>SUM(F125:F125)</f>
        <v>22.3</v>
      </c>
      <c r="G126" s="3"/>
      <c r="H126" s="58"/>
      <c r="I126" s="23"/>
      <c r="J126" s="39"/>
      <c r="K126" s="43"/>
      <c r="L126" s="24"/>
      <c r="M126" s="54"/>
      <c r="N126" s="54"/>
    </row>
    <row r="127" spans="1:14" s="22" customFormat="1">
      <c r="A127" s="156">
        <f>A124+1</f>
        <v>38</v>
      </c>
      <c r="B127" s="175" t="s">
        <v>83</v>
      </c>
      <c r="C127" s="218">
        <v>592170001801</v>
      </c>
      <c r="D127" s="176" t="s">
        <v>173</v>
      </c>
      <c r="E127" s="175" t="s">
        <v>14</v>
      </c>
      <c r="F127" s="177">
        <f>F129</f>
        <v>23.42</v>
      </c>
      <c r="G127" s="178"/>
      <c r="H127" s="179">
        <f>ROUND(F127*G127,2)</f>
        <v>0</v>
      </c>
      <c r="I127" s="23"/>
      <c r="J127" s="42">
        <v>6</v>
      </c>
      <c r="K127" s="43"/>
      <c r="L127" s="24"/>
      <c r="M127" s="54"/>
      <c r="N127" s="54"/>
    </row>
    <row r="128" spans="1:14" s="22" customFormat="1">
      <c r="A128" s="56"/>
      <c r="B128" s="3"/>
      <c r="C128" s="3"/>
      <c r="D128" s="174" t="s">
        <v>300</v>
      </c>
      <c r="E128" s="77"/>
      <c r="F128" s="57">
        <f>ROUND(22.3*1.05,2)</f>
        <v>23.42</v>
      </c>
      <c r="G128" s="3"/>
      <c r="H128" s="58"/>
      <c r="I128" s="23"/>
      <c r="J128" s="39"/>
      <c r="K128" s="43"/>
      <c r="L128" s="24"/>
      <c r="M128" s="54"/>
      <c r="N128" s="54"/>
    </row>
    <row r="129" spans="1:14" s="22" customFormat="1">
      <c r="A129" s="56"/>
      <c r="B129" s="3"/>
      <c r="C129" s="3"/>
      <c r="D129" s="61" t="s">
        <v>26</v>
      </c>
      <c r="E129" s="62"/>
      <c r="F129" s="63">
        <f>SUM(F128:F128)</f>
        <v>23.42</v>
      </c>
      <c r="G129" s="3"/>
      <c r="H129" s="58"/>
      <c r="I129" s="23"/>
      <c r="J129" s="39"/>
      <c r="K129" s="43"/>
      <c r="L129" s="24"/>
      <c r="M129" s="54"/>
      <c r="N129" s="54"/>
    </row>
    <row r="130" spans="1:14" s="22" customFormat="1" ht="21" customHeight="1">
      <c r="A130" s="4"/>
      <c r="B130" s="4"/>
      <c r="C130" s="5">
        <v>6</v>
      </c>
      <c r="D130" s="5" t="s">
        <v>21</v>
      </c>
      <c r="E130" s="7"/>
      <c r="F130" s="8"/>
      <c r="G130" s="4"/>
      <c r="H130" s="66">
        <f>SUM(H131:H181)</f>
        <v>0</v>
      </c>
      <c r="I130" s="45"/>
      <c r="J130" s="42">
        <v>6</v>
      </c>
      <c r="K130" s="50"/>
      <c r="L130" s="24"/>
      <c r="M130" s="54"/>
      <c r="N130" s="54"/>
    </row>
    <row r="131" spans="1:14" s="22" customFormat="1" ht="24">
      <c r="A131" s="156">
        <f>A127+1</f>
        <v>39</v>
      </c>
      <c r="B131" s="157" t="s">
        <v>29</v>
      </c>
      <c r="C131" s="158">
        <v>611461115</v>
      </c>
      <c r="D131" s="158" t="s">
        <v>180</v>
      </c>
      <c r="E131" s="157" t="s">
        <v>13</v>
      </c>
      <c r="F131" s="159">
        <f>F133</f>
        <v>67.739999999999995</v>
      </c>
      <c r="G131" s="160"/>
      <c r="H131" s="71">
        <f>ROUND(F131*G131,2)</f>
        <v>0</v>
      </c>
      <c r="I131" s="23"/>
      <c r="J131" s="42">
        <v>6</v>
      </c>
      <c r="K131" s="43"/>
      <c r="L131" s="24"/>
      <c r="M131" s="54"/>
      <c r="N131" s="54"/>
    </row>
    <row r="132" spans="1:14" s="22" customFormat="1">
      <c r="A132" s="56"/>
      <c r="B132" s="3"/>
      <c r="C132" s="3"/>
      <c r="D132" s="174" t="s">
        <v>181</v>
      </c>
      <c r="E132" s="77"/>
      <c r="F132" s="57">
        <f>F134</f>
        <v>67.739999999999995</v>
      </c>
      <c r="G132" s="3"/>
      <c r="H132" s="58"/>
      <c r="I132" s="23"/>
      <c r="J132" s="39"/>
      <c r="K132" s="43"/>
      <c r="L132" s="24"/>
      <c r="M132" s="54"/>
      <c r="N132" s="54"/>
    </row>
    <row r="133" spans="1:14" s="22" customFormat="1">
      <c r="A133" s="56"/>
      <c r="B133" s="3"/>
      <c r="C133" s="3"/>
      <c r="D133" s="61" t="s">
        <v>26</v>
      </c>
      <c r="E133" s="62"/>
      <c r="F133" s="63">
        <f>SUM(F132:F132)</f>
        <v>67.739999999999995</v>
      </c>
      <c r="G133" s="3"/>
      <c r="H133" s="58"/>
      <c r="I133" s="23"/>
      <c r="J133" s="39"/>
      <c r="K133" s="43"/>
      <c r="L133" s="24"/>
      <c r="M133" s="54"/>
      <c r="N133" s="54"/>
    </row>
    <row r="134" spans="1:14" s="22" customFormat="1" ht="24">
      <c r="A134" s="156">
        <f>A131+1</f>
        <v>40</v>
      </c>
      <c r="B134" s="157" t="s">
        <v>29</v>
      </c>
      <c r="C134" s="158">
        <v>611465213</v>
      </c>
      <c r="D134" s="158" t="s">
        <v>248</v>
      </c>
      <c r="E134" s="157" t="s">
        <v>13</v>
      </c>
      <c r="F134" s="159">
        <f>F136</f>
        <v>67.739999999999995</v>
      </c>
      <c r="G134" s="160"/>
      <c r="H134" s="71">
        <f>ROUND(F134*G134,2)</f>
        <v>0</v>
      </c>
      <c r="I134" s="23"/>
      <c r="J134" s="42">
        <v>6</v>
      </c>
      <c r="K134" s="43">
        <f>ROUND(F134*0.0147,3)</f>
        <v>0.996</v>
      </c>
      <c r="L134" s="24"/>
      <c r="M134" s="54"/>
      <c r="N134" s="54"/>
    </row>
    <row r="135" spans="1:14" s="22" customFormat="1">
      <c r="A135" s="56"/>
      <c r="B135" s="3"/>
      <c r="C135" s="3"/>
      <c r="D135" s="59" t="s">
        <v>230</v>
      </c>
      <c r="E135" s="77"/>
      <c r="F135" s="57">
        <v>67.739999999999995</v>
      </c>
      <c r="G135" s="3"/>
      <c r="H135" s="58"/>
      <c r="I135" s="23"/>
      <c r="J135" s="39"/>
      <c r="K135" s="43"/>
      <c r="L135" s="24"/>
      <c r="M135" s="54"/>
      <c r="N135" s="54"/>
    </row>
    <row r="136" spans="1:14" s="22" customFormat="1">
      <c r="A136" s="56"/>
      <c r="B136" s="3"/>
      <c r="C136" s="3"/>
      <c r="D136" s="61" t="s">
        <v>26</v>
      </c>
      <c r="E136" s="62"/>
      <c r="F136" s="63">
        <f>SUM(F135:F135)</f>
        <v>67.739999999999995</v>
      </c>
      <c r="G136" s="3"/>
      <c r="H136" s="58"/>
      <c r="I136" s="23"/>
      <c r="J136" s="39"/>
      <c r="K136" s="43"/>
      <c r="L136" s="24"/>
      <c r="M136" s="54"/>
      <c r="N136" s="54"/>
    </row>
    <row r="137" spans="1:14" s="22" customFormat="1" ht="24">
      <c r="A137" s="156">
        <f>A134+1</f>
        <v>41</v>
      </c>
      <c r="B137" s="157" t="s">
        <v>29</v>
      </c>
      <c r="C137" s="158" t="s">
        <v>178</v>
      </c>
      <c r="D137" s="158" t="s">
        <v>179</v>
      </c>
      <c r="E137" s="157" t="s">
        <v>13</v>
      </c>
      <c r="F137" s="159">
        <f>F139</f>
        <v>258.45999999999998</v>
      </c>
      <c r="G137" s="160"/>
      <c r="H137" s="71">
        <f>ROUND(F137*G137,2)</f>
        <v>0</v>
      </c>
      <c r="I137" s="23"/>
      <c r="J137" s="42">
        <v>6</v>
      </c>
      <c r="K137" s="43"/>
      <c r="L137" s="24"/>
      <c r="M137" s="54"/>
      <c r="N137" s="54"/>
    </row>
    <row r="138" spans="1:14" s="22" customFormat="1">
      <c r="A138" s="56"/>
      <c r="B138" s="3"/>
      <c r="C138" s="3"/>
      <c r="D138" s="174" t="s">
        <v>79</v>
      </c>
      <c r="E138" s="77"/>
      <c r="F138" s="57">
        <f>F140</f>
        <v>258.45999999999998</v>
      </c>
      <c r="G138" s="3"/>
      <c r="H138" s="58"/>
      <c r="I138" s="23"/>
      <c r="J138" s="39"/>
      <c r="K138" s="43"/>
      <c r="L138" s="24"/>
      <c r="M138" s="54"/>
      <c r="N138" s="54"/>
    </row>
    <row r="139" spans="1:14" s="22" customFormat="1">
      <c r="A139" s="56"/>
      <c r="B139" s="3"/>
      <c r="C139" s="3"/>
      <c r="D139" s="61" t="s">
        <v>26</v>
      </c>
      <c r="E139" s="62"/>
      <c r="F139" s="63">
        <f>SUM(F138:F138)</f>
        <v>258.45999999999998</v>
      </c>
      <c r="G139" s="3"/>
      <c r="H139" s="58"/>
      <c r="I139" s="23"/>
      <c r="J139" s="39"/>
      <c r="K139" s="43"/>
      <c r="L139" s="24"/>
      <c r="M139" s="54"/>
      <c r="N139" s="54"/>
    </row>
    <row r="140" spans="1:14" s="22" customFormat="1" ht="36">
      <c r="A140" s="156">
        <f>A137+1</f>
        <v>42</v>
      </c>
      <c r="B140" s="157" t="s">
        <v>29</v>
      </c>
      <c r="C140" s="158">
        <v>612465131</v>
      </c>
      <c r="D140" s="158" t="s">
        <v>182</v>
      </c>
      <c r="E140" s="157" t="s">
        <v>13</v>
      </c>
      <c r="F140" s="159">
        <f>F142</f>
        <v>258.45999999999998</v>
      </c>
      <c r="G140" s="160"/>
      <c r="H140" s="71">
        <f>ROUND(F140*G140,2)</f>
        <v>0</v>
      </c>
      <c r="I140" s="23"/>
      <c r="J140" s="42">
        <v>6</v>
      </c>
      <c r="K140" s="43">
        <f>ROUND(F140*0.0147,3)</f>
        <v>3.7989999999999999</v>
      </c>
      <c r="L140" s="24"/>
      <c r="M140" s="54"/>
      <c r="N140" s="54"/>
    </row>
    <row r="141" spans="1:14" s="22" customFormat="1">
      <c r="A141" s="56"/>
      <c r="B141" s="3"/>
      <c r="C141" s="3"/>
      <c r="D141" s="59" t="s">
        <v>249</v>
      </c>
      <c r="E141" s="77"/>
      <c r="F141" s="57">
        <v>258.45999999999998</v>
      </c>
      <c r="G141" s="3"/>
      <c r="H141" s="58"/>
      <c r="I141" s="23"/>
      <c r="J141" s="39"/>
      <c r="K141" s="43"/>
      <c r="L141" s="24"/>
      <c r="M141" s="54"/>
      <c r="N141" s="54"/>
    </row>
    <row r="142" spans="1:14" s="22" customFormat="1">
      <c r="A142" s="56"/>
      <c r="B142" s="3"/>
      <c r="C142" s="3"/>
      <c r="D142" s="61" t="s">
        <v>26</v>
      </c>
      <c r="E142" s="62"/>
      <c r="F142" s="63">
        <f>SUM(F141:F141)</f>
        <v>258.45999999999998</v>
      </c>
      <c r="G142" s="3"/>
      <c r="H142" s="58"/>
      <c r="I142" s="23"/>
      <c r="J142" s="39"/>
      <c r="K142" s="43"/>
      <c r="L142" s="24"/>
      <c r="M142" s="54"/>
      <c r="N142" s="54"/>
    </row>
    <row r="143" spans="1:14" s="22" customFormat="1" ht="36">
      <c r="A143" s="156">
        <f>A140+1</f>
        <v>43</v>
      </c>
      <c r="B143" s="157" t="s">
        <v>29</v>
      </c>
      <c r="C143" s="158">
        <v>622462542</v>
      </c>
      <c r="D143" s="158" t="s">
        <v>176</v>
      </c>
      <c r="E143" s="157" t="s">
        <v>13</v>
      </c>
      <c r="F143" s="159">
        <f>F147</f>
        <v>104.1</v>
      </c>
      <c r="G143" s="160"/>
      <c r="H143" s="71">
        <f>ROUND(F143*G143,2)</f>
        <v>0</v>
      </c>
      <c r="I143" s="23"/>
      <c r="J143" s="42">
        <v>6</v>
      </c>
      <c r="K143" s="43"/>
      <c r="L143" s="24"/>
      <c r="M143" s="54"/>
      <c r="N143" s="54"/>
    </row>
    <row r="144" spans="1:14" s="22" customFormat="1">
      <c r="A144" s="56"/>
      <c r="B144" s="3"/>
      <c r="C144" s="3"/>
      <c r="D144" s="208" t="s">
        <v>376</v>
      </c>
      <c r="E144" s="77"/>
      <c r="F144" s="57"/>
      <c r="G144" s="3"/>
      <c r="H144" s="58"/>
      <c r="I144" s="23"/>
      <c r="J144" s="39"/>
      <c r="K144" s="43"/>
      <c r="L144" s="24"/>
      <c r="M144" s="54"/>
    </row>
    <row r="145" spans="1:14" s="22" customFormat="1" ht="33.75">
      <c r="A145" s="56"/>
      <c r="B145" s="3"/>
      <c r="C145" s="3"/>
      <c r="D145" s="174" t="s">
        <v>323</v>
      </c>
      <c r="E145" s="77"/>
      <c r="F145" s="57">
        <f>ROUND(2*(12+7.2)*3.5-(2*1.1*2.4+1.8*2.4+2*1.8*1.5+2.4*0.75+4*1.2*0.75),2)</f>
        <v>114</v>
      </c>
      <c r="G145" s="3"/>
      <c r="H145" s="58"/>
      <c r="I145" s="23"/>
      <c r="J145" s="39"/>
      <c r="K145" s="43"/>
      <c r="L145" s="24"/>
      <c r="M145" s="54"/>
      <c r="N145" s="54"/>
    </row>
    <row r="146" spans="1:14" s="22" customFormat="1">
      <c r="A146" s="56"/>
      <c r="B146" s="3"/>
      <c r="C146" s="3"/>
      <c r="D146" s="174" t="s">
        <v>381</v>
      </c>
      <c r="E146" s="77"/>
      <c r="F146" s="57">
        <v>-9.9</v>
      </c>
      <c r="G146" s="3"/>
      <c r="H146" s="58"/>
      <c r="I146" s="23"/>
      <c r="J146" s="39"/>
      <c r="K146" s="43"/>
      <c r="L146" s="24"/>
      <c r="M146" s="54"/>
      <c r="N146" s="54"/>
    </row>
    <row r="147" spans="1:14" s="22" customFormat="1">
      <c r="A147" s="56"/>
      <c r="B147" s="3"/>
      <c r="C147" s="3"/>
      <c r="D147" s="61" t="s">
        <v>26</v>
      </c>
      <c r="E147" s="62"/>
      <c r="F147" s="63">
        <f>SUM(F145:F146)</f>
        <v>104.1</v>
      </c>
      <c r="G147" s="3"/>
      <c r="H147" s="58"/>
      <c r="I147" s="23"/>
      <c r="J147" s="39"/>
      <c r="K147" s="43"/>
      <c r="L147" s="24"/>
      <c r="M147" s="54"/>
      <c r="N147" s="54"/>
    </row>
    <row r="148" spans="1:14" s="22" customFormat="1" ht="24">
      <c r="A148" s="156">
        <f>A143+1</f>
        <v>44</v>
      </c>
      <c r="B148" s="157" t="s">
        <v>29</v>
      </c>
      <c r="C148" s="158">
        <v>622466115</v>
      </c>
      <c r="D148" s="158" t="s">
        <v>177</v>
      </c>
      <c r="E148" s="157" t="s">
        <v>13</v>
      </c>
      <c r="F148" s="159">
        <f>F151</f>
        <v>125.89999999999999</v>
      </c>
      <c r="G148" s="160"/>
      <c r="H148" s="71">
        <f>ROUND(F148*G148,2)</f>
        <v>0</v>
      </c>
      <c r="I148" s="23"/>
      <c r="J148" s="42">
        <v>6</v>
      </c>
      <c r="K148" s="43"/>
      <c r="L148" s="24"/>
      <c r="M148" s="54"/>
      <c r="N148" s="54"/>
    </row>
    <row r="149" spans="1:14" s="22" customFormat="1">
      <c r="A149" s="56"/>
      <c r="B149" s="3"/>
      <c r="C149" s="3"/>
      <c r="D149" s="174" t="s">
        <v>377</v>
      </c>
      <c r="E149" s="77"/>
      <c r="F149" s="57">
        <f>F143</f>
        <v>104.1</v>
      </c>
      <c r="G149" s="3"/>
      <c r="H149" s="58"/>
      <c r="I149" s="23"/>
      <c r="J149" s="39"/>
      <c r="K149" s="43"/>
      <c r="L149" s="24"/>
      <c r="M149" s="54"/>
      <c r="N149" s="54"/>
    </row>
    <row r="150" spans="1:14" s="22" customFormat="1">
      <c r="A150" s="56"/>
      <c r="B150" s="3"/>
      <c r="C150" s="3"/>
      <c r="D150" s="174" t="s">
        <v>378</v>
      </c>
      <c r="E150" s="77"/>
      <c r="F150" s="57">
        <f>F159</f>
        <v>21.8</v>
      </c>
      <c r="G150" s="3"/>
      <c r="H150" s="58"/>
      <c r="I150" s="23"/>
      <c r="J150" s="39"/>
      <c r="K150" s="43"/>
      <c r="L150" s="24"/>
      <c r="M150" s="54"/>
      <c r="N150" s="54"/>
    </row>
    <row r="151" spans="1:14" s="22" customFormat="1">
      <c r="A151" s="56"/>
      <c r="B151" s="3"/>
      <c r="C151" s="3"/>
      <c r="D151" s="61" t="s">
        <v>26</v>
      </c>
      <c r="E151" s="62"/>
      <c r="F151" s="63">
        <f>SUM(F149:F150)</f>
        <v>125.89999999999999</v>
      </c>
      <c r="G151" s="3"/>
      <c r="H151" s="58"/>
      <c r="I151" s="23"/>
      <c r="J151" s="39"/>
      <c r="K151" s="43"/>
      <c r="L151" s="24"/>
      <c r="M151" s="54"/>
      <c r="N151" s="54"/>
    </row>
    <row r="152" spans="1:14" s="22" customFormat="1" ht="36">
      <c r="A152" s="156">
        <f>A148+1</f>
        <v>45</v>
      </c>
      <c r="B152" s="157" t="s">
        <v>29</v>
      </c>
      <c r="C152" s="158" t="s">
        <v>416</v>
      </c>
      <c r="D152" s="158" t="s">
        <v>382</v>
      </c>
      <c r="E152" s="157" t="s">
        <v>13</v>
      </c>
      <c r="F152" s="159">
        <f>F154</f>
        <v>9.9</v>
      </c>
      <c r="G152" s="160"/>
      <c r="H152" s="71">
        <f>ROUND(F152*G152,2)</f>
        <v>0</v>
      </c>
      <c r="I152" s="23"/>
      <c r="J152" s="42">
        <v>6</v>
      </c>
      <c r="K152" s="43">
        <f>ROUND(F152*0.1*0.033,3)</f>
        <v>3.3000000000000002E-2</v>
      </c>
      <c r="L152" s="24"/>
      <c r="M152" s="54"/>
      <c r="N152" s="54"/>
    </row>
    <row r="153" spans="1:14" s="22" customFormat="1">
      <c r="A153" s="56"/>
      <c r="B153" s="3"/>
      <c r="C153" s="3"/>
      <c r="D153" s="59" t="s">
        <v>380</v>
      </c>
      <c r="E153" s="77"/>
      <c r="F153" s="57">
        <f>ROUND(2.78*6.5-(2*1.1+1.8)*2.05,1)</f>
        <v>9.9</v>
      </c>
      <c r="G153" s="3"/>
      <c r="H153" s="58"/>
      <c r="I153" s="23"/>
      <c r="J153" s="39"/>
      <c r="K153" s="43"/>
      <c r="L153" s="24"/>
      <c r="M153" s="54"/>
      <c r="N153" s="54"/>
    </row>
    <row r="154" spans="1:14" s="22" customFormat="1">
      <c r="A154" s="56"/>
      <c r="B154" s="3"/>
      <c r="C154" s="3"/>
      <c r="D154" s="61" t="s">
        <v>26</v>
      </c>
      <c r="E154" s="62"/>
      <c r="F154" s="63">
        <f>SUM(F153:F153)</f>
        <v>9.9</v>
      </c>
      <c r="G154" s="3"/>
      <c r="H154" s="58"/>
      <c r="I154" s="23"/>
      <c r="J154" s="39"/>
      <c r="K154" s="43"/>
      <c r="L154" s="24"/>
      <c r="M154" s="54"/>
      <c r="N154" s="54"/>
    </row>
    <row r="155" spans="1:14" s="22" customFormat="1" ht="24">
      <c r="A155" s="156">
        <f>A152+1</f>
        <v>46</v>
      </c>
      <c r="B155" s="157" t="s">
        <v>29</v>
      </c>
      <c r="C155" s="158" t="s">
        <v>417</v>
      </c>
      <c r="D155" s="158" t="s">
        <v>279</v>
      </c>
      <c r="E155" s="157" t="s">
        <v>13</v>
      </c>
      <c r="F155" s="159">
        <f>F158</f>
        <v>104.1</v>
      </c>
      <c r="G155" s="160"/>
      <c r="H155" s="71">
        <f>ROUND(F155*G155,2)</f>
        <v>0</v>
      </c>
      <c r="I155" s="23"/>
      <c r="J155" s="42">
        <v>6</v>
      </c>
      <c r="K155" s="43">
        <f>ROUND(F155*0.1*0.033,3)</f>
        <v>0.34399999999999997</v>
      </c>
      <c r="L155" s="24"/>
      <c r="M155" s="54"/>
      <c r="N155" s="54"/>
    </row>
    <row r="156" spans="1:14" s="22" customFormat="1" ht="33.75">
      <c r="A156" s="56"/>
      <c r="B156" s="3"/>
      <c r="C156" s="3"/>
      <c r="D156" s="174" t="s">
        <v>323</v>
      </c>
      <c r="E156" s="77"/>
      <c r="F156" s="57">
        <f>ROUND(2*(12+7.2)*3.5-(2*1.1*2.4+1.8*2.4+2*1.8*1.5+2.4*0.75+4*1.2*0.75),2)</f>
        <v>114</v>
      </c>
      <c r="G156" s="3"/>
      <c r="H156" s="58"/>
      <c r="I156" s="23"/>
      <c r="J156" s="39"/>
      <c r="K156" s="43"/>
      <c r="L156" s="24"/>
      <c r="M156" s="54"/>
      <c r="N156" s="54"/>
    </row>
    <row r="157" spans="1:14" s="22" customFormat="1">
      <c r="A157" s="56"/>
      <c r="B157" s="3"/>
      <c r="C157" s="3"/>
      <c r="D157" s="174" t="s">
        <v>381</v>
      </c>
      <c r="E157" s="77"/>
      <c r="F157" s="57">
        <v>-9.9</v>
      </c>
      <c r="G157" s="3"/>
      <c r="H157" s="58"/>
      <c r="I157" s="23"/>
      <c r="J157" s="39"/>
      <c r="K157" s="43"/>
      <c r="L157" s="24"/>
      <c r="M157" s="54"/>
      <c r="N157" s="54"/>
    </row>
    <row r="158" spans="1:14" s="22" customFormat="1">
      <c r="A158" s="56"/>
      <c r="B158" s="3"/>
      <c r="C158" s="3"/>
      <c r="D158" s="61" t="s">
        <v>26</v>
      </c>
      <c r="E158" s="62"/>
      <c r="F158" s="63">
        <f>SUM(F156:F157)</f>
        <v>104.1</v>
      </c>
      <c r="G158" s="3"/>
      <c r="H158" s="58"/>
      <c r="I158" s="23"/>
      <c r="J158" s="39"/>
      <c r="K158" s="43"/>
      <c r="L158" s="24"/>
      <c r="M158" s="54"/>
      <c r="N158" s="54"/>
    </row>
    <row r="159" spans="1:14" s="22" customFormat="1">
      <c r="A159" s="156">
        <f>A155+1</f>
        <v>47</v>
      </c>
      <c r="B159" s="157" t="s">
        <v>29</v>
      </c>
      <c r="C159" s="158" t="s">
        <v>418</v>
      </c>
      <c r="D159" s="158" t="s">
        <v>374</v>
      </c>
      <c r="E159" s="157" t="s">
        <v>13</v>
      </c>
      <c r="F159" s="159">
        <f>F163</f>
        <v>21.8</v>
      </c>
      <c r="G159" s="160"/>
      <c r="H159" s="71">
        <f>ROUND(F159*G159,2)</f>
        <v>0</v>
      </c>
      <c r="I159" s="41"/>
      <c r="J159" s="42">
        <v>6</v>
      </c>
      <c r="K159" s="43">
        <f>ROUND(F159*0.017*2.2,3)</f>
        <v>0.81499999999999995</v>
      </c>
      <c r="L159" s="24"/>
      <c r="M159" s="54"/>
      <c r="N159" s="54"/>
    </row>
    <row r="160" spans="1:14" s="22" customFormat="1">
      <c r="A160" s="56"/>
      <c r="B160" s="3"/>
      <c r="C160" s="3"/>
      <c r="D160" s="208" t="s">
        <v>375</v>
      </c>
      <c r="E160" s="77"/>
      <c r="F160" s="57"/>
      <c r="G160" s="3"/>
      <c r="H160" s="58"/>
      <c r="I160" s="23"/>
      <c r="J160" s="39"/>
      <c r="K160" s="43"/>
      <c r="L160" s="24"/>
      <c r="M160" s="54"/>
    </row>
    <row r="161" spans="1:17" s="22" customFormat="1">
      <c r="A161" s="56"/>
      <c r="B161" s="3"/>
      <c r="C161" s="3"/>
      <c r="D161" s="59" t="s">
        <v>380</v>
      </c>
      <c r="E161" s="77"/>
      <c r="F161" s="57">
        <f>ROUND(2.78*6.5-(2*1.1+1.8)*2.05,1)</f>
        <v>9.9</v>
      </c>
      <c r="G161" s="3"/>
      <c r="H161" s="58"/>
      <c r="I161" s="23"/>
      <c r="J161" s="39"/>
      <c r="K161" s="43"/>
      <c r="L161" s="24"/>
      <c r="M161" s="54"/>
    </row>
    <row r="162" spans="1:17" s="22" customFormat="1">
      <c r="A162" s="56"/>
      <c r="B162" s="3"/>
      <c r="C162" s="3"/>
      <c r="D162" s="59" t="s">
        <v>379</v>
      </c>
      <c r="E162" s="77"/>
      <c r="F162" s="57">
        <f>ROUND(2*(11.9+7.1)*0.35-(2*1.1+1.8)*0.35,2)</f>
        <v>11.9</v>
      </c>
      <c r="G162" s="3"/>
      <c r="H162" s="58"/>
      <c r="I162" s="23"/>
      <c r="J162" s="39"/>
      <c r="K162" s="43"/>
      <c r="L162" s="24"/>
      <c r="M162" s="54"/>
    </row>
    <row r="163" spans="1:17" s="22" customFormat="1">
      <c r="A163" s="56"/>
      <c r="B163" s="3"/>
      <c r="C163" s="3"/>
      <c r="D163" s="61" t="s">
        <v>26</v>
      </c>
      <c r="E163" s="62"/>
      <c r="F163" s="63">
        <f>SUM(F161:F162)</f>
        <v>21.8</v>
      </c>
      <c r="G163" s="3"/>
      <c r="H163" s="58"/>
      <c r="I163" s="23"/>
      <c r="J163" s="39"/>
      <c r="K163" s="43"/>
      <c r="L163" s="24"/>
      <c r="M163" s="54"/>
    </row>
    <row r="164" spans="1:17" s="22" customFormat="1" ht="24">
      <c r="A164" s="156">
        <f>A159+1</f>
        <v>48</v>
      </c>
      <c r="B164" s="157" t="s">
        <v>29</v>
      </c>
      <c r="C164" s="158">
        <v>631312611</v>
      </c>
      <c r="D164" s="158" t="s">
        <v>236</v>
      </c>
      <c r="E164" s="157" t="s">
        <v>12</v>
      </c>
      <c r="F164" s="159">
        <f>F167</f>
        <v>4.74</v>
      </c>
      <c r="G164" s="160"/>
      <c r="H164" s="71">
        <f>ROUND(F164*G164,2)</f>
        <v>0</v>
      </c>
      <c r="I164" s="41"/>
      <c r="J164" s="42">
        <v>6</v>
      </c>
      <c r="K164" s="43">
        <f>ROUND(F164*2.4,3)</f>
        <v>11.375999999999999</v>
      </c>
      <c r="L164" s="24"/>
      <c r="M164" s="54"/>
      <c r="N164" s="54"/>
    </row>
    <row r="165" spans="1:17" s="22" customFormat="1">
      <c r="A165" s="56"/>
      <c r="B165" s="3"/>
      <c r="C165" s="3"/>
      <c r="D165" s="208" t="s">
        <v>67</v>
      </c>
      <c r="E165" s="77"/>
      <c r="F165" s="57"/>
      <c r="G165" s="3"/>
      <c r="H165" s="58"/>
      <c r="I165" s="23"/>
      <c r="J165" s="39"/>
      <c r="K165" s="43"/>
      <c r="L165" s="24"/>
      <c r="M165" s="54"/>
    </row>
    <row r="166" spans="1:17" s="22" customFormat="1">
      <c r="A166" s="56"/>
      <c r="B166" s="3"/>
      <c r="C166" s="3"/>
      <c r="D166" s="59" t="s">
        <v>235</v>
      </c>
      <c r="E166" s="77"/>
      <c r="F166" s="57">
        <f>ROUND(67.74*0.07,2)</f>
        <v>4.74</v>
      </c>
      <c r="G166" s="3"/>
      <c r="H166" s="58"/>
      <c r="I166" s="23"/>
      <c r="J166" s="39"/>
      <c r="K166" s="43"/>
      <c r="L166" s="24"/>
      <c r="M166" s="54"/>
    </row>
    <row r="167" spans="1:17" s="22" customFormat="1">
      <c r="A167" s="56"/>
      <c r="B167" s="3"/>
      <c r="C167" s="3"/>
      <c r="D167" s="61" t="s">
        <v>26</v>
      </c>
      <c r="E167" s="62"/>
      <c r="F167" s="63">
        <f>SUM(F165:F166)</f>
        <v>4.74</v>
      </c>
      <c r="G167" s="3"/>
      <c r="H167" s="58"/>
      <c r="I167" s="23"/>
      <c r="J167" s="39"/>
      <c r="K167" s="43"/>
      <c r="L167" s="24"/>
      <c r="M167" s="54"/>
    </row>
    <row r="168" spans="1:17" s="22" customFormat="1">
      <c r="A168" s="156">
        <f>A164+1</f>
        <v>49</v>
      </c>
      <c r="B168" s="157" t="s">
        <v>29</v>
      </c>
      <c r="C168" s="158" t="s">
        <v>419</v>
      </c>
      <c r="D168" s="158" t="s">
        <v>238</v>
      </c>
      <c r="E168" s="157" t="s">
        <v>13</v>
      </c>
      <c r="F168" s="159">
        <f>F171</f>
        <v>67.739999999999995</v>
      </c>
      <c r="G168" s="160"/>
      <c r="H168" s="71">
        <f>ROUND(F168*G168,2)</f>
        <v>0</v>
      </c>
      <c r="I168" s="41"/>
      <c r="J168" s="42">
        <v>6</v>
      </c>
      <c r="K168" s="43">
        <f>ROUND(F168*0.017*2.2,3)</f>
        <v>2.5329999999999999</v>
      </c>
      <c r="L168" s="24"/>
      <c r="M168" s="54"/>
      <c r="N168" s="54"/>
    </row>
    <row r="169" spans="1:17" s="22" customFormat="1">
      <c r="A169" s="56"/>
      <c r="B169" s="3"/>
      <c r="C169" s="3"/>
      <c r="D169" s="208" t="s">
        <v>67</v>
      </c>
      <c r="E169" s="77"/>
      <c r="F169" s="57"/>
      <c r="G169" s="3"/>
      <c r="H169" s="58"/>
      <c r="I169" s="23"/>
      <c r="J169" s="39"/>
      <c r="K169" s="43"/>
      <c r="L169" s="24"/>
      <c r="M169" s="54"/>
    </row>
    <row r="170" spans="1:17" s="22" customFormat="1">
      <c r="A170" s="56"/>
      <c r="B170" s="3"/>
      <c r="C170" s="3"/>
      <c r="D170" s="59" t="s">
        <v>234</v>
      </c>
      <c r="E170" s="77"/>
      <c r="F170" s="57">
        <v>67.739999999999995</v>
      </c>
      <c r="G170" s="3"/>
      <c r="H170" s="58"/>
      <c r="I170" s="23"/>
      <c r="J170" s="39"/>
      <c r="K170" s="43"/>
      <c r="L170" s="24"/>
      <c r="M170" s="54"/>
    </row>
    <row r="171" spans="1:17" s="22" customFormat="1">
      <c r="A171" s="56"/>
      <c r="B171" s="3"/>
      <c r="C171" s="3"/>
      <c r="D171" s="61" t="s">
        <v>26</v>
      </c>
      <c r="E171" s="62"/>
      <c r="F171" s="63">
        <f>SUM(F169:F170)</f>
        <v>67.739999999999995</v>
      </c>
      <c r="G171" s="3"/>
      <c r="H171" s="58"/>
      <c r="I171" s="23"/>
      <c r="J171" s="39"/>
      <c r="K171" s="43"/>
      <c r="L171" s="24"/>
      <c r="M171" s="54"/>
    </row>
    <row r="172" spans="1:17" s="22" customFormat="1">
      <c r="A172" s="156">
        <f>A168+1</f>
        <v>50</v>
      </c>
      <c r="B172" s="157" t="s">
        <v>29</v>
      </c>
      <c r="C172" s="158" t="s">
        <v>420</v>
      </c>
      <c r="D172" s="158" t="s">
        <v>49</v>
      </c>
      <c r="E172" s="157" t="s">
        <v>13</v>
      </c>
      <c r="F172" s="159">
        <f>F174</f>
        <v>67.739999999999995</v>
      </c>
      <c r="G172" s="160"/>
      <c r="H172" s="71">
        <f>ROUND(F172*G172,2)</f>
        <v>0</v>
      </c>
      <c r="I172" s="23"/>
      <c r="J172" s="42">
        <v>6</v>
      </c>
      <c r="K172" s="43"/>
      <c r="L172" s="24"/>
      <c r="M172" s="54"/>
      <c r="N172" s="54"/>
    </row>
    <row r="173" spans="1:17" s="22" customFormat="1">
      <c r="A173" s="56"/>
      <c r="B173" s="3"/>
      <c r="C173" s="3"/>
      <c r="D173" s="59" t="s">
        <v>230</v>
      </c>
      <c r="E173" s="77"/>
      <c r="F173" s="57">
        <v>67.739999999999995</v>
      </c>
      <c r="G173" s="3"/>
      <c r="H173" s="180"/>
      <c r="I173" s="23"/>
      <c r="J173" s="39"/>
      <c r="K173" s="43"/>
      <c r="L173" s="24"/>
      <c r="M173" s="54"/>
      <c r="N173" s="54"/>
    </row>
    <row r="174" spans="1:17" s="22" customFormat="1">
      <c r="A174" s="56"/>
      <c r="B174" s="3"/>
      <c r="C174" s="3"/>
      <c r="D174" s="61" t="s">
        <v>26</v>
      </c>
      <c r="E174" s="62"/>
      <c r="F174" s="63">
        <f>SUM(F173:F173)</f>
        <v>67.739999999999995</v>
      </c>
      <c r="G174" s="3"/>
      <c r="H174" s="180"/>
      <c r="I174" s="23"/>
      <c r="J174" s="39"/>
      <c r="K174" s="43"/>
      <c r="L174" s="24"/>
      <c r="M174" s="54"/>
      <c r="N174" s="54"/>
    </row>
    <row r="175" spans="1:17" s="22" customFormat="1" ht="24">
      <c r="A175" s="156">
        <f>A172+1</f>
        <v>51</v>
      </c>
      <c r="B175" s="157" t="s">
        <v>29</v>
      </c>
      <c r="C175" s="158">
        <v>642942111</v>
      </c>
      <c r="D175" s="158" t="s">
        <v>310</v>
      </c>
      <c r="E175" s="157" t="s">
        <v>19</v>
      </c>
      <c r="F175" s="159">
        <f>F179</f>
        <v>6</v>
      </c>
      <c r="G175" s="160"/>
      <c r="H175" s="71">
        <f>ROUND(F175*G175,2)</f>
        <v>0</v>
      </c>
      <c r="I175" s="23"/>
      <c r="J175" s="42">
        <v>6</v>
      </c>
      <c r="K175" s="43">
        <f>ROUND(F175*0.0175,3)</f>
        <v>0.105</v>
      </c>
      <c r="L175" s="24"/>
      <c r="M175" s="54"/>
      <c r="N175" s="54"/>
      <c r="O175" s="23"/>
      <c r="P175" s="25"/>
      <c r="Q175" s="25"/>
    </row>
    <row r="176" spans="1:17" s="22" customFormat="1">
      <c r="A176" s="56"/>
      <c r="B176" s="3"/>
      <c r="C176" s="3"/>
      <c r="D176" s="59" t="s">
        <v>315</v>
      </c>
      <c r="E176" s="60"/>
      <c r="F176" s="78">
        <v>3</v>
      </c>
      <c r="G176" s="3"/>
      <c r="H176" s="58"/>
      <c r="I176" s="23"/>
      <c r="J176" s="39"/>
      <c r="K176" s="43"/>
      <c r="L176" s="24"/>
      <c r="M176" s="54"/>
      <c r="N176" s="54"/>
      <c r="O176" s="23"/>
      <c r="P176" s="25"/>
      <c r="Q176" s="25"/>
    </row>
    <row r="177" spans="1:17" s="22" customFormat="1">
      <c r="A177" s="56"/>
      <c r="B177" s="3"/>
      <c r="C177" s="3"/>
      <c r="D177" s="59" t="s">
        <v>304</v>
      </c>
      <c r="E177" s="60"/>
      <c r="F177" s="78">
        <v>1</v>
      </c>
      <c r="G177" s="3"/>
      <c r="H177" s="58"/>
      <c r="I177" s="23"/>
      <c r="J177" s="39"/>
      <c r="K177" s="43"/>
      <c r="L177" s="24"/>
      <c r="M177" s="54"/>
      <c r="N177" s="54"/>
      <c r="O177" s="23"/>
      <c r="P177" s="25"/>
      <c r="Q177" s="25"/>
    </row>
    <row r="178" spans="1:17" s="22" customFormat="1">
      <c r="A178" s="56"/>
      <c r="B178" s="3"/>
      <c r="C178" s="3"/>
      <c r="D178" s="59" t="s">
        <v>316</v>
      </c>
      <c r="E178" s="60"/>
      <c r="F178" s="78">
        <v>2</v>
      </c>
      <c r="G178" s="3"/>
      <c r="H178" s="58"/>
      <c r="I178" s="23"/>
      <c r="J178" s="39"/>
      <c r="K178" s="43"/>
      <c r="L178" s="24"/>
      <c r="M178" s="54"/>
      <c r="N178" s="54"/>
      <c r="O178" s="23"/>
      <c r="P178" s="25"/>
      <c r="Q178" s="25"/>
    </row>
    <row r="179" spans="1:17" s="22" customFormat="1">
      <c r="A179" s="56"/>
      <c r="B179" s="3"/>
      <c r="C179" s="3"/>
      <c r="D179" s="61" t="s">
        <v>26</v>
      </c>
      <c r="E179" s="62"/>
      <c r="F179" s="63">
        <f>SUM(F176:F178)</f>
        <v>6</v>
      </c>
      <c r="G179" s="3"/>
      <c r="H179" s="58"/>
      <c r="I179" s="23"/>
      <c r="J179" s="39"/>
      <c r="K179" s="43"/>
      <c r="L179" s="24"/>
      <c r="M179" s="54"/>
      <c r="N179" s="54"/>
    </row>
    <row r="180" spans="1:17" s="22" customFormat="1" ht="24">
      <c r="A180" s="156">
        <f>A175+1</f>
        <v>52</v>
      </c>
      <c r="B180" s="175" t="s">
        <v>45</v>
      </c>
      <c r="C180" s="176" t="s">
        <v>311</v>
      </c>
      <c r="D180" s="176" t="s">
        <v>313</v>
      </c>
      <c r="E180" s="175" t="s">
        <v>19</v>
      </c>
      <c r="F180" s="177">
        <v>5</v>
      </c>
      <c r="G180" s="178"/>
      <c r="H180" s="179">
        <f>ROUND(F180*G180,2)</f>
        <v>0</v>
      </c>
      <c r="I180" s="23"/>
      <c r="J180" s="42">
        <v>6</v>
      </c>
      <c r="K180" s="43">
        <f>ROUND(F180*0.00776,3)</f>
        <v>3.9E-2</v>
      </c>
      <c r="L180" s="24"/>
      <c r="M180" s="54"/>
      <c r="N180" s="54"/>
    </row>
    <row r="181" spans="1:17" s="22" customFormat="1" ht="24">
      <c r="A181" s="156">
        <f>A180+1</f>
        <v>53</v>
      </c>
      <c r="B181" s="175" t="s">
        <v>45</v>
      </c>
      <c r="C181" s="176" t="s">
        <v>312</v>
      </c>
      <c r="D181" s="176" t="s">
        <v>314</v>
      </c>
      <c r="E181" s="175" t="s">
        <v>19</v>
      </c>
      <c r="F181" s="177">
        <v>1</v>
      </c>
      <c r="G181" s="178"/>
      <c r="H181" s="179">
        <f>ROUND(F181*G181,2)</f>
        <v>0</v>
      </c>
      <c r="I181" s="23"/>
      <c r="J181" s="42">
        <v>6</v>
      </c>
      <c r="K181" s="43">
        <f>ROUND(F181*0.00776,3)</f>
        <v>8.0000000000000002E-3</v>
      </c>
      <c r="L181" s="24"/>
      <c r="M181" s="54"/>
      <c r="N181" s="54"/>
    </row>
    <row r="182" spans="1:17" s="24" customFormat="1" ht="25.5" customHeight="1">
      <c r="A182" s="11"/>
      <c r="B182" s="2"/>
      <c r="C182" s="14">
        <v>9</v>
      </c>
      <c r="D182" s="14" t="s">
        <v>28</v>
      </c>
      <c r="E182" s="11"/>
      <c r="F182" s="15"/>
      <c r="G182" s="2"/>
      <c r="H182" s="67">
        <f>SUM(H183:H206)</f>
        <v>0</v>
      </c>
      <c r="I182" s="46"/>
      <c r="J182" s="42">
        <v>9</v>
      </c>
      <c r="K182" s="51"/>
      <c r="L182" s="47"/>
      <c r="M182" s="23"/>
      <c r="N182" s="23"/>
    </row>
    <row r="183" spans="1:17" s="25" customFormat="1">
      <c r="A183" s="72">
        <f>A181+1</f>
        <v>54</v>
      </c>
      <c r="B183" s="73" t="s">
        <v>29</v>
      </c>
      <c r="C183" s="74">
        <v>952901113</v>
      </c>
      <c r="D183" s="74" t="s">
        <v>78</v>
      </c>
      <c r="E183" s="73" t="s">
        <v>13</v>
      </c>
      <c r="F183" s="75">
        <f>F185</f>
        <v>67.739999999999995</v>
      </c>
      <c r="G183" s="71"/>
      <c r="H183" s="71">
        <f>ROUND(F183*G183,2)</f>
        <v>0</v>
      </c>
      <c r="I183" s="23"/>
      <c r="J183" s="42">
        <v>9</v>
      </c>
      <c r="K183" s="52"/>
      <c r="M183" s="23"/>
      <c r="N183" s="23"/>
    </row>
    <row r="184" spans="1:17" s="22" customFormat="1">
      <c r="A184" s="56"/>
      <c r="B184" s="3"/>
      <c r="C184" s="3"/>
      <c r="D184" s="59" t="s">
        <v>232</v>
      </c>
      <c r="E184" s="77"/>
      <c r="F184" s="57">
        <v>67.739999999999995</v>
      </c>
      <c r="G184" s="3"/>
      <c r="H184" s="58"/>
      <c r="I184" s="23"/>
      <c r="J184" s="39"/>
      <c r="K184" s="49"/>
      <c r="L184" s="24"/>
      <c r="M184" s="54"/>
      <c r="N184" s="54"/>
    </row>
    <row r="185" spans="1:17" s="22" customFormat="1">
      <c r="A185" s="56"/>
      <c r="B185" s="3"/>
      <c r="C185" s="3"/>
      <c r="D185" s="61" t="s">
        <v>26</v>
      </c>
      <c r="E185" s="62"/>
      <c r="F185" s="63">
        <f>SUM(F184:F184)</f>
        <v>67.739999999999995</v>
      </c>
      <c r="G185" s="3"/>
      <c r="H185" s="58"/>
      <c r="I185" s="23"/>
      <c r="J185" s="39"/>
      <c r="K185" s="43"/>
      <c r="L185" s="24"/>
      <c r="M185" s="54"/>
      <c r="N185" s="54"/>
    </row>
    <row r="186" spans="1:17" s="25" customFormat="1" ht="24">
      <c r="A186" s="72">
        <f>A183+1</f>
        <v>55</v>
      </c>
      <c r="B186" s="73" t="s">
        <v>29</v>
      </c>
      <c r="C186" s="74" t="s">
        <v>205</v>
      </c>
      <c r="D186" s="74" t="s">
        <v>206</v>
      </c>
      <c r="E186" s="73" t="s">
        <v>13</v>
      </c>
      <c r="F186" s="75">
        <f>F188</f>
        <v>67.739999999999995</v>
      </c>
      <c r="G186" s="71"/>
      <c r="H186" s="71">
        <f>ROUND(F186*G186,2)</f>
        <v>0</v>
      </c>
      <c r="I186" s="23"/>
      <c r="J186" s="42">
        <v>9</v>
      </c>
      <c r="K186" s="52"/>
      <c r="M186" s="23"/>
      <c r="N186" s="23"/>
    </row>
    <row r="187" spans="1:17" s="22" customFormat="1">
      <c r="A187" s="56"/>
      <c r="B187" s="3"/>
      <c r="C187" s="3"/>
      <c r="D187" s="59" t="s">
        <v>234</v>
      </c>
      <c r="E187" s="77"/>
      <c r="F187" s="57">
        <v>67.739999999999995</v>
      </c>
      <c r="G187" s="3"/>
      <c r="H187" s="58"/>
      <c r="I187" s="23"/>
      <c r="J187" s="39"/>
      <c r="K187" s="49"/>
      <c r="L187" s="24"/>
      <c r="M187" s="54"/>
      <c r="N187" s="54"/>
    </row>
    <row r="188" spans="1:17" s="22" customFormat="1">
      <c r="A188" s="56"/>
      <c r="B188" s="3"/>
      <c r="C188" s="3"/>
      <c r="D188" s="61" t="s">
        <v>26</v>
      </c>
      <c r="E188" s="62"/>
      <c r="F188" s="63">
        <f>SUM(F187:F187)</f>
        <v>67.739999999999995</v>
      </c>
      <c r="G188" s="3"/>
      <c r="H188" s="58"/>
      <c r="I188" s="23"/>
      <c r="J188" s="39"/>
      <c r="K188" s="43"/>
      <c r="L188" s="24"/>
      <c r="M188" s="54"/>
      <c r="N188" s="54"/>
    </row>
    <row r="189" spans="1:17" s="25" customFormat="1" ht="24">
      <c r="A189" s="72">
        <f>A186+1</f>
        <v>56</v>
      </c>
      <c r="B189" s="73" t="s">
        <v>29</v>
      </c>
      <c r="C189" s="74">
        <v>94194141</v>
      </c>
      <c r="D189" s="74" t="s">
        <v>324</v>
      </c>
      <c r="E189" s="73" t="s">
        <v>12</v>
      </c>
      <c r="F189" s="75">
        <f>F191</f>
        <v>147.84</v>
      </c>
      <c r="G189" s="71"/>
      <c r="H189" s="71">
        <f>ROUND(F189*G189,2)</f>
        <v>0</v>
      </c>
      <c r="I189" s="23"/>
      <c r="J189" s="42">
        <v>9</v>
      </c>
      <c r="K189" s="52"/>
      <c r="M189" s="23"/>
      <c r="N189" s="23"/>
    </row>
    <row r="190" spans="1:17" s="22" customFormat="1">
      <c r="A190" s="56"/>
      <c r="B190" s="3"/>
      <c r="C190" s="3"/>
      <c r="D190" s="59" t="s">
        <v>325</v>
      </c>
      <c r="E190" s="77"/>
      <c r="F190" s="57">
        <f>ROUND(2*(12+7.2)*3.85,2)</f>
        <v>147.84</v>
      </c>
      <c r="G190" s="3"/>
      <c r="H190" s="58"/>
      <c r="I190" s="23"/>
      <c r="J190" s="39"/>
      <c r="K190" s="49"/>
      <c r="L190" s="24"/>
      <c r="M190" s="54"/>
      <c r="N190" s="54"/>
    </row>
    <row r="191" spans="1:17" s="22" customFormat="1">
      <c r="A191" s="56"/>
      <c r="B191" s="3"/>
      <c r="C191" s="3"/>
      <c r="D191" s="61" t="s">
        <v>26</v>
      </c>
      <c r="E191" s="62"/>
      <c r="F191" s="63">
        <f>SUM(F190:F190)</f>
        <v>147.84</v>
      </c>
      <c r="G191" s="3"/>
      <c r="H191" s="58"/>
      <c r="I191" s="23"/>
      <c r="J191" s="39"/>
      <c r="K191" s="43"/>
      <c r="L191" s="24"/>
      <c r="M191" s="54"/>
      <c r="N191" s="54"/>
    </row>
    <row r="192" spans="1:17" s="25" customFormat="1" ht="36">
      <c r="A192" s="72">
        <f>A189+1</f>
        <v>57</v>
      </c>
      <c r="B192" s="73" t="s">
        <v>29</v>
      </c>
      <c r="C192" s="74">
        <v>941941291</v>
      </c>
      <c r="D192" s="74" t="s">
        <v>421</v>
      </c>
      <c r="E192" s="73" t="s">
        <v>12</v>
      </c>
      <c r="F192" s="75">
        <f>F194</f>
        <v>147.84</v>
      </c>
      <c r="G192" s="71"/>
      <c r="H192" s="71">
        <f>ROUND(F192*G192,2)</f>
        <v>0</v>
      </c>
      <c r="I192" s="23"/>
      <c r="J192" s="42">
        <v>9</v>
      </c>
      <c r="K192" s="52"/>
      <c r="M192" s="23"/>
      <c r="N192" s="23"/>
    </row>
    <row r="193" spans="1:14" s="25" customFormat="1" ht="24">
      <c r="A193" s="72">
        <f>A192+1</f>
        <v>58</v>
      </c>
      <c r="B193" s="73" t="s">
        <v>29</v>
      </c>
      <c r="C193" s="74">
        <v>941941841</v>
      </c>
      <c r="D193" s="74" t="s">
        <v>422</v>
      </c>
      <c r="E193" s="73" t="s">
        <v>12</v>
      </c>
      <c r="F193" s="75">
        <f>F195</f>
        <v>147.84</v>
      </c>
      <c r="G193" s="71"/>
      <c r="H193" s="71">
        <f>ROUND(F193*G193,2)</f>
        <v>0</v>
      </c>
      <c r="I193" s="23"/>
      <c r="J193" s="42">
        <v>9</v>
      </c>
      <c r="K193" s="52"/>
      <c r="M193" s="23"/>
      <c r="N193" s="23"/>
    </row>
    <row r="194" spans="1:14" s="22" customFormat="1">
      <c r="A194" s="56"/>
      <c r="B194" s="3"/>
      <c r="C194" s="3"/>
      <c r="D194" s="59" t="s">
        <v>326</v>
      </c>
      <c r="E194" s="77"/>
      <c r="F194" s="57">
        <f>F189</f>
        <v>147.84</v>
      </c>
      <c r="G194" s="3"/>
      <c r="H194" s="58"/>
      <c r="I194" s="23"/>
      <c r="J194" s="39"/>
      <c r="K194" s="49"/>
      <c r="L194" s="24"/>
      <c r="M194" s="54"/>
      <c r="N194" s="54"/>
    </row>
    <row r="195" spans="1:14" s="22" customFormat="1">
      <c r="A195" s="56"/>
      <c r="B195" s="3"/>
      <c r="C195" s="3"/>
      <c r="D195" s="61" t="s">
        <v>26</v>
      </c>
      <c r="E195" s="62"/>
      <c r="F195" s="63">
        <f>SUM(F194:F194)</f>
        <v>147.84</v>
      </c>
      <c r="G195" s="3"/>
      <c r="H195" s="58"/>
      <c r="I195" s="23"/>
      <c r="J195" s="39"/>
      <c r="K195" s="43"/>
      <c r="L195" s="24"/>
      <c r="M195" s="54"/>
      <c r="N195" s="54"/>
    </row>
    <row r="196" spans="1:14" s="25" customFormat="1" ht="24">
      <c r="A196" s="72">
        <f>A193+1</f>
        <v>59</v>
      </c>
      <c r="B196" s="73" t="s">
        <v>29</v>
      </c>
      <c r="C196" s="74" t="s">
        <v>412</v>
      </c>
      <c r="D196" s="74" t="s">
        <v>410</v>
      </c>
      <c r="E196" s="73" t="s">
        <v>19</v>
      </c>
      <c r="F196" s="75">
        <f>F198</f>
        <v>1</v>
      </c>
      <c r="G196" s="71"/>
      <c r="H196" s="71">
        <f>ROUND(F196*G196,2)</f>
        <v>0</v>
      </c>
      <c r="I196" s="23"/>
      <c r="J196" s="42">
        <v>9</v>
      </c>
      <c r="K196" s="52"/>
      <c r="M196" s="23"/>
      <c r="N196" s="23"/>
    </row>
    <row r="197" spans="1:14" s="22" customFormat="1">
      <c r="A197" s="56"/>
      <c r="B197" s="3"/>
      <c r="C197" s="3"/>
      <c r="D197" s="59" t="s">
        <v>408</v>
      </c>
      <c r="E197" s="77"/>
      <c r="F197" s="57">
        <v>1</v>
      </c>
      <c r="G197" s="3"/>
      <c r="H197" s="58"/>
      <c r="I197" s="23"/>
      <c r="J197" s="39"/>
      <c r="K197" s="49"/>
      <c r="L197" s="24"/>
      <c r="M197" s="54"/>
      <c r="N197" s="54"/>
    </row>
    <row r="198" spans="1:14" s="22" customFormat="1">
      <c r="A198" s="56"/>
      <c r="B198" s="3"/>
      <c r="C198" s="3"/>
      <c r="D198" s="61" t="s">
        <v>26</v>
      </c>
      <c r="E198" s="62"/>
      <c r="F198" s="63">
        <f>SUM(F197:F197)</f>
        <v>1</v>
      </c>
      <c r="G198" s="3"/>
      <c r="H198" s="58"/>
      <c r="I198" s="23"/>
      <c r="J198" s="39"/>
      <c r="K198" s="43"/>
      <c r="L198" s="24"/>
      <c r="M198" s="54"/>
      <c r="N198" s="54"/>
    </row>
    <row r="199" spans="1:14" s="25" customFormat="1" ht="24">
      <c r="A199" s="72">
        <f>A196+1</f>
        <v>60</v>
      </c>
      <c r="B199" s="73" t="s">
        <v>29</v>
      </c>
      <c r="C199" s="74" t="s">
        <v>413</v>
      </c>
      <c r="D199" s="74" t="s">
        <v>411</v>
      </c>
      <c r="E199" s="73" t="s">
        <v>19</v>
      </c>
      <c r="F199" s="75">
        <f>F202</f>
        <v>3</v>
      </c>
      <c r="G199" s="71"/>
      <c r="H199" s="71">
        <f>ROUND(F199*G199,2)</f>
        <v>0</v>
      </c>
      <c r="I199" s="23"/>
      <c r="J199" s="42">
        <v>9</v>
      </c>
      <c r="K199" s="52"/>
      <c r="M199" s="23"/>
      <c r="N199" s="23"/>
    </row>
    <row r="200" spans="1:14" s="22" customFormat="1">
      <c r="A200" s="56"/>
      <c r="B200" s="3"/>
      <c r="C200" s="3"/>
      <c r="D200" s="59" t="s">
        <v>407</v>
      </c>
      <c r="E200" s="77"/>
      <c r="F200" s="57">
        <v>1</v>
      </c>
      <c r="G200" s="3"/>
      <c r="H200" s="58"/>
      <c r="I200" s="23"/>
      <c r="J200" s="39"/>
      <c r="K200" s="49"/>
      <c r="L200" s="24"/>
      <c r="M200" s="54"/>
      <c r="N200" s="54"/>
    </row>
    <row r="201" spans="1:14" s="22" customFormat="1">
      <c r="A201" s="56"/>
      <c r="B201" s="3"/>
      <c r="C201" s="3"/>
      <c r="D201" s="59" t="s">
        <v>409</v>
      </c>
      <c r="E201" s="77"/>
      <c r="F201" s="57">
        <v>2</v>
      </c>
      <c r="G201" s="3"/>
      <c r="H201" s="58"/>
      <c r="I201" s="23"/>
      <c r="J201" s="39"/>
      <c r="K201" s="49"/>
      <c r="L201" s="24"/>
      <c r="M201" s="54"/>
      <c r="N201" s="54"/>
    </row>
    <row r="202" spans="1:14" s="22" customFormat="1">
      <c r="A202" s="56"/>
      <c r="B202" s="3"/>
      <c r="C202" s="3"/>
      <c r="D202" s="61" t="s">
        <v>26</v>
      </c>
      <c r="E202" s="62"/>
      <c r="F202" s="63">
        <f>SUM(F200:F201)</f>
        <v>3</v>
      </c>
      <c r="G202" s="3"/>
      <c r="H202" s="58"/>
      <c r="I202" s="23"/>
      <c r="J202" s="39"/>
      <c r="K202" s="43"/>
      <c r="L202" s="24"/>
      <c r="M202" s="54"/>
      <c r="N202" s="54"/>
    </row>
    <row r="203" spans="1:14" s="25" customFormat="1">
      <c r="A203" s="72">
        <f>A199+1</f>
        <v>61</v>
      </c>
      <c r="B203" s="73" t="s">
        <v>29</v>
      </c>
      <c r="C203" s="74" t="s">
        <v>405</v>
      </c>
      <c r="D203" s="74" t="s">
        <v>373</v>
      </c>
      <c r="E203" s="73" t="s">
        <v>19</v>
      </c>
      <c r="F203" s="75">
        <f>F205</f>
        <v>2</v>
      </c>
      <c r="G203" s="71"/>
      <c r="H203" s="71">
        <f>ROUND(F203*G203,2)</f>
        <v>0</v>
      </c>
      <c r="I203" s="23"/>
      <c r="J203" s="42">
        <v>9</v>
      </c>
      <c r="K203" s="52"/>
      <c r="M203" s="23"/>
      <c r="N203" s="23"/>
    </row>
    <row r="204" spans="1:14" s="22" customFormat="1">
      <c r="A204" s="56"/>
      <c r="B204" s="3"/>
      <c r="C204" s="3"/>
      <c r="D204" s="59" t="s">
        <v>383</v>
      </c>
      <c r="E204" s="77"/>
      <c r="F204" s="57">
        <v>2</v>
      </c>
      <c r="G204" s="3"/>
      <c r="H204" s="58"/>
      <c r="I204" s="23"/>
      <c r="J204" s="39"/>
      <c r="K204" s="49"/>
      <c r="L204" s="24"/>
      <c r="M204" s="54"/>
      <c r="N204" s="54"/>
    </row>
    <row r="205" spans="1:14" s="22" customFormat="1">
      <c r="A205" s="56"/>
      <c r="B205" s="3"/>
      <c r="C205" s="3"/>
      <c r="D205" s="61" t="s">
        <v>26</v>
      </c>
      <c r="E205" s="62"/>
      <c r="F205" s="63">
        <f>SUM(F204:F204)</f>
        <v>2</v>
      </c>
      <c r="G205" s="3"/>
      <c r="H205" s="58"/>
      <c r="I205" s="23"/>
      <c r="J205" s="39"/>
      <c r="K205" s="43"/>
      <c r="L205" s="24"/>
      <c r="M205" s="54"/>
      <c r="N205" s="54"/>
    </row>
    <row r="206" spans="1:14" s="25" customFormat="1">
      <c r="A206" s="1052">
        <f>A203+1</f>
        <v>62</v>
      </c>
      <c r="B206" s="1053" t="s">
        <v>29</v>
      </c>
      <c r="C206" s="1054" t="s">
        <v>406</v>
      </c>
      <c r="D206" s="1054" t="s">
        <v>384</v>
      </c>
      <c r="E206" s="1053" t="s">
        <v>19</v>
      </c>
      <c r="F206" s="1055">
        <f>F208</f>
        <v>3</v>
      </c>
      <c r="G206" s="1056"/>
      <c r="H206" s="1056">
        <f>ROUND(F206*G206,2)</f>
        <v>0</v>
      </c>
      <c r="I206" s="23"/>
      <c r="J206" s="42">
        <v>9</v>
      </c>
      <c r="K206" s="52"/>
      <c r="M206" s="23"/>
      <c r="N206" s="23"/>
    </row>
    <row r="207" spans="1:14" s="22" customFormat="1">
      <c r="A207" s="1057"/>
      <c r="B207" s="1058"/>
      <c r="C207" s="1058"/>
      <c r="D207" s="1059" t="s">
        <v>2691</v>
      </c>
      <c r="E207" s="1060"/>
      <c r="F207" s="1061">
        <v>3</v>
      </c>
      <c r="G207" s="1058"/>
      <c r="H207" s="1062"/>
      <c r="I207" s="23"/>
      <c r="J207" s="39"/>
      <c r="K207" s="49"/>
      <c r="L207" s="24"/>
      <c r="M207" s="54"/>
      <c r="N207" s="54"/>
    </row>
    <row r="208" spans="1:14" s="22" customFormat="1">
      <c r="A208" s="1057"/>
      <c r="B208" s="1058"/>
      <c r="C208" s="1058"/>
      <c r="D208" s="1063" t="s">
        <v>26</v>
      </c>
      <c r="E208" s="1064"/>
      <c r="F208" s="1065">
        <f>SUM(F207:F207)</f>
        <v>3</v>
      </c>
      <c r="G208" s="1058"/>
      <c r="H208" s="1062"/>
      <c r="I208" s="23"/>
      <c r="J208" s="39"/>
      <c r="K208" s="43"/>
      <c r="L208" s="24"/>
      <c r="M208" s="54"/>
      <c r="N208" s="54"/>
    </row>
    <row r="209" spans="1:14" s="24" customFormat="1" ht="28.5" customHeight="1">
      <c r="A209" s="11"/>
      <c r="B209" s="2"/>
      <c r="C209" s="14">
        <v>99</v>
      </c>
      <c r="D209" s="14" t="s">
        <v>27</v>
      </c>
      <c r="E209" s="11"/>
      <c r="F209" s="15"/>
      <c r="G209" s="2"/>
      <c r="H209" s="67">
        <f>SUM(H210)</f>
        <v>0</v>
      </c>
      <c r="I209" s="46"/>
      <c r="J209" s="42">
        <v>99</v>
      </c>
      <c r="K209" s="51"/>
      <c r="L209" s="47"/>
      <c r="M209" s="23"/>
      <c r="N209" s="23"/>
    </row>
    <row r="210" spans="1:14" s="25" customFormat="1" ht="24">
      <c r="A210" s="72">
        <f>A206+1</f>
        <v>63</v>
      </c>
      <c r="B210" s="73" t="s">
        <v>40</v>
      </c>
      <c r="C210" s="74" t="s">
        <v>41</v>
      </c>
      <c r="D210" s="74" t="s">
        <v>42</v>
      </c>
      <c r="E210" s="73" t="s">
        <v>15</v>
      </c>
      <c r="F210" s="75">
        <f>K210</f>
        <v>256.45000000000005</v>
      </c>
      <c r="G210" s="71"/>
      <c r="H210" s="71">
        <f>ROUND(F210*G210,2)</f>
        <v>0</v>
      </c>
      <c r="I210" s="23"/>
      <c r="J210" s="42">
        <v>99</v>
      </c>
      <c r="K210" s="53">
        <f>SUM(K38:K181,K232:K380)</f>
        <v>256.45000000000005</v>
      </c>
      <c r="M210" s="23"/>
      <c r="N210" s="23"/>
    </row>
    <row r="211" spans="1:14" ht="25.5" customHeight="1">
      <c r="A211" s="3"/>
      <c r="B211" s="3"/>
      <c r="C211" s="9" t="s">
        <v>24</v>
      </c>
      <c r="D211" s="9" t="s">
        <v>25</v>
      </c>
      <c r="E211" s="6"/>
      <c r="F211" s="3"/>
      <c r="G211" s="10"/>
      <c r="H211" s="13">
        <f>SUM(H212,H231,H260,H285,H298,H303,H310,H329,H357,H366,H372,H381)</f>
        <v>0</v>
      </c>
      <c r="J211" s="44" t="s">
        <v>24</v>
      </c>
    </row>
    <row r="212" spans="1:14" s="24" customFormat="1" ht="23.25" customHeight="1">
      <c r="A212" s="11"/>
      <c r="B212" s="2"/>
      <c r="C212" s="14">
        <v>711</v>
      </c>
      <c r="D212" s="5" t="s">
        <v>233</v>
      </c>
      <c r="E212" s="11"/>
      <c r="F212" s="15"/>
      <c r="G212" s="2"/>
      <c r="H212" s="67">
        <f>SUM(H213:H228)</f>
        <v>0</v>
      </c>
      <c r="I212" s="46"/>
      <c r="J212" s="42">
        <v>711</v>
      </c>
      <c r="K212" s="51"/>
      <c r="L212" s="47"/>
      <c r="M212" s="23"/>
      <c r="N212" s="23"/>
    </row>
    <row r="213" spans="1:14" s="25" customFormat="1" ht="14.25">
      <c r="A213" s="72">
        <f>A210+1</f>
        <v>64</v>
      </c>
      <c r="B213" s="73">
        <v>711</v>
      </c>
      <c r="C213" s="74">
        <v>711415125</v>
      </c>
      <c r="D213" s="74" t="s">
        <v>200</v>
      </c>
      <c r="E213" s="73" t="s">
        <v>13</v>
      </c>
      <c r="F213" s="75">
        <f>F215</f>
        <v>45.73</v>
      </c>
      <c r="G213" s="71"/>
      <c r="H213" s="71">
        <f>ROUND(F213*G213,2)</f>
        <v>0</v>
      </c>
      <c r="I213" s="23"/>
      <c r="J213" s="42">
        <v>711</v>
      </c>
      <c r="K213" s="50"/>
      <c r="L213" s="47"/>
      <c r="M213" s="23"/>
      <c r="N213" s="24"/>
    </row>
    <row r="214" spans="1:14" s="25" customFormat="1" ht="14.25">
      <c r="A214" s="181"/>
      <c r="B214" s="182"/>
      <c r="C214" s="182"/>
      <c r="D214" s="183" t="s">
        <v>247</v>
      </c>
      <c r="E214" s="153"/>
      <c r="F214" s="154">
        <v>45.73</v>
      </c>
      <c r="G214" s="182"/>
      <c r="H214" s="184"/>
      <c r="I214" s="26"/>
      <c r="J214" s="40"/>
      <c r="K214" s="27"/>
      <c r="L214" s="47"/>
      <c r="M214" s="23"/>
      <c r="N214" s="24"/>
    </row>
    <row r="215" spans="1:14" s="25" customFormat="1">
      <c r="A215" s="64"/>
      <c r="B215" s="1"/>
      <c r="C215" s="1"/>
      <c r="D215" s="61" t="s">
        <v>26</v>
      </c>
      <c r="E215" s="62"/>
      <c r="F215" s="63">
        <f>SUM(F214:F214)</f>
        <v>45.73</v>
      </c>
      <c r="G215" s="1"/>
      <c r="H215" s="65"/>
      <c r="I215" s="26"/>
      <c r="J215" s="40"/>
      <c r="K215" s="51"/>
      <c r="M215" s="23"/>
      <c r="N215" s="24"/>
    </row>
    <row r="216" spans="1:14" s="25" customFormat="1" ht="36">
      <c r="A216" s="72">
        <f>A213+1</f>
        <v>65</v>
      </c>
      <c r="B216" s="79" t="s">
        <v>29</v>
      </c>
      <c r="C216" s="185" t="s">
        <v>37</v>
      </c>
      <c r="D216" s="186" t="s">
        <v>38</v>
      </c>
      <c r="E216" s="187" t="s">
        <v>13</v>
      </c>
      <c r="F216" s="75">
        <f>F218</f>
        <v>82.6</v>
      </c>
      <c r="G216" s="71"/>
      <c r="H216" s="71">
        <f>ROUND(F216*G216,2)</f>
        <v>0</v>
      </c>
      <c r="I216" s="23"/>
      <c r="J216" s="42">
        <v>711</v>
      </c>
      <c r="K216" s="50"/>
      <c r="M216" s="23"/>
      <c r="N216" s="23"/>
    </row>
    <row r="217" spans="1:14" s="25" customFormat="1">
      <c r="A217" s="64"/>
      <c r="B217" s="1"/>
      <c r="C217" s="3"/>
      <c r="D217" s="59" t="s">
        <v>271</v>
      </c>
      <c r="E217" s="77"/>
      <c r="F217" s="57">
        <f>ROUND(11.8*7,2)</f>
        <v>82.6</v>
      </c>
      <c r="G217" s="1"/>
      <c r="H217" s="65"/>
      <c r="I217" s="26"/>
      <c r="J217" s="40"/>
      <c r="K217" s="43"/>
      <c r="M217" s="23"/>
      <c r="N217" s="23"/>
    </row>
    <row r="218" spans="1:14" s="25" customFormat="1">
      <c r="A218" s="64"/>
      <c r="B218" s="1"/>
      <c r="C218" s="3"/>
      <c r="D218" s="188" t="s">
        <v>26</v>
      </c>
      <c r="E218" s="189"/>
      <c r="F218" s="63">
        <f>SUM(F217:F217)</f>
        <v>82.6</v>
      </c>
      <c r="G218" s="1"/>
      <c r="H218" s="65"/>
      <c r="I218" s="26"/>
      <c r="J218" s="40"/>
      <c r="K218" s="43"/>
      <c r="M218" s="23"/>
      <c r="N218" s="23"/>
    </row>
    <row r="219" spans="1:14" s="25" customFormat="1" ht="36">
      <c r="A219" s="72">
        <f>A216+1</f>
        <v>66</v>
      </c>
      <c r="B219" s="79" t="s">
        <v>29</v>
      </c>
      <c r="C219" s="186">
        <v>711471052</v>
      </c>
      <c r="D219" s="190" t="s">
        <v>57</v>
      </c>
      <c r="E219" s="187" t="s">
        <v>13</v>
      </c>
      <c r="F219" s="75">
        <f>F221</f>
        <v>13.16</v>
      </c>
      <c r="G219" s="71"/>
      <c r="H219" s="71">
        <f>ROUND(F219*G219,2)</f>
        <v>0</v>
      </c>
      <c r="I219" s="23"/>
      <c r="J219" s="42">
        <v>711</v>
      </c>
      <c r="K219" s="50"/>
      <c r="M219" s="23"/>
      <c r="N219" s="23"/>
    </row>
    <row r="220" spans="1:14" s="25" customFormat="1">
      <c r="A220" s="64"/>
      <c r="B220" s="1"/>
      <c r="C220" s="3"/>
      <c r="D220" s="59" t="s">
        <v>270</v>
      </c>
      <c r="E220" s="77"/>
      <c r="F220" s="57">
        <f>ROUND(2*(11.8+7)*0.35,2)</f>
        <v>13.16</v>
      </c>
      <c r="G220" s="1"/>
      <c r="H220" s="65"/>
      <c r="I220" s="26"/>
      <c r="J220" s="40"/>
      <c r="K220" s="43"/>
      <c r="M220" s="23"/>
      <c r="N220" s="23"/>
    </row>
    <row r="221" spans="1:14" s="25" customFormat="1">
      <c r="A221" s="64"/>
      <c r="B221" s="1"/>
      <c r="C221" s="3"/>
      <c r="D221" s="188" t="s">
        <v>26</v>
      </c>
      <c r="E221" s="189"/>
      <c r="F221" s="63">
        <f>SUM(F220:F220)</f>
        <v>13.16</v>
      </c>
      <c r="G221" s="1"/>
      <c r="H221" s="65"/>
      <c r="I221" s="26"/>
      <c r="J221" s="40"/>
      <c r="K221" s="43"/>
      <c r="M221" s="23"/>
      <c r="N221" s="23"/>
    </row>
    <row r="222" spans="1:14" s="25" customFormat="1">
      <c r="A222" s="72">
        <f>A219+1</f>
        <v>67</v>
      </c>
      <c r="B222" s="191" t="s">
        <v>83</v>
      </c>
      <c r="C222" s="192">
        <v>283299021</v>
      </c>
      <c r="D222" s="193" t="s">
        <v>39</v>
      </c>
      <c r="E222" s="194" t="s">
        <v>13</v>
      </c>
      <c r="F222" s="195">
        <f>F224</f>
        <v>110.12</v>
      </c>
      <c r="G222" s="179"/>
      <c r="H222" s="179">
        <f>ROUND(F222*G222,2)</f>
        <v>0</v>
      </c>
      <c r="I222" s="23"/>
      <c r="J222" s="42">
        <v>711</v>
      </c>
      <c r="K222" s="50"/>
      <c r="M222" s="23"/>
      <c r="N222" s="23"/>
    </row>
    <row r="223" spans="1:14" s="25" customFormat="1">
      <c r="A223" s="64"/>
      <c r="B223" s="1"/>
      <c r="C223" s="1"/>
      <c r="D223" s="59" t="s">
        <v>272</v>
      </c>
      <c r="E223" s="60"/>
      <c r="F223" s="57">
        <f>ROUND((82.6+13.16)*1.15,2)</f>
        <v>110.12</v>
      </c>
      <c r="G223" s="1"/>
      <c r="H223" s="65"/>
      <c r="I223" s="26"/>
      <c r="J223" s="40"/>
      <c r="K223" s="43"/>
      <c r="M223" s="23"/>
      <c r="N223" s="23"/>
    </row>
    <row r="224" spans="1:14" s="25" customFormat="1">
      <c r="A224" s="64"/>
      <c r="B224" s="1"/>
      <c r="C224" s="1"/>
      <c r="D224" s="61" t="s">
        <v>26</v>
      </c>
      <c r="E224" s="62"/>
      <c r="F224" s="63">
        <f>SUM(F223:F223)</f>
        <v>110.12</v>
      </c>
      <c r="G224" s="1"/>
      <c r="H224" s="65"/>
      <c r="I224" s="26"/>
      <c r="J224" s="40"/>
      <c r="K224" s="43"/>
      <c r="M224" s="23"/>
      <c r="N224" s="23"/>
    </row>
    <row r="225" spans="1:14" s="25" customFormat="1">
      <c r="A225" s="72">
        <f>A222+1</f>
        <v>68</v>
      </c>
      <c r="B225" s="79" t="s">
        <v>29</v>
      </c>
      <c r="C225" s="186">
        <v>711472056</v>
      </c>
      <c r="D225" s="190" t="s">
        <v>163</v>
      </c>
      <c r="E225" s="187" t="s">
        <v>13</v>
      </c>
      <c r="F225" s="75">
        <f>F227</f>
        <v>24.44</v>
      </c>
      <c r="G225" s="71"/>
      <c r="H225" s="71">
        <f>ROUND(F225*G225,2)</f>
        <v>0</v>
      </c>
      <c r="I225" s="23"/>
      <c r="J225" s="42">
        <v>711</v>
      </c>
      <c r="K225" s="50"/>
      <c r="M225" s="23"/>
      <c r="N225" s="23"/>
    </row>
    <row r="226" spans="1:14" s="25" customFormat="1">
      <c r="A226" s="64"/>
      <c r="B226" s="1"/>
      <c r="C226" s="3"/>
      <c r="D226" s="59" t="s">
        <v>273</v>
      </c>
      <c r="E226" s="77"/>
      <c r="F226" s="57">
        <f>ROUND(2*(11.8+7)*0.65,2)</f>
        <v>24.44</v>
      </c>
      <c r="G226" s="1"/>
      <c r="H226" s="65"/>
      <c r="I226" s="26"/>
      <c r="J226" s="40"/>
      <c r="K226" s="43"/>
      <c r="M226" s="23"/>
      <c r="N226" s="23"/>
    </row>
    <row r="227" spans="1:14" s="25" customFormat="1">
      <c r="A227" s="64"/>
      <c r="B227" s="1"/>
      <c r="C227" s="3"/>
      <c r="D227" s="188" t="s">
        <v>26</v>
      </c>
      <c r="E227" s="189"/>
      <c r="F227" s="63">
        <f>SUM(F226:F226)</f>
        <v>24.44</v>
      </c>
      <c r="G227" s="1"/>
      <c r="H227" s="65"/>
      <c r="I227" s="26"/>
      <c r="J227" s="40"/>
      <c r="K227" s="43"/>
      <c r="M227" s="23"/>
      <c r="N227" s="23"/>
    </row>
    <row r="228" spans="1:14" s="25" customFormat="1" ht="24">
      <c r="A228" s="72">
        <f>A225+1</f>
        <v>69</v>
      </c>
      <c r="B228" s="191" t="s">
        <v>83</v>
      </c>
      <c r="C228" s="192" t="s">
        <v>162</v>
      </c>
      <c r="D228" s="196" t="s">
        <v>164</v>
      </c>
      <c r="E228" s="194" t="s">
        <v>13</v>
      </c>
      <c r="F228" s="195">
        <f>F230</f>
        <v>28.11</v>
      </c>
      <c r="G228" s="179"/>
      <c r="H228" s="179">
        <f>ROUND(F228*G228,2)</f>
        <v>0</v>
      </c>
      <c r="I228" s="23"/>
      <c r="J228" s="42">
        <v>711</v>
      </c>
      <c r="K228" s="50"/>
      <c r="M228" s="23"/>
      <c r="N228" s="23"/>
    </row>
    <row r="229" spans="1:14" s="25" customFormat="1">
      <c r="A229" s="64"/>
      <c r="B229" s="1"/>
      <c r="C229" s="1"/>
      <c r="D229" s="59" t="s">
        <v>274</v>
      </c>
      <c r="E229" s="60"/>
      <c r="F229" s="57">
        <f>ROUND(24.44*1.15,2)</f>
        <v>28.11</v>
      </c>
      <c r="G229" s="1"/>
      <c r="H229" s="65"/>
      <c r="I229" s="26"/>
      <c r="J229" s="40"/>
      <c r="K229" s="43"/>
      <c r="M229" s="23"/>
      <c r="N229" s="23"/>
    </row>
    <row r="230" spans="1:14" s="25" customFormat="1">
      <c r="A230" s="64"/>
      <c r="B230" s="1"/>
      <c r="C230" s="1"/>
      <c r="D230" s="61" t="s">
        <v>26</v>
      </c>
      <c r="E230" s="62"/>
      <c r="F230" s="63">
        <f>SUM(F229:F229)</f>
        <v>28.11</v>
      </c>
      <c r="G230" s="1"/>
      <c r="H230" s="65"/>
      <c r="I230" s="26"/>
      <c r="J230" s="40"/>
      <c r="K230" s="43"/>
      <c r="M230" s="23"/>
      <c r="N230" s="23"/>
    </row>
    <row r="231" spans="1:14" s="24" customFormat="1" ht="23.25" customHeight="1">
      <c r="A231" s="11"/>
      <c r="B231" s="2"/>
      <c r="C231" s="14">
        <v>712</v>
      </c>
      <c r="D231" s="5" t="s">
        <v>58</v>
      </c>
      <c r="E231" s="11"/>
      <c r="F231" s="15"/>
      <c r="G231" s="2"/>
      <c r="H231" s="67">
        <f>SUM(H232:H252)</f>
        <v>0</v>
      </c>
      <c r="I231" s="46"/>
      <c r="J231" s="42">
        <v>712</v>
      </c>
      <c r="K231" s="51"/>
      <c r="L231" s="47"/>
      <c r="M231" s="23"/>
      <c r="N231" s="23"/>
    </row>
    <row r="232" spans="1:14" s="25" customFormat="1" ht="24">
      <c r="A232" s="72">
        <f>A228+1</f>
        <v>70</v>
      </c>
      <c r="B232" s="79" t="s">
        <v>29</v>
      </c>
      <c r="C232" s="186" t="s">
        <v>165</v>
      </c>
      <c r="D232" s="190" t="s">
        <v>166</v>
      </c>
      <c r="E232" s="187" t="s">
        <v>13</v>
      </c>
      <c r="F232" s="75">
        <f>F236</f>
        <v>119.60000000000001</v>
      </c>
      <c r="G232" s="71"/>
      <c r="H232" s="71">
        <f>ROUND(F232*G232,2)</f>
        <v>0</v>
      </c>
      <c r="I232" s="23"/>
      <c r="J232" s="42">
        <v>712</v>
      </c>
      <c r="K232" s="50"/>
      <c r="M232" s="23"/>
      <c r="N232" s="23"/>
    </row>
    <row r="233" spans="1:14" s="25" customFormat="1">
      <c r="A233" s="64"/>
      <c r="B233" s="1"/>
      <c r="C233" s="3"/>
      <c r="D233" s="208" t="s">
        <v>336</v>
      </c>
      <c r="E233" s="77"/>
      <c r="F233" s="57"/>
      <c r="G233" s="1"/>
      <c r="H233" s="65"/>
      <c r="I233" s="26"/>
      <c r="J233" s="40"/>
      <c r="K233" s="43"/>
      <c r="M233" s="23"/>
      <c r="N233" s="23"/>
    </row>
    <row r="234" spans="1:14" s="25" customFormat="1">
      <c r="A234" s="64"/>
      <c r="B234" s="1"/>
      <c r="C234" s="3"/>
      <c r="D234" s="59" t="s">
        <v>338</v>
      </c>
      <c r="E234" s="77"/>
      <c r="F234" s="57">
        <f>ROUND(11.1*6.3+2*(13.2+6.3)*1.05,1)</f>
        <v>110.9</v>
      </c>
      <c r="G234" s="1"/>
      <c r="H234" s="65"/>
      <c r="I234" s="26"/>
      <c r="J234" s="40"/>
      <c r="K234" s="43"/>
      <c r="M234" s="23"/>
      <c r="N234" s="23"/>
    </row>
    <row r="235" spans="1:14" s="25" customFormat="1">
      <c r="A235" s="64"/>
      <c r="B235" s="1"/>
      <c r="C235" s="3"/>
      <c r="D235" s="59" t="s">
        <v>337</v>
      </c>
      <c r="E235" s="77"/>
      <c r="F235" s="57">
        <f>ROUND(2*(11.1+6.3)*0.25,2)</f>
        <v>8.6999999999999993</v>
      </c>
      <c r="G235" s="1"/>
      <c r="H235" s="65"/>
      <c r="I235" s="26"/>
      <c r="J235" s="40"/>
      <c r="K235" s="43"/>
      <c r="M235" s="23"/>
      <c r="N235" s="23"/>
    </row>
    <row r="236" spans="1:14" s="25" customFormat="1">
      <c r="A236" s="64"/>
      <c r="B236" s="1"/>
      <c r="C236" s="3"/>
      <c r="D236" s="188" t="s">
        <v>26</v>
      </c>
      <c r="E236" s="189"/>
      <c r="F236" s="63">
        <f>SUM(F233:F235)</f>
        <v>119.60000000000001</v>
      </c>
      <c r="G236" s="1"/>
      <c r="H236" s="65"/>
      <c r="I236" s="26"/>
      <c r="J236" s="40"/>
      <c r="K236" s="43"/>
      <c r="M236" s="23"/>
      <c r="N236" s="23"/>
    </row>
    <row r="237" spans="1:14" s="25" customFormat="1" ht="24">
      <c r="A237" s="72">
        <f>A232+1</f>
        <v>71</v>
      </c>
      <c r="B237" s="191" t="s">
        <v>83</v>
      </c>
      <c r="C237" s="192" t="s">
        <v>64</v>
      </c>
      <c r="D237" s="196" t="s">
        <v>167</v>
      </c>
      <c r="E237" s="194" t="s">
        <v>13</v>
      </c>
      <c r="F237" s="195">
        <f>F239</f>
        <v>137.5</v>
      </c>
      <c r="G237" s="179"/>
      <c r="H237" s="179">
        <f>ROUND(F237*G237,2)</f>
        <v>0</v>
      </c>
      <c r="I237" s="23"/>
      <c r="J237" s="42">
        <v>712</v>
      </c>
      <c r="K237" s="50"/>
      <c r="M237" s="23"/>
      <c r="N237" s="23"/>
    </row>
    <row r="238" spans="1:14" s="25" customFormat="1">
      <c r="A238" s="64"/>
      <c r="B238" s="1"/>
      <c r="C238" s="1"/>
      <c r="D238" s="59" t="s">
        <v>339</v>
      </c>
      <c r="E238" s="60"/>
      <c r="F238" s="78">
        <f>ROUND(119.6*1.15,1)</f>
        <v>137.5</v>
      </c>
      <c r="G238" s="1"/>
      <c r="H238" s="65"/>
      <c r="I238" s="26"/>
      <c r="J238" s="40"/>
      <c r="K238" s="43"/>
      <c r="M238" s="23"/>
      <c r="N238" s="23"/>
    </row>
    <row r="239" spans="1:14" s="25" customFormat="1">
      <c r="A239" s="64"/>
      <c r="B239" s="1"/>
      <c r="C239" s="1"/>
      <c r="D239" s="61" t="s">
        <v>26</v>
      </c>
      <c r="E239" s="62"/>
      <c r="F239" s="63">
        <f>SUM(F238:F238)</f>
        <v>137.5</v>
      </c>
      <c r="G239" s="1"/>
      <c r="H239" s="65"/>
      <c r="I239" s="26"/>
      <c r="J239" s="40"/>
      <c r="K239" s="43"/>
      <c r="M239" s="23"/>
      <c r="N239" s="23"/>
    </row>
    <row r="240" spans="1:14" s="25" customFormat="1" ht="36">
      <c r="A240" s="72">
        <f>A237+1</f>
        <v>72</v>
      </c>
      <c r="B240" s="79" t="s">
        <v>29</v>
      </c>
      <c r="C240" s="186" t="s">
        <v>59</v>
      </c>
      <c r="D240" s="190" t="s">
        <v>60</v>
      </c>
      <c r="E240" s="187" t="s">
        <v>13</v>
      </c>
      <c r="F240" s="75">
        <f>F242</f>
        <v>71.7</v>
      </c>
      <c r="G240" s="71"/>
      <c r="H240" s="71">
        <f>ROUND(F240*G240,2)</f>
        <v>0</v>
      </c>
      <c r="I240" s="23"/>
      <c r="J240" s="42">
        <v>712</v>
      </c>
      <c r="K240" s="50"/>
      <c r="M240" s="23"/>
      <c r="N240" s="23"/>
    </row>
    <row r="241" spans="1:14" s="25" customFormat="1">
      <c r="A241" s="64"/>
      <c r="B241" s="1"/>
      <c r="C241" s="3"/>
      <c r="D241" s="59" t="s">
        <v>390</v>
      </c>
      <c r="E241" s="77"/>
      <c r="F241" s="57">
        <f>ROUND(11.2*6.4,1)</f>
        <v>71.7</v>
      </c>
      <c r="G241" s="1"/>
      <c r="H241" s="65"/>
      <c r="I241" s="26"/>
      <c r="J241" s="40"/>
      <c r="K241" s="43"/>
      <c r="M241" s="23"/>
      <c r="N241" s="23"/>
    </row>
    <row r="242" spans="1:14" s="25" customFormat="1">
      <c r="A242" s="64"/>
      <c r="B242" s="1"/>
      <c r="C242" s="3"/>
      <c r="D242" s="188" t="s">
        <v>26</v>
      </c>
      <c r="E242" s="189"/>
      <c r="F242" s="63">
        <f>SUM(F241:F241)</f>
        <v>71.7</v>
      </c>
      <c r="G242" s="1"/>
      <c r="H242" s="65"/>
      <c r="I242" s="26"/>
      <c r="J242" s="40"/>
      <c r="K242" s="43"/>
      <c r="M242" s="23"/>
      <c r="N242" s="23"/>
    </row>
    <row r="243" spans="1:14" s="25" customFormat="1">
      <c r="A243" s="72">
        <f>A240+1</f>
        <v>73</v>
      </c>
      <c r="B243" s="191" t="s">
        <v>83</v>
      </c>
      <c r="C243" s="192" t="s">
        <v>61</v>
      </c>
      <c r="D243" s="193" t="s">
        <v>392</v>
      </c>
      <c r="E243" s="194" t="s">
        <v>13</v>
      </c>
      <c r="F243" s="195">
        <f>F245</f>
        <v>82.46</v>
      </c>
      <c r="G243" s="179"/>
      <c r="H243" s="179">
        <f>ROUND(F243*G243,2)</f>
        <v>0</v>
      </c>
      <c r="I243" s="23"/>
      <c r="J243" s="42">
        <v>712</v>
      </c>
      <c r="K243" s="50"/>
      <c r="M243" s="23"/>
      <c r="N243" s="23"/>
    </row>
    <row r="244" spans="1:14" s="25" customFormat="1">
      <c r="A244" s="64"/>
      <c r="B244" s="1"/>
      <c r="C244" s="1"/>
      <c r="D244" s="59" t="s">
        <v>391</v>
      </c>
      <c r="E244" s="60"/>
      <c r="F244" s="78">
        <f>ROUND(71.7*1.15,2)</f>
        <v>82.46</v>
      </c>
      <c r="G244" s="1"/>
      <c r="H244" s="65"/>
      <c r="I244" s="26"/>
      <c r="J244" s="40"/>
      <c r="K244" s="43"/>
      <c r="M244" s="23"/>
      <c r="N244" s="23"/>
    </row>
    <row r="245" spans="1:14" s="25" customFormat="1">
      <c r="A245" s="64"/>
      <c r="B245" s="1"/>
      <c r="C245" s="1"/>
      <c r="D245" s="61" t="s">
        <v>26</v>
      </c>
      <c r="E245" s="62"/>
      <c r="F245" s="63">
        <f>SUM(F244:F244)</f>
        <v>82.46</v>
      </c>
      <c r="G245" s="1"/>
      <c r="H245" s="65"/>
      <c r="I245" s="26"/>
      <c r="J245" s="40"/>
      <c r="K245" s="43"/>
      <c r="M245" s="23"/>
      <c r="N245" s="23"/>
    </row>
    <row r="246" spans="1:14" s="25" customFormat="1" ht="24">
      <c r="A246" s="72">
        <f>A243+1</f>
        <v>74</v>
      </c>
      <c r="B246" s="79" t="s">
        <v>29</v>
      </c>
      <c r="C246" s="186" t="s">
        <v>62</v>
      </c>
      <c r="D246" s="190" t="s">
        <v>169</v>
      </c>
      <c r="E246" s="187" t="s">
        <v>13</v>
      </c>
      <c r="F246" s="75">
        <f>F248</f>
        <v>71.7</v>
      </c>
      <c r="G246" s="71"/>
      <c r="H246" s="71">
        <f>ROUND(F246*G246,2)</f>
        <v>0</v>
      </c>
      <c r="I246" s="23"/>
      <c r="J246" s="42">
        <v>712</v>
      </c>
      <c r="K246" s="50"/>
      <c r="M246" s="23"/>
      <c r="N246" s="23"/>
    </row>
    <row r="247" spans="1:14" s="25" customFormat="1">
      <c r="A247" s="64"/>
      <c r="B247" s="1"/>
      <c r="C247" s="3"/>
      <c r="D247" s="59" t="s">
        <v>390</v>
      </c>
      <c r="E247" s="77"/>
      <c r="F247" s="57">
        <f>ROUND(11.2*6.4,1)</f>
        <v>71.7</v>
      </c>
      <c r="G247" s="1"/>
      <c r="H247" s="65"/>
      <c r="I247" s="26"/>
      <c r="J247" s="40"/>
      <c r="K247" s="43"/>
      <c r="M247" s="23"/>
      <c r="N247" s="23"/>
    </row>
    <row r="248" spans="1:14" s="25" customFormat="1">
      <c r="A248" s="64"/>
      <c r="B248" s="1"/>
      <c r="C248" s="3"/>
      <c r="D248" s="188" t="s">
        <v>26</v>
      </c>
      <c r="E248" s="189"/>
      <c r="F248" s="63">
        <f>SUM(F247:F247)</f>
        <v>71.7</v>
      </c>
      <c r="G248" s="1"/>
      <c r="H248" s="65"/>
      <c r="I248" s="26"/>
      <c r="J248" s="40"/>
      <c r="K248" s="43"/>
      <c r="M248" s="23"/>
      <c r="N248" s="23"/>
    </row>
    <row r="249" spans="1:14" s="25" customFormat="1" ht="24">
      <c r="A249" s="72">
        <f>A246+1</f>
        <v>75</v>
      </c>
      <c r="B249" s="191" t="s">
        <v>83</v>
      </c>
      <c r="C249" s="192" t="s">
        <v>63</v>
      </c>
      <c r="D249" s="196" t="s">
        <v>170</v>
      </c>
      <c r="E249" s="194" t="s">
        <v>13</v>
      </c>
      <c r="F249" s="195">
        <f>F251</f>
        <v>82.46</v>
      </c>
      <c r="G249" s="179"/>
      <c r="H249" s="179">
        <f>ROUND(F249*G249,2)</f>
        <v>0</v>
      </c>
      <c r="I249" s="23"/>
      <c r="J249" s="42">
        <v>712</v>
      </c>
      <c r="K249" s="50"/>
      <c r="M249" s="23"/>
      <c r="N249" s="23"/>
    </row>
    <row r="250" spans="1:14" s="25" customFormat="1">
      <c r="A250" s="64"/>
      <c r="B250" s="1"/>
      <c r="C250" s="1"/>
      <c r="D250" s="59" t="s">
        <v>391</v>
      </c>
      <c r="E250" s="60"/>
      <c r="F250" s="78">
        <f>ROUND(71.7*1.15,2)</f>
        <v>82.46</v>
      </c>
      <c r="G250" s="1"/>
      <c r="H250" s="65"/>
      <c r="I250" s="26"/>
      <c r="J250" s="40"/>
      <c r="K250" s="43"/>
      <c r="M250" s="23"/>
      <c r="N250" s="23"/>
    </row>
    <row r="251" spans="1:14" s="25" customFormat="1">
      <c r="A251" s="64"/>
      <c r="B251" s="1"/>
      <c r="C251" s="1"/>
      <c r="D251" s="61" t="s">
        <v>26</v>
      </c>
      <c r="E251" s="62"/>
      <c r="F251" s="63">
        <f>SUM(F250:F250)</f>
        <v>82.46</v>
      </c>
      <c r="G251" s="1"/>
      <c r="H251" s="65"/>
      <c r="I251" s="26"/>
      <c r="J251" s="40"/>
      <c r="K251" s="43"/>
      <c r="M251" s="23"/>
      <c r="N251" s="23"/>
    </row>
    <row r="252" spans="1:14" s="25" customFormat="1" ht="24">
      <c r="A252" s="72">
        <f>A249+1</f>
        <v>76</v>
      </c>
      <c r="B252" s="79" t="s">
        <v>29</v>
      </c>
      <c r="C252" s="186" t="s">
        <v>432</v>
      </c>
      <c r="D252" s="190" t="s">
        <v>393</v>
      </c>
      <c r="E252" s="187" t="s">
        <v>13</v>
      </c>
      <c r="F252" s="75">
        <f>F259</f>
        <v>71.7</v>
      </c>
      <c r="G252" s="71"/>
      <c r="H252" s="71">
        <f>ROUND(F252*G252,2)</f>
        <v>0</v>
      </c>
      <c r="I252" s="23"/>
      <c r="J252" s="42">
        <v>712</v>
      </c>
      <c r="K252" s="50"/>
      <c r="M252" s="23"/>
      <c r="N252" s="23"/>
    </row>
    <row r="253" spans="1:14" s="25" customFormat="1">
      <c r="A253" s="64"/>
      <c r="B253" s="1"/>
      <c r="C253" s="3"/>
      <c r="D253" s="208" t="s">
        <v>394</v>
      </c>
      <c r="E253" s="77"/>
      <c r="F253" s="57"/>
      <c r="G253" s="1"/>
      <c r="H253" s="65"/>
      <c r="I253" s="26"/>
      <c r="J253" s="40"/>
      <c r="K253" s="43"/>
      <c r="M253" s="23"/>
      <c r="N253" s="23"/>
    </row>
    <row r="254" spans="1:14" s="25" customFormat="1">
      <c r="A254" s="64"/>
      <c r="B254" s="1"/>
      <c r="C254" s="3"/>
      <c r="D254" s="59" t="s">
        <v>388</v>
      </c>
      <c r="E254" s="77"/>
      <c r="F254" s="57">
        <f>ROUND(11.2*6.4,1)</f>
        <v>71.7</v>
      </c>
      <c r="G254" s="1"/>
      <c r="H254" s="65"/>
      <c r="I254" s="26"/>
      <c r="J254" s="40"/>
      <c r="K254" s="43"/>
      <c r="M254" s="23"/>
      <c r="N254" s="23"/>
    </row>
    <row r="255" spans="1:14" s="25" customFormat="1">
      <c r="A255" s="64"/>
      <c r="B255" s="1"/>
      <c r="C255" s="3"/>
      <c r="D255" s="59" t="s">
        <v>395</v>
      </c>
      <c r="E255" s="77"/>
      <c r="F255" s="57"/>
      <c r="G255" s="1"/>
      <c r="H255" s="65"/>
      <c r="I255" s="26"/>
      <c r="J255" s="40"/>
      <c r="K255" s="43"/>
      <c r="M255" s="23"/>
      <c r="N255" s="23"/>
    </row>
    <row r="256" spans="1:14" s="25" customFormat="1">
      <c r="A256" s="64"/>
      <c r="B256" s="1"/>
      <c r="C256" s="3"/>
      <c r="D256" s="59" t="s">
        <v>396</v>
      </c>
      <c r="E256" s="77"/>
      <c r="F256" s="57"/>
      <c r="G256" s="1"/>
      <c r="H256" s="65"/>
      <c r="I256" s="26"/>
      <c r="J256" s="40"/>
      <c r="K256" s="43"/>
      <c r="M256" s="23"/>
      <c r="N256" s="23"/>
    </row>
    <row r="257" spans="1:14" s="25" customFormat="1">
      <c r="A257" s="64"/>
      <c r="B257" s="1"/>
      <c r="C257" s="3"/>
      <c r="D257" s="59" t="s">
        <v>397</v>
      </c>
      <c r="E257" s="77"/>
      <c r="F257" s="57"/>
      <c r="G257" s="1"/>
      <c r="H257" s="65"/>
      <c r="I257" s="26"/>
      <c r="J257" s="40"/>
      <c r="K257" s="43"/>
      <c r="M257" s="23"/>
      <c r="N257" s="23"/>
    </row>
    <row r="258" spans="1:14" s="25" customFormat="1">
      <c r="A258" s="64"/>
      <c r="B258" s="1"/>
      <c r="C258" s="3"/>
      <c r="D258" s="59" t="s">
        <v>398</v>
      </c>
      <c r="E258" s="77"/>
      <c r="F258" s="57"/>
      <c r="G258" s="1"/>
      <c r="H258" s="65"/>
      <c r="I258" s="26"/>
      <c r="J258" s="40"/>
      <c r="K258" s="43"/>
      <c r="M258" s="23"/>
      <c r="N258" s="23"/>
    </row>
    <row r="259" spans="1:14" s="25" customFormat="1">
      <c r="A259" s="64"/>
      <c r="B259" s="1"/>
      <c r="C259" s="3"/>
      <c r="D259" s="188" t="s">
        <v>26</v>
      </c>
      <c r="E259" s="189"/>
      <c r="F259" s="63">
        <f>SUM(F253:F254)</f>
        <v>71.7</v>
      </c>
      <c r="G259" s="1"/>
      <c r="H259" s="65"/>
      <c r="I259" s="26"/>
      <c r="J259" s="40"/>
      <c r="K259" s="43"/>
      <c r="M259" s="23"/>
      <c r="N259" s="23"/>
    </row>
    <row r="260" spans="1:14" s="24" customFormat="1" ht="23.25" customHeight="1">
      <c r="A260" s="11"/>
      <c r="B260" s="2"/>
      <c r="C260" s="14">
        <v>713</v>
      </c>
      <c r="D260" s="14" t="s">
        <v>50</v>
      </c>
      <c r="E260" s="11"/>
      <c r="F260" s="15"/>
      <c r="G260" s="2"/>
      <c r="H260" s="67">
        <f>SUM(H261:H282)</f>
        <v>0</v>
      </c>
      <c r="I260" s="46"/>
      <c r="J260" s="42">
        <v>713</v>
      </c>
      <c r="K260" s="51"/>
      <c r="L260" s="47"/>
      <c r="M260" s="23"/>
      <c r="N260" s="23"/>
    </row>
    <row r="261" spans="1:14" s="25" customFormat="1" ht="24">
      <c r="A261" s="72">
        <f>A252+1</f>
        <v>77</v>
      </c>
      <c r="B261" s="79" t="s">
        <v>29</v>
      </c>
      <c r="C261" s="80" t="s">
        <v>53</v>
      </c>
      <c r="D261" s="80" t="s">
        <v>54</v>
      </c>
      <c r="E261" s="79" t="s">
        <v>13</v>
      </c>
      <c r="F261" s="75">
        <f>F263</f>
        <v>24.44</v>
      </c>
      <c r="G261" s="71"/>
      <c r="H261" s="71">
        <f>ROUND(F261*G261,2)</f>
        <v>0</v>
      </c>
      <c r="I261" s="23"/>
      <c r="J261" s="42">
        <v>713</v>
      </c>
      <c r="K261" s="50">
        <f>ROUND(F261*0.014,3)</f>
        <v>0.34200000000000003</v>
      </c>
      <c r="M261" s="23"/>
      <c r="N261" s="23"/>
    </row>
    <row r="262" spans="1:14" s="25" customFormat="1">
      <c r="A262" s="64"/>
      <c r="B262" s="1"/>
      <c r="C262" s="1"/>
      <c r="D262" s="59" t="s">
        <v>273</v>
      </c>
      <c r="E262" s="77"/>
      <c r="F262" s="57">
        <f>ROUND(2*(11.8+7)*0.65,2)</f>
        <v>24.44</v>
      </c>
      <c r="G262" s="1"/>
      <c r="H262" s="65"/>
      <c r="I262" s="26"/>
      <c r="J262" s="40"/>
      <c r="K262" s="43"/>
      <c r="M262" s="23"/>
      <c r="N262" s="23"/>
    </row>
    <row r="263" spans="1:14" s="25" customFormat="1">
      <c r="A263" s="64"/>
      <c r="B263" s="1"/>
      <c r="C263" s="1"/>
      <c r="D263" s="61" t="s">
        <v>26</v>
      </c>
      <c r="E263" s="62"/>
      <c r="F263" s="63">
        <f>SUM(F262:F262)</f>
        <v>24.44</v>
      </c>
      <c r="G263" s="1"/>
      <c r="H263" s="65"/>
      <c r="I263" s="26"/>
      <c r="J263" s="40"/>
      <c r="K263" s="43"/>
      <c r="M263" s="23"/>
      <c r="N263" s="23"/>
    </row>
    <row r="264" spans="1:14" s="25" customFormat="1">
      <c r="A264" s="72">
        <f>A261+1</f>
        <v>78</v>
      </c>
      <c r="B264" s="191" t="s">
        <v>83</v>
      </c>
      <c r="C264" s="197">
        <v>2837650070</v>
      </c>
      <c r="D264" s="198" t="s">
        <v>159</v>
      </c>
      <c r="E264" s="191" t="s">
        <v>13</v>
      </c>
      <c r="F264" s="195">
        <f>F266</f>
        <v>24.93</v>
      </c>
      <c r="G264" s="179"/>
      <c r="H264" s="179">
        <f>ROUND(F264*G264,2)</f>
        <v>0</v>
      </c>
      <c r="I264" s="23"/>
      <c r="J264" s="42">
        <v>713</v>
      </c>
      <c r="K264" s="50">
        <f>ROUND(F264*0.05*0.033,3)</f>
        <v>4.1000000000000002E-2</v>
      </c>
    </row>
    <row r="265" spans="1:14" s="25" customFormat="1">
      <c r="A265" s="64"/>
      <c r="B265" s="1"/>
      <c r="C265" s="1"/>
      <c r="D265" s="59" t="s">
        <v>275</v>
      </c>
      <c r="E265" s="60"/>
      <c r="F265" s="78">
        <f>ROUND(24.44*1.02,2)</f>
        <v>24.93</v>
      </c>
      <c r="G265" s="1"/>
      <c r="H265" s="65"/>
      <c r="I265" s="26"/>
      <c r="J265" s="40"/>
      <c r="K265" s="43"/>
    </row>
    <row r="266" spans="1:14" s="25" customFormat="1">
      <c r="A266" s="64"/>
      <c r="B266" s="1"/>
      <c r="C266" s="1"/>
      <c r="D266" s="61" t="s">
        <v>26</v>
      </c>
      <c r="E266" s="62"/>
      <c r="F266" s="63">
        <f>SUM(F265:F265)</f>
        <v>24.93</v>
      </c>
      <c r="G266" s="1"/>
      <c r="H266" s="65"/>
      <c r="I266" s="26"/>
      <c r="J266" s="40"/>
      <c r="K266" s="43"/>
      <c r="M266" s="23"/>
      <c r="N266" s="23"/>
    </row>
    <row r="267" spans="1:14" s="25" customFormat="1" ht="24">
      <c r="A267" s="72">
        <f>A264+1</f>
        <v>79</v>
      </c>
      <c r="B267" s="79" t="s">
        <v>29</v>
      </c>
      <c r="C267" s="80">
        <v>713142160</v>
      </c>
      <c r="D267" s="80" t="s">
        <v>387</v>
      </c>
      <c r="E267" s="79" t="s">
        <v>13</v>
      </c>
      <c r="F267" s="75">
        <f>F269</f>
        <v>71.7</v>
      </c>
      <c r="G267" s="71"/>
      <c r="H267" s="71">
        <f>ROUND(F267*G267,2)</f>
        <v>0</v>
      </c>
      <c r="I267" s="23"/>
      <c r="J267" s="42">
        <v>713</v>
      </c>
      <c r="K267" s="50">
        <f>ROUND(F267*0.014,3)</f>
        <v>1.004</v>
      </c>
      <c r="M267" s="23"/>
      <c r="N267" s="23"/>
    </row>
    <row r="268" spans="1:14" s="25" customFormat="1">
      <c r="A268" s="64"/>
      <c r="B268" s="1"/>
      <c r="C268" s="1"/>
      <c r="D268" s="59" t="s">
        <v>390</v>
      </c>
      <c r="E268" s="77"/>
      <c r="F268" s="57">
        <f>ROUND(11.2*6.4,1)</f>
        <v>71.7</v>
      </c>
      <c r="G268" s="1"/>
      <c r="H268" s="65"/>
      <c r="I268" s="26"/>
      <c r="J268" s="40"/>
      <c r="K268" s="43"/>
    </row>
    <row r="269" spans="1:14" s="25" customFormat="1">
      <c r="A269" s="64"/>
      <c r="B269" s="1"/>
      <c r="C269" s="1"/>
      <c r="D269" s="61" t="s">
        <v>26</v>
      </c>
      <c r="E269" s="62"/>
      <c r="F269" s="63">
        <f>SUM(F268:F268)</f>
        <v>71.7</v>
      </c>
      <c r="G269" s="1"/>
      <c r="H269" s="65"/>
      <c r="I269" s="26"/>
      <c r="J269" s="40"/>
      <c r="K269" s="43"/>
      <c r="M269" s="23"/>
      <c r="N269" s="23"/>
    </row>
    <row r="270" spans="1:14" s="25" customFormat="1">
      <c r="A270" s="72">
        <f>A267+1</f>
        <v>80</v>
      </c>
      <c r="B270" s="191" t="s">
        <v>83</v>
      </c>
      <c r="C270" s="197">
        <v>283765</v>
      </c>
      <c r="D270" s="197" t="s">
        <v>389</v>
      </c>
      <c r="E270" s="191" t="s">
        <v>13</v>
      </c>
      <c r="F270" s="195">
        <f>F272</f>
        <v>73.13</v>
      </c>
      <c r="G270" s="179"/>
      <c r="H270" s="179">
        <f>ROUND(F270*G270,2)</f>
        <v>0</v>
      </c>
      <c r="I270" s="23"/>
      <c r="J270" s="42">
        <v>713</v>
      </c>
      <c r="K270" s="50">
        <f>ROUND(F270*0.08*0.033,3)</f>
        <v>0.193</v>
      </c>
      <c r="M270" s="23"/>
      <c r="N270" s="23"/>
    </row>
    <row r="271" spans="1:14" s="25" customFormat="1">
      <c r="A271" s="64"/>
      <c r="B271" s="1"/>
      <c r="C271" s="1"/>
      <c r="D271" s="59" t="s">
        <v>386</v>
      </c>
      <c r="E271" s="60"/>
      <c r="F271" s="78">
        <f>ROUND(71.7*1.02,2)</f>
        <v>73.13</v>
      </c>
      <c r="G271" s="1"/>
      <c r="H271" s="65"/>
      <c r="I271" s="26"/>
      <c r="J271" s="40"/>
      <c r="K271" s="43"/>
      <c r="M271" s="23"/>
      <c r="N271" s="23"/>
    </row>
    <row r="272" spans="1:14" s="25" customFormat="1">
      <c r="A272" s="64"/>
      <c r="B272" s="1"/>
      <c r="C272" s="1"/>
      <c r="D272" s="61" t="s">
        <v>26</v>
      </c>
      <c r="E272" s="62"/>
      <c r="F272" s="63">
        <f>SUM(F271:F271)</f>
        <v>73.13</v>
      </c>
      <c r="G272" s="1"/>
      <c r="H272" s="65"/>
      <c r="I272" s="26"/>
      <c r="J272" s="40"/>
      <c r="K272" s="43"/>
      <c r="M272" s="23"/>
      <c r="N272" s="23"/>
    </row>
    <row r="273" spans="1:14" s="25" customFormat="1" ht="24">
      <c r="A273" s="72">
        <f>A270+1</f>
        <v>81</v>
      </c>
      <c r="B273" s="79" t="s">
        <v>29</v>
      </c>
      <c r="C273" s="80" t="s">
        <v>168</v>
      </c>
      <c r="D273" s="80" t="s">
        <v>171</v>
      </c>
      <c r="E273" s="79" t="s">
        <v>13</v>
      </c>
      <c r="F273" s="75">
        <f>F275</f>
        <v>71.7</v>
      </c>
      <c r="G273" s="71"/>
      <c r="H273" s="71">
        <f>ROUND(F273*G273,2)</f>
        <v>0</v>
      </c>
      <c r="I273" s="23"/>
      <c r="J273" s="42">
        <v>713</v>
      </c>
      <c r="K273" s="50">
        <f>ROUND(F273*0.014,3)</f>
        <v>1.004</v>
      </c>
      <c r="M273" s="23"/>
      <c r="N273" s="23"/>
    </row>
    <row r="274" spans="1:14" s="25" customFormat="1">
      <c r="A274" s="64"/>
      <c r="B274" s="1"/>
      <c r="C274" s="1"/>
      <c r="D274" s="59" t="s">
        <v>390</v>
      </c>
      <c r="E274" s="77"/>
      <c r="F274" s="57">
        <f>ROUND(11.2*6.4,1)</f>
        <v>71.7</v>
      </c>
      <c r="G274" s="1"/>
      <c r="H274" s="65"/>
      <c r="I274" s="26"/>
      <c r="J274" s="40"/>
      <c r="K274" s="43"/>
      <c r="M274" s="23"/>
      <c r="N274" s="23"/>
    </row>
    <row r="275" spans="1:14" s="25" customFormat="1">
      <c r="A275" s="64"/>
      <c r="B275" s="1"/>
      <c r="C275" s="1"/>
      <c r="D275" s="61" t="s">
        <v>26</v>
      </c>
      <c r="E275" s="62"/>
      <c r="F275" s="63">
        <f>SUM(F274:F274)</f>
        <v>71.7</v>
      </c>
      <c r="G275" s="1"/>
      <c r="H275" s="65"/>
      <c r="I275" s="26"/>
      <c r="J275" s="40"/>
      <c r="K275" s="43"/>
      <c r="M275" s="23"/>
      <c r="N275" s="23"/>
    </row>
    <row r="276" spans="1:14" s="25" customFormat="1" ht="24">
      <c r="A276" s="72">
        <f>A273+1</f>
        <v>82</v>
      </c>
      <c r="B276" s="191" t="s">
        <v>83</v>
      </c>
      <c r="C276" s="197">
        <v>2837650300</v>
      </c>
      <c r="D276" s="197" t="s">
        <v>385</v>
      </c>
      <c r="E276" s="191" t="s">
        <v>13</v>
      </c>
      <c r="F276" s="195">
        <f>F278</f>
        <v>73.13</v>
      </c>
      <c r="G276" s="179"/>
      <c r="H276" s="179">
        <f>ROUND(F276*G276,2)</f>
        <v>0</v>
      </c>
      <c r="I276" s="23"/>
      <c r="J276" s="42">
        <v>713</v>
      </c>
      <c r="K276" s="50">
        <f>ROUND(F276*0.2*0.033,3)</f>
        <v>0.48299999999999998</v>
      </c>
      <c r="M276" s="23"/>
      <c r="N276" s="23"/>
    </row>
    <row r="277" spans="1:14" s="25" customFormat="1">
      <c r="A277" s="64"/>
      <c r="B277" s="1"/>
      <c r="C277" s="1"/>
      <c r="D277" s="59" t="s">
        <v>386</v>
      </c>
      <c r="E277" s="60"/>
      <c r="F277" s="78">
        <f>ROUND(71.7*1.02,2)</f>
        <v>73.13</v>
      </c>
      <c r="G277" s="1"/>
      <c r="H277" s="65"/>
      <c r="I277" s="26"/>
      <c r="J277" s="40"/>
      <c r="K277" s="43"/>
      <c r="M277" s="23"/>
      <c r="N277" s="23"/>
    </row>
    <row r="278" spans="1:14" s="25" customFormat="1">
      <c r="A278" s="64"/>
      <c r="B278" s="1"/>
      <c r="C278" s="1"/>
      <c r="D278" s="61" t="s">
        <v>26</v>
      </c>
      <c r="E278" s="62"/>
      <c r="F278" s="63">
        <f>SUM(F277:F277)</f>
        <v>73.13</v>
      </c>
      <c r="G278" s="1"/>
      <c r="H278" s="65"/>
      <c r="I278" s="26"/>
      <c r="J278" s="40"/>
      <c r="K278" s="43"/>
      <c r="M278" s="23"/>
      <c r="N278" s="23"/>
    </row>
    <row r="279" spans="1:14" s="25" customFormat="1">
      <c r="A279" s="72">
        <f>A276+1</f>
        <v>83</v>
      </c>
      <c r="B279" s="79" t="s">
        <v>29</v>
      </c>
      <c r="C279" s="80" t="s">
        <v>160</v>
      </c>
      <c r="D279" s="80" t="s">
        <v>161</v>
      </c>
      <c r="E279" s="79" t="s">
        <v>13</v>
      </c>
      <c r="F279" s="75">
        <f>F281</f>
        <v>8.8000000000000007</v>
      </c>
      <c r="G279" s="71"/>
      <c r="H279" s="71">
        <f>ROUND(F279*G279,2)</f>
        <v>0</v>
      </c>
      <c r="I279" s="23"/>
      <c r="J279" s="42">
        <v>713</v>
      </c>
      <c r="K279" s="50"/>
      <c r="M279" s="23"/>
      <c r="N279" s="23"/>
    </row>
    <row r="280" spans="1:14" s="25" customFormat="1">
      <c r="A280" s="64"/>
      <c r="B280" s="1"/>
      <c r="C280" s="1"/>
      <c r="D280" s="59" t="s">
        <v>334</v>
      </c>
      <c r="E280" s="77"/>
      <c r="F280" s="57">
        <f>ROUND(2*(11.2+6.4)*0.25,2)</f>
        <v>8.8000000000000007</v>
      </c>
      <c r="G280" s="1"/>
      <c r="H280" s="65"/>
      <c r="I280" s="26"/>
      <c r="J280" s="40"/>
      <c r="K280" s="43"/>
      <c r="M280" s="23"/>
      <c r="N280" s="23"/>
    </row>
    <row r="281" spans="1:14" s="25" customFormat="1">
      <c r="A281" s="64"/>
      <c r="B281" s="1"/>
      <c r="C281" s="1"/>
      <c r="D281" s="61" t="s">
        <v>26</v>
      </c>
      <c r="E281" s="62"/>
      <c r="F281" s="63">
        <f>SUM(F280:F280)</f>
        <v>8.8000000000000007</v>
      </c>
      <c r="G281" s="1"/>
      <c r="H281" s="65"/>
      <c r="I281" s="26"/>
      <c r="J281" s="40"/>
      <c r="K281" s="43"/>
      <c r="M281" s="23"/>
      <c r="N281" s="23"/>
    </row>
    <row r="282" spans="1:14" s="25" customFormat="1" ht="24">
      <c r="A282" s="72">
        <f>A279+1</f>
        <v>84</v>
      </c>
      <c r="B282" s="191" t="s">
        <v>83</v>
      </c>
      <c r="C282" s="197" t="s">
        <v>55</v>
      </c>
      <c r="D282" s="197" t="s">
        <v>56</v>
      </c>
      <c r="E282" s="191" t="s">
        <v>13</v>
      </c>
      <c r="F282" s="195">
        <f>F284</f>
        <v>8.98</v>
      </c>
      <c r="G282" s="179"/>
      <c r="H282" s="179">
        <f>ROUND(F282*G282,2)</f>
        <v>0</v>
      </c>
      <c r="I282" s="23"/>
      <c r="J282" s="42">
        <v>713</v>
      </c>
      <c r="K282" s="50">
        <f>ROUND(F282*0.05*0.033,3)</f>
        <v>1.4999999999999999E-2</v>
      </c>
      <c r="M282" s="23"/>
      <c r="N282" s="23"/>
    </row>
    <row r="283" spans="1:14" s="25" customFormat="1">
      <c r="A283" s="64"/>
      <c r="B283" s="1"/>
      <c r="C283" s="1"/>
      <c r="D283" s="59" t="s">
        <v>335</v>
      </c>
      <c r="E283" s="60"/>
      <c r="F283" s="78">
        <f>ROUND(8.8*1.02,2)</f>
        <v>8.98</v>
      </c>
      <c r="G283" s="1"/>
      <c r="H283" s="65"/>
      <c r="I283" s="26"/>
      <c r="J283" s="40"/>
      <c r="K283" s="43"/>
      <c r="M283" s="23"/>
      <c r="N283" s="23"/>
    </row>
    <row r="284" spans="1:14" s="25" customFormat="1">
      <c r="A284" s="64"/>
      <c r="B284" s="1"/>
      <c r="C284" s="1"/>
      <c r="D284" s="61" t="s">
        <v>26</v>
      </c>
      <c r="E284" s="62"/>
      <c r="F284" s="63">
        <f>SUM(F283:F283)</f>
        <v>8.98</v>
      </c>
      <c r="G284" s="1"/>
      <c r="H284" s="65"/>
      <c r="I284" s="26"/>
      <c r="J284" s="40"/>
      <c r="K284" s="43"/>
      <c r="M284" s="23"/>
      <c r="N284" s="23"/>
    </row>
    <row r="285" spans="1:14" s="24" customFormat="1" ht="23.25" customHeight="1">
      <c r="A285" s="11"/>
      <c r="B285" s="2"/>
      <c r="C285" s="14">
        <v>762</v>
      </c>
      <c r="D285" s="14" t="s">
        <v>43</v>
      </c>
      <c r="E285" s="11"/>
      <c r="F285" s="15"/>
      <c r="G285" s="2"/>
      <c r="H285" s="67">
        <f>SUM(H286:H297)</f>
        <v>0</v>
      </c>
      <c r="I285" s="46"/>
      <c r="J285" s="42">
        <v>762</v>
      </c>
      <c r="K285" s="43"/>
      <c r="L285" s="47"/>
      <c r="M285" s="23"/>
      <c r="N285" s="23"/>
    </row>
    <row r="286" spans="1:14" s="25" customFormat="1" ht="24">
      <c r="A286" s="72">
        <f>A282+1</f>
        <v>85</v>
      </c>
      <c r="B286" s="79" t="s">
        <v>44</v>
      </c>
      <c r="C286" s="80">
        <v>762421304</v>
      </c>
      <c r="D286" s="80" t="s">
        <v>330</v>
      </c>
      <c r="E286" s="79" t="s">
        <v>12</v>
      </c>
      <c r="F286" s="75">
        <f>F288</f>
        <v>40.1</v>
      </c>
      <c r="G286" s="71"/>
      <c r="H286" s="71">
        <f>ROUND(F286*G286,2)</f>
        <v>0</v>
      </c>
      <c r="I286" s="23"/>
      <c r="J286" s="42">
        <v>762</v>
      </c>
      <c r="K286" s="50">
        <f>ROUND(F286*0.018*0.48,3)</f>
        <v>0.34599999999999997</v>
      </c>
      <c r="M286" s="23"/>
      <c r="N286" s="23"/>
    </row>
    <row r="287" spans="1:14" s="25" customFormat="1">
      <c r="A287" s="64"/>
      <c r="B287" s="1"/>
      <c r="C287" s="1"/>
      <c r="D287" s="59" t="s">
        <v>331</v>
      </c>
      <c r="E287" s="60"/>
      <c r="F287" s="57">
        <f>ROUND(2*(13.16+6.3)*1.03,1)</f>
        <v>40.1</v>
      </c>
      <c r="G287" s="1"/>
      <c r="H287" s="65"/>
      <c r="I287" s="26"/>
      <c r="J287" s="40"/>
      <c r="K287" s="43"/>
      <c r="M287" s="23"/>
      <c r="N287" s="23"/>
    </row>
    <row r="288" spans="1:14" s="25" customFormat="1">
      <c r="A288" s="64"/>
      <c r="B288" s="1"/>
      <c r="C288" s="1"/>
      <c r="D288" s="61" t="s">
        <v>26</v>
      </c>
      <c r="E288" s="62"/>
      <c r="F288" s="63">
        <f>SUM(F287:F287)</f>
        <v>40.1</v>
      </c>
      <c r="G288" s="1"/>
      <c r="H288" s="65"/>
      <c r="I288" s="26"/>
      <c r="J288" s="40"/>
      <c r="K288" s="43"/>
      <c r="M288" s="23"/>
      <c r="N288" s="23"/>
    </row>
    <row r="289" spans="1:14" s="25" customFormat="1" ht="24">
      <c r="A289" s="72">
        <f>A286+1</f>
        <v>86</v>
      </c>
      <c r="B289" s="79" t="s">
        <v>29</v>
      </c>
      <c r="C289" s="80">
        <v>762712110</v>
      </c>
      <c r="D289" s="80" t="s">
        <v>332</v>
      </c>
      <c r="E289" s="79" t="s">
        <v>14</v>
      </c>
      <c r="F289" s="75">
        <f>F294</f>
        <v>97.199999999999989</v>
      </c>
      <c r="G289" s="71"/>
      <c r="H289" s="71">
        <f>ROUND(F289*G289,2)</f>
        <v>0</v>
      </c>
      <c r="I289" s="23"/>
      <c r="J289" s="42">
        <v>762</v>
      </c>
      <c r="K289" s="50"/>
      <c r="M289" s="23"/>
      <c r="N289" s="23"/>
    </row>
    <row r="290" spans="1:14" s="25" customFormat="1">
      <c r="A290" s="64"/>
      <c r="B290" s="1"/>
      <c r="C290" s="1"/>
      <c r="D290" s="59" t="s">
        <v>340</v>
      </c>
      <c r="E290" s="60"/>
      <c r="F290" s="57"/>
      <c r="G290" s="1"/>
      <c r="H290" s="65"/>
      <c r="I290" s="26"/>
      <c r="J290" s="40"/>
      <c r="K290" s="43"/>
      <c r="M290" s="23"/>
      <c r="N290" s="23"/>
    </row>
    <row r="291" spans="1:14" s="25" customFormat="1">
      <c r="A291" s="64"/>
      <c r="B291" s="1"/>
      <c r="C291" s="1"/>
      <c r="D291" s="59" t="s">
        <v>341</v>
      </c>
      <c r="E291" s="60"/>
      <c r="F291" s="57">
        <f>72*0.67</f>
        <v>48.24</v>
      </c>
      <c r="G291" s="1"/>
      <c r="H291" s="65"/>
      <c r="I291" s="26"/>
      <c r="J291" s="40"/>
      <c r="K291" s="43"/>
      <c r="M291" s="23"/>
      <c r="N291" s="23"/>
    </row>
    <row r="292" spans="1:14" s="25" customFormat="1">
      <c r="A292" s="64"/>
      <c r="B292" s="1"/>
      <c r="C292" s="1"/>
      <c r="D292" s="59" t="s">
        <v>342</v>
      </c>
      <c r="E292" s="60"/>
      <c r="F292" s="57">
        <f>36*0.42</f>
        <v>15.12</v>
      </c>
      <c r="G292" s="1"/>
      <c r="H292" s="65"/>
      <c r="I292" s="26"/>
      <c r="J292" s="40"/>
      <c r="K292" s="43"/>
      <c r="M292" s="23"/>
      <c r="N292" s="23"/>
    </row>
    <row r="293" spans="1:14" s="25" customFormat="1">
      <c r="A293" s="64"/>
      <c r="B293" s="1"/>
      <c r="C293" s="1"/>
      <c r="D293" s="59" t="s">
        <v>343</v>
      </c>
      <c r="E293" s="60"/>
      <c r="F293" s="57">
        <f>36*0.94</f>
        <v>33.839999999999996</v>
      </c>
      <c r="G293" s="1"/>
      <c r="H293" s="65"/>
      <c r="I293" s="26"/>
      <c r="J293" s="40"/>
      <c r="K293" s="43"/>
      <c r="M293" s="23"/>
      <c r="N293" s="23"/>
    </row>
    <row r="294" spans="1:14" s="25" customFormat="1">
      <c r="A294" s="64"/>
      <c r="B294" s="1"/>
      <c r="C294" s="1"/>
      <c r="D294" s="61" t="s">
        <v>26</v>
      </c>
      <c r="E294" s="62"/>
      <c r="F294" s="63">
        <f>SUM(F290:F293)</f>
        <v>97.199999999999989</v>
      </c>
      <c r="G294" s="1"/>
      <c r="H294" s="65"/>
      <c r="I294" s="26"/>
      <c r="J294" s="40"/>
      <c r="K294" s="43"/>
      <c r="M294" s="23"/>
      <c r="N294" s="23"/>
    </row>
    <row r="295" spans="1:14" s="25" customFormat="1" ht="24">
      <c r="A295" s="72">
        <f>A289+1</f>
        <v>87</v>
      </c>
      <c r="B295" s="191" t="s">
        <v>83</v>
      </c>
      <c r="C295" s="197">
        <v>6051200005</v>
      </c>
      <c r="D295" s="197" t="s">
        <v>333</v>
      </c>
      <c r="E295" s="191" t="s">
        <v>12</v>
      </c>
      <c r="F295" s="195">
        <f>F297</f>
        <v>0.41599999999999998</v>
      </c>
      <c r="G295" s="179"/>
      <c r="H295" s="179">
        <f>ROUND(F295*G295,2)</f>
        <v>0</v>
      </c>
      <c r="I295" s="23"/>
      <c r="J295" s="42">
        <v>762</v>
      </c>
      <c r="K295" s="50">
        <f>ROUND(F295*0.475,3)</f>
        <v>0.19800000000000001</v>
      </c>
      <c r="M295" s="23"/>
      <c r="N295" s="23"/>
    </row>
    <row r="296" spans="1:14" s="25" customFormat="1">
      <c r="A296" s="64"/>
      <c r="B296" s="1"/>
      <c r="C296" s="1"/>
      <c r="D296" s="59" t="s">
        <v>344</v>
      </c>
      <c r="E296" s="60"/>
      <c r="F296" s="57">
        <f>ROUND(97.2*0.12*0.035*1.02,3)</f>
        <v>0.41599999999999998</v>
      </c>
      <c r="G296" s="1"/>
      <c r="H296" s="65"/>
      <c r="I296" s="26"/>
      <c r="J296" s="40"/>
      <c r="K296" s="51"/>
    </row>
    <row r="297" spans="1:14" s="25" customFormat="1">
      <c r="A297" s="64"/>
      <c r="B297" s="1"/>
      <c r="C297" s="1"/>
      <c r="D297" s="61" t="s">
        <v>26</v>
      </c>
      <c r="E297" s="62"/>
      <c r="F297" s="63">
        <f>SUM(F296:F296)</f>
        <v>0.41599999999999998</v>
      </c>
      <c r="G297" s="1"/>
      <c r="H297" s="65"/>
      <c r="I297" s="26"/>
      <c r="J297" s="40"/>
      <c r="K297" s="51"/>
    </row>
    <row r="298" spans="1:14" s="24" customFormat="1" ht="23.25" customHeight="1">
      <c r="A298" s="11"/>
      <c r="B298" s="2"/>
      <c r="C298" s="14">
        <v>763</v>
      </c>
      <c r="D298" s="14" t="s">
        <v>201</v>
      </c>
      <c r="E298" s="11"/>
      <c r="F298" s="15"/>
      <c r="G298" s="2"/>
      <c r="H298" s="67">
        <f>SUM(H299:H302)</f>
        <v>0</v>
      </c>
      <c r="I298" s="46"/>
      <c r="J298" s="42">
        <v>763</v>
      </c>
      <c r="K298" s="51"/>
      <c r="L298" s="47"/>
      <c r="M298" s="23"/>
    </row>
    <row r="299" spans="1:14" s="25" customFormat="1" ht="36">
      <c r="A299" s="72">
        <f>A295+1</f>
        <v>88</v>
      </c>
      <c r="B299" s="73">
        <v>763</v>
      </c>
      <c r="C299" s="74" t="s">
        <v>202</v>
      </c>
      <c r="D299" s="74" t="s">
        <v>204</v>
      </c>
      <c r="E299" s="73" t="s">
        <v>13</v>
      </c>
      <c r="F299" s="75">
        <f>F302</f>
        <v>14.95</v>
      </c>
      <c r="G299" s="71"/>
      <c r="H299" s="71">
        <f>ROUND(F299*G299,2)</f>
        <v>0</v>
      </c>
      <c r="I299" s="23" t="s">
        <v>203</v>
      </c>
      <c r="J299" s="42">
        <v>763</v>
      </c>
      <c r="K299" s="50">
        <f>ROUND(F299*2*0.0125*1.8,3)</f>
        <v>0.67300000000000004</v>
      </c>
      <c r="L299" s="47"/>
    </row>
    <row r="300" spans="1:14" s="25" customFormat="1" ht="14.25">
      <c r="A300" s="64"/>
      <c r="B300" s="1"/>
      <c r="C300" s="1"/>
      <c r="D300" s="59" t="s">
        <v>276</v>
      </c>
      <c r="E300" s="60"/>
      <c r="F300" s="57">
        <f>ROUND((1.915+1.83+1.895)*(1.2+0.15)+2*1.83*(1.2+0.21),2)</f>
        <v>12.77</v>
      </c>
      <c r="G300" s="1"/>
      <c r="H300" s="65"/>
      <c r="I300" s="26"/>
      <c r="J300" s="40"/>
      <c r="K300" s="27"/>
      <c r="L300" s="47"/>
      <c r="M300" s="152"/>
    </row>
    <row r="301" spans="1:14" s="25" customFormat="1" ht="14.25">
      <c r="A301" s="64"/>
      <c r="B301" s="1"/>
      <c r="C301" s="1"/>
      <c r="D301" s="59" t="s">
        <v>277</v>
      </c>
      <c r="E301" s="60"/>
      <c r="F301" s="57">
        <f>ROUND(2*(0.15+0.225)*2.9,2)</f>
        <v>2.1800000000000002</v>
      </c>
      <c r="G301" s="1"/>
      <c r="H301" s="65"/>
      <c r="I301" s="26"/>
      <c r="J301" s="40"/>
      <c r="K301" s="27"/>
      <c r="L301" s="47"/>
      <c r="M301" s="152"/>
    </row>
    <row r="302" spans="1:14" s="25" customFormat="1" ht="14.25">
      <c r="A302" s="64"/>
      <c r="B302" s="1"/>
      <c r="C302" s="1"/>
      <c r="D302" s="61" t="s">
        <v>26</v>
      </c>
      <c r="E302" s="62"/>
      <c r="F302" s="63">
        <f>SUM(F300:F301)</f>
        <v>14.95</v>
      </c>
      <c r="G302" s="1"/>
      <c r="H302" s="65"/>
      <c r="I302" s="26"/>
      <c r="J302" s="40"/>
      <c r="K302" s="27"/>
      <c r="L302" s="47"/>
    </row>
    <row r="303" spans="1:14" s="24" customFormat="1" ht="23.25" customHeight="1">
      <c r="A303" s="11"/>
      <c r="B303" s="2"/>
      <c r="C303" s="14">
        <v>764</v>
      </c>
      <c r="D303" s="14" t="s">
        <v>81</v>
      </c>
      <c r="E303" s="11"/>
      <c r="F303" s="15"/>
      <c r="G303" s="2"/>
      <c r="H303" s="67">
        <f>SUM(H304:H307)</f>
        <v>0</v>
      </c>
      <c r="I303" s="46"/>
      <c r="J303" s="42">
        <v>764</v>
      </c>
      <c r="K303" s="51"/>
      <c r="L303" s="47"/>
      <c r="M303" s="23"/>
      <c r="N303" s="23"/>
    </row>
    <row r="304" spans="1:14" s="25" customFormat="1" ht="24">
      <c r="A304" s="72">
        <f>A299+1</f>
        <v>89</v>
      </c>
      <c r="B304" s="79" t="s">
        <v>29</v>
      </c>
      <c r="C304" s="80" t="s">
        <v>430</v>
      </c>
      <c r="D304" s="74" t="s">
        <v>371</v>
      </c>
      <c r="E304" s="73" t="s">
        <v>14</v>
      </c>
      <c r="F304" s="75">
        <f>F306</f>
        <v>43.2</v>
      </c>
      <c r="G304" s="71"/>
      <c r="H304" s="71">
        <f>ROUND(F304*G304,2)</f>
        <v>0</v>
      </c>
      <c r="I304" s="23"/>
      <c r="J304" s="42">
        <v>764</v>
      </c>
      <c r="K304" s="50">
        <f>ROUND(F304*0.25*0.001*8,3)</f>
        <v>8.5999999999999993E-2</v>
      </c>
      <c r="M304" s="23"/>
      <c r="N304" s="23"/>
    </row>
    <row r="305" spans="1:16" s="25" customFormat="1">
      <c r="A305" s="64"/>
      <c r="B305" s="1"/>
      <c r="C305" s="1"/>
      <c r="D305" s="59" t="s">
        <v>372</v>
      </c>
      <c r="E305" s="77"/>
      <c r="F305" s="57">
        <f>2*(13.2+8.4)</f>
        <v>43.2</v>
      </c>
      <c r="G305" s="1"/>
      <c r="H305" s="65"/>
      <c r="I305" s="26"/>
      <c r="J305" s="40"/>
      <c r="K305" s="51"/>
      <c r="M305" s="23"/>
      <c r="N305" s="23"/>
    </row>
    <row r="306" spans="1:16" s="25" customFormat="1">
      <c r="A306" s="64"/>
      <c r="B306" s="1"/>
      <c r="C306" s="1"/>
      <c r="D306" s="61" t="s">
        <v>26</v>
      </c>
      <c r="E306" s="62"/>
      <c r="F306" s="63">
        <f>SUM(F305:F305)</f>
        <v>43.2</v>
      </c>
      <c r="G306" s="1"/>
      <c r="H306" s="65"/>
      <c r="I306" s="26"/>
      <c r="J306" s="40"/>
      <c r="K306" s="51"/>
      <c r="M306" s="23"/>
      <c r="N306" s="23"/>
    </row>
    <row r="307" spans="1:16" s="25" customFormat="1" ht="24">
      <c r="A307" s="72">
        <f>A304+1</f>
        <v>90</v>
      </c>
      <c r="B307" s="79" t="s">
        <v>29</v>
      </c>
      <c r="C307" s="80" t="s">
        <v>431</v>
      </c>
      <c r="D307" s="80" t="s">
        <v>370</v>
      </c>
      <c r="E307" s="79" t="s">
        <v>14</v>
      </c>
      <c r="F307" s="1055">
        <f>F309</f>
        <v>10.8</v>
      </c>
      <c r="G307" s="71"/>
      <c r="H307" s="71">
        <f>ROUND(F307*G307,2)</f>
        <v>0</v>
      </c>
      <c r="I307" s="23"/>
      <c r="J307" s="42">
        <v>764</v>
      </c>
      <c r="K307" s="50">
        <f>ROUND(F307*0.15*0.001*8,3)</f>
        <v>1.2999999999999999E-2</v>
      </c>
      <c r="M307" s="23"/>
      <c r="N307" s="23"/>
    </row>
    <row r="308" spans="1:16" s="25" customFormat="1">
      <c r="A308" s="64"/>
      <c r="B308" s="1"/>
      <c r="C308" s="1"/>
      <c r="D308" s="1059" t="s">
        <v>2709</v>
      </c>
      <c r="E308" s="1060"/>
      <c r="F308" s="1061">
        <f>4*1.2+2.4+1.8+1.8</f>
        <v>10.8</v>
      </c>
      <c r="G308" s="1"/>
      <c r="H308" s="65"/>
      <c r="I308" s="26"/>
      <c r="J308" s="40"/>
      <c r="K308" s="51"/>
      <c r="M308" s="23"/>
      <c r="N308" s="23"/>
    </row>
    <row r="309" spans="1:16" s="25" customFormat="1">
      <c r="A309" s="64"/>
      <c r="B309" s="1"/>
      <c r="C309" s="1"/>
      <c r="D309" s="1063" t="s">
        <v>26</v>
      </c>
      <c r="E309" s="1064"/>
      <c r="F309" s="1065">
        <f>SUM(F308:F308)</f>
        <v>10.8</v>
      </c>
      <c r="G309" s="1"/>
      <c r="H309" s="65"/>
      <c r="I309" s="26"/>
      <c r="J309" s="40"/>
      <c r="K309" s="51"/>
      <c r="M309" s="23"/>
      <c r="N309" s="23"/>
    </row>
    <row r="310" spans="1:16" s="24" customFormat="1" ht="23.25" customHeight="1">
      <c r="A310" s="11"/>
      <c r="B310" s="2"/>
      <c r="C310" s="14">
        <v>766</v>
      </c>
      <c r="D310" s="14" t="s">
        <v>47</v>
      </c>
      <c r="E310" s="11"/>
      <c r="F310" s="15"/>
      <c r="G310" s="2"/>
      <c r="H310" s="67">
        <f>SUM(H311:H325)</f>
        <v>0</v>
      </c>
      <c r="I310" s="46"/>
      <c r="J310" s="42">
        <v>766</v>
      </c>
      <c r="K310" s="51"/>
      <c r="L310" s="47"/>
      <c r="M310" s="23"/>
      <c r="N310" s="23"/>
      <c r="O310" s="25"/>
      <c r="P310" s="25"/>
    </row>
    <row r="311" spans="1:16" s="25" customFormat="1">
      <c r="A311" s="72">
        <f>A307+1</f>
        <v>91</v>
      </c>
      <c r="B311" s="79">
        <v>766</v>
      </c>
      <c r="C311" s="80" t="s">
        <v>188</v>
      </c>
      <c r="D311" s="199" t="s">
        <v>278</v>
      </c>
      <c r="E311" s="79" t="s">
        <v>13</v>
      </c>
      <c r="F311" s="75">
        <f>F313</f>
        <v>54.72</v>
      </c>
      <c r="G311" s="71"/>
      <c r="H311" s="71">
        <f>ROUND(F311*G311,2)</f>
        <v>0</v>
      </c>
      <c r="I311" s="23"/>
      <c r="J311" s="42">
        <v>766</v>
      </c>
      <c r="K311" s="50"/>
      <c r="M311" s="23"/>
      <c r="N311" s="23"/>
    </row>
    <row r="312" spans="1:16" s="25" customFormat="1">
      <c r="A312" s="64"/>
      <c r="B312" s="1"/>
      <c r="C312" s="1"/>
      <c r="D312" s="59" t="s">
        <v>327</v>
      </c>
      <c r="E312" s="200"/>
      <c r="F312" s="57">
        <f>ROUND(2*(8.4+13.2)*0.72+2*(13.16+7.2)*0.58,2)</f>
        <v>54.72</v>
      </c>
      <c r="G312" s="1"/>
      <c r="H312" s="65"/>
      <c r="I312" s="26"/>
      <c r="J312" s="40"/>
      <c r="K312" s="51"/>
      <c r="M312" s="23"/>
      <c r="N312" s="23"/>
    </row>
    <row r="313" spans="1:16" s="25" customFormat="1">
      <c r="A313" s="64"/>
      <c r="B313" s="1"/>
      <c r="C313" s="1"/>
      <c r="D313" s="61" t="s">
        <v>26</v>
      </c>
      <c r="E313" s="62"/>
      <c r="F313" s="63">
        <f>SUM(F312:F312)</f>
        <v>54.72</v>
      </c>
      <c r="G313" s="1"/>
      <c r="H313" s="65"/>
      <c r="I313" s="26"/>
      <c r="J313" s="40"/>
      <c r="K313" s="51"/>
      <c r="M313" s="23"/>
      <c r="N313" s="23"/>
    </row>
    <row r="314" spans="1:16" s="25" customFormat="1" ht="24">
      <c r="A314" s="72">
        <f>A311+1</f>
        <v>92</v>
      </c>
      <c r="B314" s="191">
        <v>766</v>
      </c>
      <c r="C314" s="197" t="s">
        <v>189</v>
      </c>
      <c r="D314" s="197" t="s">
        <v>328</v>
      </c>
      <c r="E314" s="191" t="s">
        <v>12</v>
      </c>
      <c r="F314" s="195">
        <f>F316</f>
        <v>1.25</v>
      </c>
      <c r="G314" s="179"/>
      <c r="H314" s="179">
        <f>ROUND(F314*G314,2)</f>
        <v>0</v>
      </c>
      <c r="I314" s="23"/>
      <c r="J314" s="42">
        <v>766</v>
      </c>
      <c r="K314" s="50">
        <f>ROUND(F314*0.48,3)</f>
        <v>0.6</v>
      </c>
      <c r="M314" s="23"/>
      <c r="N314" s="23"/>
    </row>
    <row r="315" spans="1:16" s="25" customFormat="1">
      <c r="A315" s="64"/>
      <c r="B315" s="1"/>
      <c r="C315" s="1"/>
      <c r="D315" s="59" t="s">
        <v>329</v>
      </c>
      <c r="E315" s="200"/>
      <c r="F315" s="57">
        <f>ROUND(54.72*0.022*1.04,2)</f>
        <v>1.25</v>
      </c>
      <c r="G315" s="1"/>
      <c r="H315" s="65"/>
      <c r="I315" s="26"/>
      <c r="J315" s="40"/>
      <c r="K315" s="51"/>
      <c r="M315" s="23"/>
      <c r="N315" s="23"/>
    </row>
    <row r="316" spans="1:16" s="25" customFormat="1">
      <c r="A316" s="64"/>
      <c r="B316" s="1"/>
      <c r="C316" s="1"/>
      <c r="D316" s="61" t="s">
        <v>26</v>
      </c>
      <c r="E316" s="62"/>
      <c r="F316" s="63">
        <f>SUM(F315:F315)</f>
        <v>1.25</v>
      </c>
      <c r="G316" s="1"/>
      <c r="H316" s="65"/>
      <c r="I316" s="26"/>
      <c r="J316" s="40"/>
      <c r="K316" s="51"/>
      <c r="M316" s="23"/>
      <c r="N316" s="23"/>
    </row>
    <row r="317" spans="1:16" s="25" customFormat="1" ht="24">
      <c r="A317" s="72">
        <f>A314+1</f>
        <v>93</v>
      </c>
      <c r="B317" s="79">
        <v>766</v>
      </c>
      <c r="C317" s="80" t="s">
        <v>154</v>
      </c>
      <c r="D317" s="80" t="s">
        <v>155</v>
      </c>
      <c r="E317" s="79" t="s">
        <v>19</v>
      </c>
      <c r="F317" s="75">
        <f>F321</f>
        <v>6</v>
      </c>
      <c r="G317" s="71"/>
      <c r="H317" s="71">
        <f>ROUND(F317*G317,2)</f>
        <v>0</v>
      </c>
      <c r="I317" s="23"/>
      <c r="J317" s="42">
        <v>766</v>
      </c>
      <c r="K317" s="50">
        <f>ROUND(F317*0.015,3)</f>
        <v>0.09</v>
      </c>
    </row>
    <row r="318" spans="1:16" s="25" customFormat="1">
      <c r="A318" s="64"/>
      <c r="B318" s="1"/>
      <c r="C318" s="1"/>
      <c r="D318" s="59" t="s">
        <v>315</v>
      </c>
      <c r="E318" s="60"/>
      <c r="F318" s="78">
        <v>3</v>
      </c>
      <c r="G318" s="1"/>
      <c r="H318" s="65"/>
      <c r="I318" s="26"/>
      <c r="J318" s="40"/>
      <c r="K318" s="51"/>
    </row>
    <row r="319" spans="1:16" s="25" customFormat="1">
      <c r="A319" s="64"/>
      <c r="B319" s="1"/>
      <c r="C319" s="1"/>
      <c r="D319" s="59" t="s">
        <v>304</v>
      </c>
      <c r="E319" s="60"/>
      <c r="F319" s="78">
        <v>1</v>
      </c>
      <c r="G319" s="1"/>
      <c r="H319" s="65"/>
      <c r="I319" s="26"/>
      <c r="J319" s="40"/>
      <c r="K319" s="51"/>
    </row>
    <row r="320" spans="1:16" s="25" customFormat="1">
      <c r="A320" s="64"/>
      <c r="B320" s="1"/>
      <c r="C320" s="1"/>
      <c r="D320" s="59" t="s">
        <v>316</v>
      </c>
      <c r="E320" s="60"/>
      <c r="F320" s="78">
        <v>2</v>
      </c>
      <c r="G320" s="1"/>
      <c r="H320" s="65"/>
      <c r="I320" s="26"/>
      <c r="J320" s="40"/>
      <c r="K320" s="51"/>
    </row>
    <row r="321" spans="1:16" s="25" customFormat="1">
      <c r="A321" s="64"/>
      <c r="B321" s="1"/>
      <c r="C321" s="1"/>
      <c r="D321" s="61" t="s">
        <v>26</v>
      </c>
      <c r="E321" s="62"/>
      <c r="F321" s="63">
        <f>SUM(F318:F320)</f>
        <v>6</v>
      </c>
      <c r="G321" s="1"/>
      <c r="H321" s="65"/>
      <c r="I321" s="26"/>
      <c r="J321" s="40"/>
      <c r="K321" s="51"/>
      <c r="M321" s="23"/>
      <c r="N321" s="23"/>
    </row>
    <row r="322" spans="1:16" s="25" customFormat="1" ht="48">
      <c r="A322" s="72">
        <f>A317+1</f>
        <v>94</v>
      </c>
      <c r="B322" s="191" t="s">
        <v>45</v>
      </c>
      <c r="C322" s="197" t="s">
        <v>153</v>
      </c>
      <c r="D322" s="197" t="s">
        <v>307</v>
      </c>
      <c r="E322" s="191" t="s">
        <v>19</v>
      </c>
      <c r="F322" s="195">
        <v>3</v>
      </c>
      <c r="G322" s="179"/>
      <c r="H322" s="179">
        <f t="shared" ref="H322:H323" si="0">ROUND(F322*G322,2)</f>
        <v>0</v>
      </c>
      <c r="I322" s="23"/>
      <c r="J322" s="42">
        <v>766</v>
      </c>
      <c r="K322" s="50"/>
      <c r="M322" s="23"/>
      <c r="N322" s="23"/>
    </row>
    <row r="323" spans="1:16" s="25" customFormat="1" ht="48">
      <c r="A323" s="72">
        <f>A322+1</f>
        <v>95</v>
      </c>
      <c r="B323" s="191" t="s">
        <v>45</v>
      </c>
      <c r="C323" s="197" t="s">
        <v>157</v>
      </c>
      <c r="D323" s="197" t="s">
        <v>308</v>
      </c>
      <c r="E323" s="191" t="s">
        <v>19</v>
      </c>
      <c r="F323" s="195">
        <v>1</v>
      </c>
      <c r="G323" s="179"/>
      <c r="H323" s="179">
        <f t="shared" si="0"/>
        <v>0</v>
      </c>
      <c r="I323" s="23"/>
      <c r="J323" s="42">
        <v>766</v>
      </c>
      <c r="K323" s="50"/>
      <c r="M323" s="23"/>
      <c r="N323" s="23"/>
    </row>
    <row r="324" spans="1:16" s="25" customFormat="1" ht="48">
      <c r="A324" s="72">
        <f>A323+1</f>
        <v>96</v>
      </c>
      <c r="B324" s="191" t="s">
        <v>45</v>
      </c>
      <c r="C324" s="197" t="s">
        <v>158</v>
      </c>
      <c r="D324" s="197" t="s">
        <v>307</v>
      </c>
      <c r="E324" s="191" t="s">
        <v>19</v>
      </c>
      <c r="F324" s="195">
        <v>2</v>
      </c>
      <c r="G324" s="179"/>
      <c r="H324" s="179">
        <f t="shared" ref="H324" si="1">ROUND(F324*G324,2)</f>
        <v>0</v>
      </c>
      <c r="I324" s="23"/>
      <c r="J324" s="42">
        <v>766</v>
      </c>
      <c r="K324" s="50"/>
      <c r="M324" s="23"/>
      <c r="N324" s="23"/>
    </row>
    <row r="325" spans="1:16" s="25" customFormat="1" ht="24">
      <c r="A325" s="72">
        <f>A324+1</f>
        <v>97</v>
      </c>
      <c r="B325" s="73" t="s">
        <v>29</v>
      </c>
      <c r="C325" s="80" t="s">
        <v>428</v>
      </c>
      <c r="D325" s="74" t="s">
        <v>306</v>
      </c>
      <c r="E325" s="73" t="s">
        <v>13</v>
      </c>
      <c r="F325" s="75">
        <f>F328</f>
        <v>13.67</v>
      </c>
      <c r="G325" s="71"/>
      <c r="H325" s="71">
        <f>ROUND(F325*G325,2)</f>
        <v>0</v>
      </c>
      <c r="I325" s="23"/>
      <c r="J325" s="42">
        <v>767</v>
      </c>
      <c r="K325" s="50">
        <f>ROUND(F325*0.015,3)</f>
        <v>0.20499999999999999</v>
      </c>
      <c r="M325" s="23"/>
      <c r="N325" s="23"/>
    </row>
    <row r="326" spans="1:16" s="22" customFormat="1">
      <c r="A326" s="56"/>
      <c r="B326" s="3"/>
      <c r="C326" s="3"/>
      <c r="D326" s="59" t="s">
        <v>305</v>
      </c>
      <c r="E326" s="60"/>
      <c r="F326" s="57">
        <f>ROUND((1.83+1.3)*2,2)</f>
        <v>6.26</v>
      </c>
      <c r="G326" s="3"/>
      <c r="H326" s="58"/>
      <c r="I326" s="23"/>
      <c r="J326" s="39"/>
      <c r="K326" s="49"/>
      <c r="L326" s="24"/>
      <c r="M326" s="23"/>
      <c r="N326" s="23"/>
      <c r="O326" s="25"/>
      <c r="P326" s="25"/>
    </row>
    <row r="327" spans="1:16" s="22" customFormat="1">
      <c r="A327" s="56"/>
      <c r="B327" s="3"/>
      <c r="C327" s="3"/>
      <c r="D327" s="59" t="s">
        <v>309</v>
      </c>
      <c r="E327" s="60"/>
      <c r="F327" s="57">
        <f>ROUND((1.83+1.875)*2,2)</f>
        <v>7.41</v>
      </c>
      <c r="G327" s="3"/>
      <c r="H327" s="58"/>
      <c r="I327" s="23"/>
      <c r="J327" s="39"/>
      <c r="K327" s="49"/>
      <c r="L327" s="24"/>
      <c r="M327" s="23"/>
      <c r="N327" s="23"/>
      <c r="O327" s="25"/>
      <c r="P327" s="25"/>
    </row>
    <row r="328" spans="1:16" s="22" customFormat="1">
      <c r="A328" s="56"/>
      <c r="B328" s="3"/>
      <c r="C328" s="3"/>
      <c r="D328" s="61" t="s">
        <v>26</v>
      </c>
      <c r="E328" s="62"/>
      <c r="F328" s="63">
        <f>SUM(F326:F327)</f>
        <v>13.67</v>
      </c>
      <c r="G328" s="3"/>
      <c r="H328" s="58"/>
      <c r="I328" s="23"/>
      <c r="J328" s="39"/>
      <c r="K328" s="43"/>
      <c r="L328" s="24"/>
      <c r="M328" s="23"/>
      <c r="N328" s="23"/>
      <c r="O328" s="25"/>
      <c r="P328" s="25"/>
    </row>
    <row r="329" spans="1:16" s="24" customFormat="1" ht="23.25" customHeight="1">
      <c r="A329" s="11"/>
      <c r="B329" s="2"/>
      <c r="C329" s="14">
        <v>767</v>
      </c>
      <c r="D329" s="14" t="s">
        <v>76</v>
      </c>
      <c r="E329" s="11"/>
      <c r="F329" s="15"/>
      <c r="G329" s="2"/>
      <c r="H329" s="67">
        <f>SUM(H330:H356)</f>
        <v>0</v>
      </c>
      <c r="I329" s="46"/>
      <c r="J329" s="42">
        <v>767</v>
      </c>
      <c r="K329" s="51"/>
      <c r="L329" s="47"/>
      <c r="M329" s="23"/>
      <c r="N329" s="23"/>
      <c r="O329" s="25"/>
      <c r="P329" s="25"/>
    </row>
    <row r="330" spans="1:16" s="25" customFormat="1">
      <c r="A330" s="72">
        <f>A325+1</f>
        <v>98</v>
      </c>
      <c r="B330" s="79">
        <v>767</v>
      </c>
      <c r="C330" s="80">
        <v>76799510001</v>
      </c>
      <c r="D330" s="199" t="s">
        <v>82</v>
      </c>
      <c r="E330" s="79" t="s">
        <v>20</v>
      </c>
      <c r="F330" s="75">
        <f>F332</f>
        <v>184</v>
      </c>
      <c r="G330" s="71"/>
      <c r="H330" s="71">
        <f>ROUND(F330*G330,2)</f>
        <v>0</v>
      </c>
      <c r="I330" s="23"/>
      <c r="J330" s="42">
        <v>767</v>
      </c>
      <c r="K330" s="50">
        <f>ROUND(F330*0.001,3)</f>
        <v>0.184</v>
      </c>
      <c r="M330" s="23"/>
      <c r="N330" s="23"/>
    </row>
    <row r="331" spans="1:16" s="25" customFormat="1">
      <c r="A331" s="64"/>
      <c r="B331" s="1"/>
      <c r="C331" s="1"/>
      <c r="D331" s="59" t="s">
        <v>345</v>
      </c>
      <c r="E331" s="200"/>
      <c r="F331" s="78">
        <v>184</v>
      </c>
      <c r="G331" s="1"/>
      <c r="H331" s="65"/>
      <c r="I331" s="26"/>
      <c r="J331" s="40"/>
      <c r="K331" s="51"/>
      <c r="M331" s="23"/>
      <c r="N331" s="23"/>
    </row>
    <row r="332" spans="1:16" s="25" customFormat="1">
      <c r="A332" s="64"/>
      <c r="B332" s="1"/>
      <c r="C332" s="1"/>
      <c r="D332" s="61" t="s">
        <v>26</v>
      </c>
      <c r="E332" s="62"/>
      <c r="F332" s="63">
        <f>SUM(F331:F331)</f>
        <v>184</v>
      </c>
      <c r="G332" s="1"/>
      <c r="H332" s="65"/>
      <c r="I332" s="26"/>
      <c r="J332" s="40"/>
      <c r="K332" s="51"/>
      <c r="M332" s="23"/>
      <c r="N332" s="23"/>
    </row>
    <row r="333" spans="1:16" s="25" customFormat="1">
      <c r="A333" s="72">
        <f>A330+1</f>
        <v>99</v>
      </c>
      <c r="B333" s="79" t="s">
        <v>29</v>
      </c>
      <c r="C333" s="80" t="s">
        <v>424</v>
      </c>
      <c r="D333" s="80" t="s">
        <v>175</v>
      </c>
      <c r="E333" s="79" t="s">
        <v>19</v>
      </c>
      <c r="F333" s="1055">
        <f>F340</f>
        <v>10</v>
      </c>
      <c r="G333" s="71"/>
      <c r="H333" s="71">
        <f>ROUND(F333*G333,2)</f>
        <v>0</v>
      </c>
      <c r="I333" s="23" t="s">
        <v>429</v>
      </c>
      <c r="J333" s="42">
        <v>767</v>
      </c>
      <c r="K333" s="50">
        <f>ROUND(11.7*0.05,3)</f>
        <v>0.58499999999999996</v>
      </c>
      <c r="M333" s="23"/>
      <c r="N333" s="23"/>
    </row>
    <row r="334" spans="1:16" s="25" customFormat="1">
      <c r="A334" s="64"/>
      <c r="B334" s="1"/>
      <c r="C334" s="1"/>
      <c r="D334" s="59" t="s">
        <v>352</v>
      </c>
      <c r="E334" s="60"/>
      <c r="F334" s="78">
        <v>2</v>
      </c>
      <c r="G334" s="1"/>
      <c r="H334" s="65"/>
      <c r="I334" s="26"/>
      <c r="J334" s="40"/>
      <c r="K334" s="51"/>
      <c r="M334" s="23"/>
      <c r="N334" s="23"/>
    </row>
    <row r="335" spans="1:16" s="25" customFormat="1">
      <c r="A335" s="64"/>
      <c r="B335" s="1"/>
      <c r="C335" s="1"/>
      <c r="D335" s="59" t="s">
        <v>351</v>
      </c>
      <c r="E335" s="60"/>
      <c r="F335" s="78">
        <v>1</v>
      </c>
      <c r="G335" s="1"/>
      <c r="H335" s="65"/>
      <c r="I335" s="26"/>
      <c r="J335" s="40"/>
      <c r="K335" s="51"/>
      <c r="M335" s="23"/>
      <c r="N335" s="23"/>
    </row>
    <row r="336" spans="1:16" s="25" customFormat="1">
      <c r="A336" s="64"/>
      <c r="B336" s="1"/>
      <c r="C336" s="1"/>
      <c r="D336" s="59" t="s">
        <v>353</v>
      </c>
      <c r="E336" s="60"/>
      <c r="F336" s="78">
        <v>4</v>
      </c>
      <c r="G336" s="1"/>
      <c r="H336" s="65"/>
      <c r="I336" s="26"/>
      <c r="J336" s="40"/>
      <c r="K336" s="51"/>
      <c r="M336" s="23"/>
      <c r="N336" s="23"/>
    </row>
    <row r="337" spans="1:16" s="25" customFormat="1">
      <c r="A337" s="64"/>
      <c r="B337" s="1"/>
      <c r="C337" s="1"/>
      <c r="D337" s="59" t="s">
        <v>354</v>
      </c>
      <c r="E337" s="60"/>
      <c r="F337" s="78">
        <v>1</v>
      </c>
      <c r="G337" s="1"/>
      <c r="H337" s="65"/>
      <c r="I337" s="26"/>
      <c r="J337" s="40"/>
      <c r="K337" s="51"/>
      <c r="M337" s="23"/>
      <c r="N337" s="23"/>
    </row>
    <row r="338" spans="1:16" s="25" customFormat="1">
      <c r="A338" s="64"/>
      <c r="B338" s="1"/>
      <c r="C338" s="1"/>
      <c r="D338" s="59" t="s">
        <v>355</v>
      </c>
      <c r="E338" s="60"/>
      <c r="F338" s="78">
        <v>1</v>
      </c>
      <c r="G338" s="1"/>
      <c r="H338" s="65"/>
      <c r="I338" s="26"/>
      <c r="J338" s="40"/>
      <c r="K338" s="51"/>
      <c r="M338" s="23"/>
      <c r="N338" s="23"/>
    </row>
    <row r="339" spans="1:16" s="25" customFormat="1">
      <c r="A339" s="64"/>
      <c r="B339" s="1"/>
      <c r="C339" s="1"/>
      <c r="D339" s="1059" t="s">
        <v>2706</v>
      </c>
      <c r="E339" s="1068"/>
      <c r="F339" s="1069">
        <v>1</v>
      </c>
      <c r="G339" s="1"/>
      <c r="H339" s="65"/>
      <c r="I339" s="26"/>
      <c r="J339" s="40"/>
      <c r="K339" s="51"/>
      <c r="M339" s="23"/>
      <c r="N339" s="23"/>
    </row>
    <row r="340" spans="1:16" s="25" customFormat="1">
      <c r="A340" s="64"/>
      <c r="B340" s="1"/>
      <c r="C340" s="1"/>
      <c r="D340" s="1063" t="s">
        <v>26</v>
      </c>
      <c r="E340" s="1064"/>
      <c r="F340" s="1065">
        <f>SUM(F334:F339)</f>
        <v>10</v>
      </c>
      <c r="G340" s="1"/>
      <c r="H340" s="65"/>
      <c r="I340" s="26"/>
      <c r="J340" s="40"/>
      <c r="K340" s="51"/>
      <c r="M340" s="23"/>
      <c r="N340" s="23"/>
    </row>
    <row r="341" spans="1:16" s="25" customFormat="1" ht="72">
      <c r="A341" s="72">
        <f>A333+1</f>
        <v>100</v>
      </c>
      <c r="B341" s="191" t="s">
        <v>45</v>
      </c>
      <c r="C341" s="197" t="s">
        <v>356</v>
      </c>
      <c r="D341" s="197" t="s">
        <v>361</v>
      </c>
      <c r="E341" s="191" t="s">
        <v>19</v>
      </c>
      <c r="F341" s="195">
        <v>2</v>
      </c>
      <c r="G341" s="179"/>
      <c r="H341" s="179">
        <f t="shared" ref="H341" si="2">ROUND(F341*G341,2)</f>
        <v>0</v>
      </c>
      <c r="I341" s="23">
        <f>1.1*2.4</f>
        <v>2.64</v>
      </c>
      <c r="J341" s="42">
        <v>767</v>
      </c>
      <c r="K341" s="50"/>
      <c r="M341" s="23"/>
      <c r="N341" s="23"/>
    </row>
    <row r="342" spans="1:16" s="25" customFormat="1" ht="72">
      <c r="A342" s="72">
        <f>A341+1</f>
        <v>101</v>
      </c>
      <c r="B342" s="191" t="s">
        <v>45</v>
      </c>
      <c r="C342" s="197" t="s">
        <v>357</v>
      </c>
      <c r="D342" s="197" t="s">
        <v>362</v>
      </c>
      <c r="E342" s="191" t="s">
        <v>19</v>
      </c>
      <c r="F342" s="195">
        <v>1</v>
      </c>
      <c r="G342" s="179"/>
      <c r="H342" s="179">
        <f t="shared" ref="H342:H343" si="3">ROUND(F342*G342,2)</f>
        <v>0</v>
      </c>
      <c r="I342" s="23">
        <f>1.8*2.4</f>
        <v>4.32</v>
      </c>
      <c r="J342" s="42">
        <v>767</v>
      </c>
      <c r="K342" s="50"/>
      <c r="M342" s="23"/>
      <c r="N342" s="23"/>
    </row>
    <row r="343" spans="1:16" s="25" customFormat="1" ht="60">
      <c r="A343" s="72">
        <f t="shared" ref="A343:A345" si="4">A342+1</f>
        <v>102</v>
      </c>
      <c r="B343" s="191" t="s">
        <v>45</v>
      </c>
      <c r="C343" s="197" t="s">
        <v>358</v>
      </c>
      <c r="D343" s="197" t="s">
        <v>363</v>
      </c>
      <c r="E343" s="191" t="s">
        <v>19</v>
      </c>
      <c r="F343" s="195">
        <v>4</v>
      </c>
      <c r="G343" s="179"/>
      <c r="H343" s="179">
        <f t="shared" si="3"/>
        <v>0</v>
      </c>
      <c r="I343" s="23">
        <f>1.2*0.75</f>
        <v>0.89999999999999991</v>
      </c>
      <c r="J343" s="42">
        <v>767</v>
      </c>
      <c r="K343" s="50"/>
      <c r="M343" s="23"/>
      <c r="N343" s="23"/>
    </row>
    <row r="344" spans="1:16" s="25" customFormat="1" ht="60">
      <c r="A344" s="72">
        <f t="shared" si="4"/>
        <v>103</v>
      </c>
      <c r="B344" s="191" t="s">
        <v>45</v>
      </c>
      <c r="C344" s="197" t="s">
        <v>359</v>
      </c>
      <c r="D344" s="197" t="s">
        <v>364</v>
      </c>
      <c r="E344" s="191" t="s">
        <v>19</v>
      </c>
      <c r="F344" s="195">
        <v>1</v>
      </c>
      <c r="G344" s="179"/>
      <c r="H344" s="179">
        <f t="shared" ref="H344:H345" si="5">ROUND(F344*G344,2)</f>
        <v>0</v>
      </c>
      <c r="I344" s="23">
        <f>0.75*2.4</f>
        <v>1.7999999999999998</v>
      </c>
      <c r="J344" s="42">
        <v>767</v>
      </c>
      <c r="K344" s="50"/>
      <c r="M344" s="23"/>
      <c r="N344" s="23"/>
    </row>
    <row r="345" spans="1:16" s="25" customFormat="1" ht="84">
      <c r="A345" s="72">
        <f t="shared" si="4"/>
        <v>104</v>
      </c>
      <c r="B345" s="191" t="s">
        <v>45</v>
      </c>
      <c r="C345" s="197" t="s">
        <v>360</v>
      </c>
      <c r="D345" s="197" t="s">
        <v>365</v>
      </c>
      <c r="E345" s="191" t="s">
        <v>19</v>
      </c>
      <c r="F345" s="195">
        <v>1</v>
      </c>
      <c r="G345" s="179"/>
      <c r="H345" s="179">
        <f t="shared" si="5"/>
        <v>0</v>
      </c>
      <c r="I345" s="23">
        <f>1.8*1.5</f>
        <v>2.7</v>
      </c>
      <c r="J345" s="42">
        <v>767</v>
      </c>
      <c r="K345" s="50"/>
      <c r="M345" s="23"/>
      <c r="N345" s="23"/>
    </row>
    <row r="346" spans="1:16" s="25" customFormat="1" ht="84">
      <c r="A346" s="1052" t="s">
        <v>2708</v>
      </c>
      <c r="B346" s="1070" t="s">
        <v>45</v>
      </c>
      <c r="C346" s="1091" t="s">
        <v>2707</v>
      </c>
      <c r="D346" s="1091" t="s">
        <v>365</v>
      </c>
      <c r="E346" s="1070" t="s">
        <v>19</v>
      </c>
      <c r="F346" s="1071">
        <v>1</v>
      </c>
      <c r="G346" s="1072"/>
      <c r="H346" s="1072">
        <f t="shared" ref="H346" si="6">ROUND(F346*G346,2)</f>
        <v>0</v>
      </c>
      <c r="I346" s="23">
        <f>1.8*1.5</f>
        <v>2.7</v>
      </c>
      <c r="J346" s="42">
        <v>767</v>
      </c>
      <c r="K346" s="50"/>
      <c r="M346" s="23"/>
      <c r="N346" s="23"/>
    </row>
    <row r="347" spans="1:16" s="25" customFormat="1">
      <c r="A347" s="72">
        <f>A345+1</f>
        <v>105</v>
      </c>
      <c r="B347" s="73" t="s">
        <v>29</v>
      </c>
      <c r="C347" s="80" t="s">
        <v>425</v>
      </c>
      <c r="D347" s="74" t="s">
        <v>156</v>
      </c>
      <c r="E347" s="73" t="s">
        <v>14</v>
      </c>
      <c r="F347" s="1055">
        <f>F349</f>
        <v>10.8</v>
      </c>
      <c r="G347" s="71"/>
      <c r="H347" s="71">
        <f>ROUND(F347*G347,2)</f>
        <v>0</v>
      </c>
      <c r="I347" s="23"/>
      <c r="J347" s="42">
        <v>767</v>
      </c>
      <c r="K347" s="50">
        <f>ROUND(F347*0.24*0.01*0.2,3)</f>
        <v>5.0000000000000001E-3</v>
      </c>
      <c r="M347" s="23"/>
      <c r="N347" s="23"/>
    </row>
    <row r="348" spans="1:16" s="22" customFormat="1">
      <c r="A348" s="56"/>
      <c r="B348" s="3"/>
      <c r="C348" s="3"/>
      <c r="D348" s="1059" t="s">
        <v>2709</v>
      </c>
      <c r="E348" s="1068"/>
      <c r="F348" s="1069">
        <f>4*1.2+2.4+1.8+1.8</f>
        <v>10.8</v>
      </c>
      <c r="G348" s="3"/>
      <c r="H348" s="58"/>
      <c r="I348" s="23"/>
      <c r="J348" s="39"/>
      <c r="K348" s="49"/>
      <c r="L348" s="24"/>
      <c r="M348" s="23"/>
      <c r="N348" s="23"/>
      <c r="O348" s="25"/>
      <c r="P348" s="25"/>
    </row>
    <row r="349" spans="1:16" s="22" customFormat="1">
      <c r="A349" s="56"/>
      <c r="B349" s="3"/>
      <c r="C349" s="3"/>
      <c r="D349" s="1063" t="s">
        <v>26</v>
      </c>
      <c r="E349" s="1064"/>
      <c r="F349" s="1065">
        <f>SUM(F348:F348)</f>
        <v>10.8</v>
      </c>
      <c r="G349" s="3"/>
      <c r="H349" s="58"/>
      <c r="I349" s="23"/>
      <c r="J349" s="39"/>
      <c r="K349" s="43"/>
      <c r="L349" s="24"/>
      <c r="M349" s="23"/>
      <c r="N349" s="23"/>
      <c r="O349" s="25"/>
      <c r="P349" s="25"/>
    </row>
    <row r="350" spans="1:16" s="25" customFormat="1">
      <c r="A350" s="72">
        <f>A347+1</f>
        <v>106</v>
      </c>
      <c r="B350" s="73" t="s">
        <v>29</v>
      </c>
      <c r="C350" s="80" t="s">
        <v>426</v>
      </c>
      <c r="D350" s="74" t="s">
        <v>367</v>
      </c>
      <c r="E350" s="73" t="s">
        <v>19</v>
      </c>
      <c r="F350" s="75">
        <f>F352</f>
        <v>1</v>
      </c>
      <c r="G350" s="71"/>
      <c r="H350" s="71">
        <f>ROUND(F350*G350,2)</f>
        <v>0</v>
      </c>
      <c r="I350" s="23"/>
      <c r="J350" s="42">
        <v>767</v>
      </c>
      <c r="K350" s="50">
        <f>ROUND(F350*0.006,3)</f>
        <v>6.0000000000000001E-3</v>
      </c>
      <c r="M350" s="23"/>
      <c r="N350" s="23"/>
    </row>
    <row r="351" spans="1:16" s="22" customFormat="1">
      <c r="A351" s="56"/>
      <c r="B351" s="3"/>
      <c r="C351" s="3"/>
      <c r="D351" s="59" t="s">
        <v>369</v>
      </c>
      <c r="E351" s="60"/>
      <c r="F351" s="78">
        <v>1</v>
      </c>
      <c r="G351" s="3"/>
      <c r="H351" s="58"/>
      <c r="I351" s="23"/>
      <c r="J351" s="39"/>
      <c r="K351" s="49"/>
      <c r="L351" s="24"/>
      <c r="M351" s="23"/>
      <c r="N351" s="23"/>
      <c r="O351" s="25"/>
      <c r="P351" s="25"/>
    </row>
    <row r="352" spans="1:16" s="22" customFormat="1">
      <c r="A352" s="56"/>
      <c r="B352" s="3"/>
      <c r="C352" s="3"/>
      <c r="D352" s="61" t="s">
        <v>26</v>
      </c>
      <c r="E352" s="62"/>
      <c r="F352" s="63">
        <f>SUM(F351:F351)</f>
        <v>1</v>
      </c>
      <c r="G352" s="3"/>
      <c r="H352" s="58"/>
      <c r="I352" s="23"/>
      <c r="J352" s="39"/>
      <c r="K352" s="43"/>
      <c r="L352" s="24"/>
      <c r="M352" s="23"/>
      <c r="N352" s="23"/>
      <c r="O352" s="25"/>
      <c r="P352" s="25"/>
    </row>
    <row r="353" spans="1:16" s="25" customFormat="1">
      <c r="A353" s="72">
        <f>A350+1</f>
        <v>107</v>
      </c>
      <c r="B353" s="73" t="s">
        <v>29</v>
      </c>
      <c r="C353" s="80" t="s">
        <v>427</v>
      </c>
      <c r="D353" s="74" t="s">
        <v>366</v>
      </c>
      <c r="E353" s="73" t="s">
        <v>19</v>
      </c>
      <c r="F353" s="75">
        <f>F355</f>
        <v>1</v>
      </c>
      <c r="G353" s="71"/>
      <c r="H353" s="71">
        <f>ROUND(F353*G353,2)</f>
        <v>0</v>
      </c>
      <c r="I353" s="23"/>
      <c r="J353" s="42">
        <v>767</v>
      </c>
      <c r="K353" s="50">
        <f>ROUND(F353*0.008,3)</f>
        <v>8.0000000000000002E-3</v>
      </c>
      <c r="M353" s="23"/>
      <c r="N353" s="23"/>
    </row>
    <row r="354" spans="1:16" s="22" customFormat="1">
      <c r="A354" s="56"/>
      <c r="B354" s="3"/>
      <c r="C354" s="3"/>
      <c r="D354" s="59" t="s">
        <v>368</v>
      </c>
      <c r="E354" s="60"/>
      <c r="F354" s="78">
        <v>1</v>
      </c>
      <c r="G354" s="3"/>
      <c r="H354" s="58"/>
      <c r="I354" s="23"/>
      <c r="J354" s="39"/>
      <c r="K354" s="49"/>
      <c r="L354" s="24"/>
      <c r="M354" s="23"/>
      <c r="N354" s="23"/>
      <c r="O354" s="25"/>
      <c r="P354" s="25"/>
    </row>
    <row r="355" spans="1:16" s="22" customFormat="1">
      <c r="A355" s="56"/>
      <c r="B355" s="3"/>
      <c r="C355" s="3"/>
      <c r="D355" s="61" t="s">
        <v>26</v>
      </c>
      <c r="E355" s="62"/>
      <c r="F355" s="63">
        <f>SUM(F354:F354)</f>
        <v>1</v>
      </c>
      <c r="G355" s="3"/>
      <c r="H355" s="58"/>
      <c r="I355" s="23"/>
      <c r="J355" s="39"/>
      <c r="K355" s="43"/>
      <c r="L355" s="24"/>
      <c r="M355" s="23"/>
      <c r="N355" s="23"/>
      <c r="O355" s="25"/>
      <c r="P355" s="25"/>
    </row>
    <row r="356" spans="1:16" s="25" customFormat="1">
      <c r="A356" s="72">
        <f>A353+1</f>
        <v>108</v>
      </c>
      <c r="B356" s="73" t="s">
        <v>29</v>
      </c>
      <c r="C356" s="80" t="s">
        <v>2323</v>
      </c>
      <c r="D356" s="74" t="s">
        <v>2322</v>
      </c>
      <c r="E356" s="73" t="s">
        <v>19</v>
      </c>
      <c r="F356" s="75">
        <v>2</v>
      </c>
      <c r="G356" s="71"/>
      <c r="H356" s="71">
        <f>ROUND(F356*G356,2)</f>
        <v>0</v>
      </c>
      <c r="I356" s="23"/>
      <c r="J356" s="42">
        <v>767</v>
      </c>
      <c r="K356" s="50">
        <f>ROUND(F356*0.008,3)</f>
        <v>1.6E-2</v>
      </c>
      <c r="M356" s="23"/>
      <c r="N356" s="23"/>
    </row>
    <row r="357" spans="1:16" s="24" customFormat="1" ht="23.25" customHeight="1">
      <c r="A357" s="69"/>
      <c r="B357" s="151"/>
      <c r="C357" s="68">
        <v>771</v>
      </c>
      <c r="D357" s="68" t="s">
        <v>48</v>
      </c>
      <c r="E357" s="69"/>
      <c r="F357" s="70"/>
      <c r="G357" s="151"/>
      <c r="H357" s="67">
        <f>SUM(H358:H365)</f>
        <v>0</v>
      </c>
      <c r="I357" s="46"/>
      <c r="J357" s="42">
        <v>771</v>
      </c>
      <c r="K357" s="51"/>
      <c r="L357" s="47"/>
      <c r="M357" s="23"/>
      <c r="N357" s="25"/>
      <c r="O357" s="25"/>
    </row>
    <row r="358" spans="1:16" s="25" customFormat="1">
      <c r="A358" s="72">
        <f>A356+1</f>
        <v>109</v>
      </c>
      <c r="B358" s="79">
        <v>771</v>
      </c>
      <c r="C358" s="80">
        <v>771411012</v>
      </c>
      <c r="D358" s="80" t="s">
        <v>195</v>
      </c>
      <c r="E358" s="79" t="s">
        <v>14</v>
      </c>
      <c r="F358" s="75">
        <f>F359</f>
        <v>43.6</v>
      </c>
      <c r="G358" s="71"/>
      <c r="H358" s="71">
        <f>ROUND(F358*G358,2)</f>
        <v>0</v>
      </c>
      <c r="I358" s="23"/>
      <c r="J358" s="42">
        <v>771</v>
      </c>
      <c r="K358" s="50"/>
      <c r="M358" s="23"/>
    </row>
    <row r="359" spans="1:16" s="25" customFormat="1">
      <c r="A359" s="64"/>
      <c r="B359" s="1"/>
      <c r="C359" s="1"/>
      <c r="D359" s="59" t="s">
        <v>229</v>
      </c>
      <c r="E359" s="60"/>
      <c r="F359" s="78">
        <v>43.6</v>
      </c>
      <c r="G359" s="1"/>
      <c r="H359" s="65"/>
      <c r="I359" s="26"/>
      <c r="J359" s="40"/>
      <c r="K359" s="51"/>
      <c r="M359" s="23"/>
    </row>
    <row r="360" spans="1:16" s="25" customFormat="1" ht="24">
      <c r="A360" s="72">
        <f>A358+1</f>
        <v>110</v>
      </c>
      <c r="B360" s="79">
        <v>771</v>
      </c>
      <c r="C360" s="80" t="s">
        <v>196</v>
      </c>
      <c r="D360" s="80" t="s">
        <v>197</v>
      </c>
      <c r="E360" s="79" t="s">
        <v>13</v>
      </c>
      <c r="F360" s="75">
        <f>F363</f>
        <v>67.739999999999995</v>
      </c>
      <c r="G360" s="71"/>
      <c r="H360" s="71">
        <f>ROUND(F360*G360,2)</f>
        <v>0</v>
      </c>
      <c r="I360" s="23"/>
      <c r="J360" s="42">
        <v>771</v>
      </c>
      <c r="K360" s="50"/>
      <c r="M360" s="23"/>
    </row>
    <row r="361" spans="1:16" s="25" customFormat="1">
      <c r="A361" s="181"/>
      <c r="B361" s="182"/>
      <c r="C361" s="182"/>
      <c r="D361" s="201" t="s">
        <v>199</v>
      </c>
      <c r="E361" s="202"/>
      <c r="F361" s="203"/>
      <c r="G361" s="182"/>
      <c r="H361" s="184"/>
      <c r="I361" s="26"/>
      <c r="J361" s="40"/>
      <c r="K361" s="51"/>
      <c r="M361" s="23"/>
    </row>
    <row r="362" spans="1:16" s="25" customFormat="1">
      <c r="A362" s="181"/>
      <c r="B362" s="182"/>
      <c r="C362" s="182"/>
      <c r="D362" s="183" t="s">
        <v>230</v>
      </c>
      <c r="E362" s="153"/>
      <c r="F362" s="154">
        <v>67.739999999999995</v>
      </c>
      <c r="G362" s="182"/>
      <c r="H362" s="184"/>
      <c r="I362" s="26"/>
      <c r="J362" s="40"/>
      <c r="K362" s="51"/>
      <c r="M362" s="23"/>
    </row>
    <row r="363" spans="1:16" s="25" customFormat="1">
      <c r="A363" s="64"/>
      <c r="B363" s="1"/>
      <c r="C363" s="1"/>
      <c r="D363" s="61" t="s">
        <v>26</v>
      </c>
      <c r="E363" s="62"/>
      <c r="F363" s="63">
        <f>SUM(F362:F362)</f>
        <v>67.739999999999995</v>
      </c>
      <c r="G363" s="1"/>
      <c r="H363" s="184"/>
      <c r="I363" s="26"/>
      <c r="J363" s="40"/>
      <c r="K363" s="51"/>
      <c r="M363" s="23"/>
    </row>
    <row r="364" spans="1:16" s="25" customFormat="1" ht="24">
      <c r="A364" s="72">
        <f>A360+1</f>
        <v>111</v>
      </c>
      <c r="B364" s="204">
        <v>771</v>
      </c>
      <c r="C364" s="205" t="s">
        <v>198</v>
      </c>
      <c r="D364" s="205" t="s">
        <v>231</v>
      </c>
      <c r="E364" s="204" t="s">
        <v>13</v>
      </c>
      <c r="F364" s="195">
        <f>F365</f>
        <v>74.099999999999994</v>
      </c>
      <c r="G364" s="179"/>
      <c r="H364" s="179">
        <f>ROUND(F364*G364,2)</f>
        <v>0</v>
      </c>
      <c r="I364" s="23"/>
      <c r="J364" s="42">
        <v>771</v>
      </c>
      <c r="K364" s="50">
        <f>ROUND(F364*0.01*1.8,3)</f>
        <v>1.3340000000000001</v>
      </c>
      <c r="M364" s="23"/>
    </row>
    <row r="365" spans="1:16" s="22" customFormat="1">
      <c r="A365" s="206"/>
      <c r="B365" s="207"/>
      <c r="C365" s="207"/>
      <c r="D365" s="183" t="s">
        <v>240</v>
      </c>
      <c r="E365" s="153"/>
      <c r="F365" s="154">
        <f>ROUND((67.74+43.6*0.065)*1.05,1)</f>
        <v>74.099999999999994</v>
      </c>
      <c r="G365" s="207"/>
      <c r="H365" s="180"/>
      <c r="I365" s="23"/>
      <c r="J365" s="39"/>
      <c r="K365" s="49"/>
      <c r="L365" s="24"/>
      <c r="M365" s="23"/>
      <c r="N365" s="25"/>
      <c r="O365" s="25"/>
    </row>
    <row r="366" spans="1:16" s="24" customFormat="1" ht="23.25" customHeight="1">
      <c r="A366" s="69"/>
      <c r="B366" s="151"/>
      <c r="C366" s="68">
        <v>781</v>
      </c>
      <c r="D366" s="68" t="s">
        <v>190</v>
      </c>
      <c r="E366" s="69"/>
      <c r="F366" s="70"/>
      <c r="G366" s="151"/>
      <c r="H366" s="67">
        <f>SUM(H367:H371)</f>
        <v>0</v>
      </c>
      <c r="I366" s="46"/>
      <c r="J366" s="42">
        <v>781</v>
      </c>
      <c r="K366" s="51"/>
      <c r="L366" s="47"/>
      <c r="M366" s="23"/>
      <c r="N366" s="25"/>
      <c r="O366" s="25"/>
    </row>
    <row r="367" spans="1:16" s="25" customFormat="1" ht="24">
      <c r="A367" s="72">
        <f>A364+1</f>
        <v>112</v>
      </c>
      <c r="B367" s="79">
        <v>781</v>
      </c>
      <c r="C367" s="80" t="s">
        <v>191</v>
      </c>
      <c r="D367" s="80" t="s">
        <v>192</v>
      </c>
      <c r="E367" s="79" t="s">
        <v>13</v>
      </c>
      <c r="F367" s="75">
        <f>F369</f>
        <v>93.07</v>
      </c>
      <c r="G367" s="71"/>
      <c r="H367" s="71">
        <f>ROUND(F367*G367,2)</f>
        <v>0</v>
      </c>
      <c r="I367" s="23"/>
      <c r="J367" s="42">
        <v>781</v>
      </c>
      <c r="K367" s="50"/>
      <c r="M367" s="23"/>
    </row>
    <row r="368" spans="1:16" s="25" customFormat="1">
      <c r="A368" s="64"/>
      <c r="B368" s="1"/>
      <c r="C368" s="1"/>
      <c r="D368" s="59" t="s">
        <v>245</v>
      </c>
      <c r="E368" s="60"/>
      <c r="F368" s="57">
        <v>93.07</v>
      </c>
      <c r="G368" s="1"/>
      <c r="H368" s="65"/>
      <c r="I368" s="26"/>
      <c r="J368" s="40"/>
      <c r="K368" s="51"/>
      <c r="M368" s="23"/>
    </row>
    <row r="369" spans="1:16" s="25" customFormat="1">
      <c r="A369" s="181"/>
      <c r="B369" s="182"/>
      <c r="C369" s="182"/>
      <c r="D369" s="61" t="s">
        <v>26</v>
      </c>
      <c r="E369" s="62"/>
      <c r="F369" s="63">
        <f>ROUND(SUM(F368:F368),2)</f>
        <v>93.07</v>
      </c>
      <c r="G369" s="182"/>
      <c r="H369" s="184"/>
      <c r="I369" s="26"/>
      <c r="J369" s="40"/>
      <c r="K369" s="51"/>
      <c r="M369" s="23"/>
    </row>
    <row r="370" spans="1:16" s="25" customFormat="1">
      <c r="A370" s="72">
        <f>A367+1</f>
        <v>113</v>
      </c>
      <c r="B370" s="204">
        <v>781</v>
      </c>
      <c r="C370" s="205" t="s">
        <v>193</v>
      </c>
      <c r="D370" s="209" t="s">
        <v>194</v>
      </c>
      <c r="E370" s="204" t="s">
        <v>13</v>
      </c>
      <c r="F370" s="195">
        <f>F371</f>
        <v>97.7</v>
      </c>
      <c r="G370" s="179"/>
      <c r="H370" s="179">
        <f>ROUND(F370*G370,2)</f>
        <v>0</v>
      </c>
      <c r="I370" s="23"/>
      <c r="J370" s="42">
        <v>781</v>
      </c>
      <c r="K370" s="52">
        <f>ROUND(F370*0.008*1.8,3)</f>
        <v>1.407</v>
      </c>
      <c r="M370" s="23"/>
    </row>
    <row r="371" spans="1:16" s="22" customFormat="1">
      <c r="A371" s="56"/>
      <c r="B371" s="3"/>
      <c r="C371" s="3"/>
      <c r="D371" s="59" t="s">
        <v>246</v>
      </c>
      <c r="E371" s="60"/>
      <c r="F371" s="78">
        <f>ROUND(93.07*1.05,1)</f>
        <v>97.7</v>
      </c>
      <c r="G371" s="3"/>
      <c r="H371" s="58"/>
      <c r="I371" s="23"/>
      <c r="J371" s="39"/>
      <c r="K371" s="49"/>
      <c r="L371" s="24"/>
      <c r="M371" s="23"/>
      <c r="N371" s="25"/>
      <c r="O371" s="25"/>
    </row>
    <row r="372" spans="1:16" s="24" customFormat="1" ht="23.25" customHeight="1">
      <c r="A372" s="11"/>
      <c r="B372" s="2"/>
      <c r="C372" s="14">
        <v>783</v>
      </c>
      <c r="D372" s="68" t="s">
        <v>80</v>
      </c>
      <c r="E372" s="69"/>
      <c r="F372" s="70"/>
      <c r="G372" s="2"/>
      <c r="H372" s="67">
        <f>SUM(H373:H380)</f>
        <v>0</v>
      </c>
      <c r="I372" s="46"/>
      <c r="J372" s="42">
        <v>783</v>
      </c>
      <c r="K372" s="51"/>
      <c r="L372" s="47"/>
      <c r="M372" s="23"/>
      <c r="N372" s="23"/>
      <c r="O372" s="25"/>
      <c r="P372" s="25"/>
    </row>
    <row r="373" spans="1:16" s="25" customFormat="1">
      <c r="A373" s="72">
        <f>A370+1</f>
        <v>114</v>
      </c>
      <c r="B373" s="79">
        <v>783</v>
      </c>
      <c r="C373" s="80">
        <v>783</v>
      </c>
      <c r="D373" s="80" t="s">
        <v>237</v>
      </c>
      <c r="E373" s="79" t="s">
        <v>13</v>
      </c>
      <c r="F373" s="75">
        <f>F376</f>
        <v>67.739999999999995</v>
      </c>
      <c r="G373" s="71"/>
      <c r="H373" s="71">
        <f>ROUND(F373*G373,2)</f>
        <v>0</v>
      </c>
      <c r="I373" s="23"/>
      <c r="J373" s="42">
        <v>783</v>
      </c>
      <c r="K373" s="50"/>
      <c r="M373" s="23"/>
      <c r="N373" s="23"/>
    </row>
    <row r="374" spans="1:16" s="25" customFormat="1">
      <c r="A374" s="64"/>
      <c r="B374" s="1"/>
      <c r="C374" s="1"/>
      <c r="D374" s="208" t="s">
        <v>67</v>
      </c>
      <c r="E374" s="77"/>
      <c r="F374" s="57"/>
      <c r="G374" s="1"/>
      <c r="H374" s="65"/>
      <c r="I374" s="26"/>
      <c r="J374" s="40"/>
      <c r="K374" s="51"/>
      <c r="M374" s="23"/>
      <c r="N374" s="23"/>
    </row>
    <row r="375" spans="1:16" s="25" customFormat="1">
      <c r="A375" s="64"/>
      <c r="B375" s="1"/>
      <c r="C375" s="1"/>
      <c r="D375" s="59" t="s">
        <v>234</v>
      </c>
      <c r="E375" s="77"/>
      <c r="F375" s="57">
        <v>67.739999999999995</v>
      </c>
      <c r="G375" s="1"/>
      <c r="H375" s="65"/>
      <c r="I375" s="26"/>
      <c r="J375" s="40"/>
      <c r="K375" s="51"/>
      <c r="M375" s="23"/>
      <c r="N375" s="23"/>
    </row>
    <row r="376" spans="1:16" s="25" customFormat="1">
      <c r="A376" s="64"/>
      <c r="B376" s="1"/>
      <c r="C376" s="1"/>
      <c r="D376" s="61" t="s">
        <v>26</v>
      </c>
      <c r="E376" s="62"/>
      <c r="F376" s="63">
        <f>SUM(F374:F375)</f>
        <v>67.739999999999995</v>
      </c>
      <c r="G376" s="1"/>
      <c r="H376" s="65"/>
      <c r="I376" s="26"/>
      <c r="J376" s="40"/>
      <c r="K376" s="51"/>
      <c r="M376" s="23"/>
      <c r="N376" s="23"/>
    </row>
    <row r="377" spans="1:16" s="25" customFormat="1">
      <c r="A377" s="72">
        <f>A373+1</f>
        <v>115</v>
      </c>
      <c r="B377" s="79">
        <v>783</v>
      </c>
      <c r="C377" s="186">
        <v>783</v>
      </c>
      <c r="D377" s="190" t="s">
        <v>241</v>
      </c>
      <c r="E377" s="210" t="s">
        <v>13</v>
      </c>
      <c r="F377" s="211">
        <f>F380</f>
        <v>326.2</v>
      </c>
      <c r="G377" s="71"/>
      <c r="H377" s="71">
        <f>ROUND(F377*G377,2)</f>
        <v>0</v>
      </c>
      <c r="I377" s="23"/>
      <c r="J377" s="42">
        <v>783</v>
      </c>
      <c r="K377" s="50"/>
      <c r="M377" s="23"/>
      <c r="N377" s="23"/>
    </row>
    <row r="378" spans="1:16" s="25" customFormat="1">
      <c r="A378" s="64"/>
      <c r="B378" s="1"/>
      <c r="C378" s="3"/>
      <c r="D378" s="59" t="s">
        <v>242</v>
      </c>
      <c r="E378" s="212"/>
      <c r="F378" s="213">
        <v>67.739999999999995</v>
      </c>
      <c r="G378" s="1"/>
      <c r="H378" s="65"/>
      <c r="I378" s="26"/>
      <c r="J378" s="40"/>
      <c r="K378" s="51"/>
      <c r="M378" s="23"/>
      <c r="N378" s="23"/>
    </row>
    <row r="379" spans="1:16" s="25" customFormat="1">
      <c r="A379" s="64"/>
      <c r="B379" s="1"/>
      <c r="C379" s="3"/>
      <c r="D379" s="59" t="s">
        <v>243</v>
      </c>
      <c r="E379" s="212"/>
      <c r="F379" s="213">
        <v>258.45999999999998</v>
      </c>
      <c r="G379" s="1"/>
      <c r="H379" s="65"/>
      <c r="I379" s="26"/>
      <c r="J379" s="40"/>
      <c r="K379" s="51"/>
      <c r="M379" s="23"/>
      <c r="N379" s="23"/>
    </row>
    <row r="380" spans="1:16" s="25" customFormat="1">
      <c r="A380" s="64"/>
      <c r="B380" s="1"/>
      <c r="C380" s="33"/>
      <c r="D380" s="214" t="s">
        <v>26</v>
      </c>
      <c r="E380" s="215"/>
      <c r="F380" s="216">
        <f>SUM(F378:F379)</f>
        <v>326.2</v>
      </c>
      <c r="G380" s="1"/>
      <c r="H380" s="65"/>
      <c r="I380" s="26"/>
      <c r="J380" s="40"/>
      <c r="K380" s="51"/>
      <c r="M380" s="23"/>
      <c r="N380" s="23"/>
    </row>
    <row r="381" spans="1:16" s="24" customFormat="1" ht="23.25" customHeight="1">
      <c r="A381" s="11"/>
      <c r="B381" s="2"/>
      <c r="C381" s="14">
        <v>784</v>
      </c>
      <c r="D381" s="68" t="s">
        <v>36</v>
      </c>
      <c r="E381" s="69"/>
      <c r="F381" s="70"/>
      <c r="G381" s="2"/>
      <c r="H381" s="67">
        <f>SUM(H382:H382)</f>
        <v>0</v>
      </c>
      <c r="I381" s="46"/>
      <c r="J381" s="42">
        <v>784</v>
      </c>
      <c r="K381" s="51"/>
      <c r="L381" s="47"/>
      <c r="N381" s="25"/>
      <c r="O381" s="25"/>
    </row>
    <row r="382" spans="1:16" s="25" customFormat="1" ht="48">
      <c r="A382" s="72">
        <f>A377+1</f>
        <v>116</v>
      </c>
      <c r="B382" s="79">
        <v>784</v>
      </c>
      <c r="C382" s="80" t="s">
        <v>35</v>
      </c>
      <c r="D382" s="80" t="s">
        <v>423</v>
      </c>
      <c r="E382" s="79" t="s">
        <v>13</v>
      </c>
      <c r="F382" s="75">
        <f>F387</f>
        <v>233.13</v>
      </c>
      <c r="G382" s="71"/>
      <c r="H382" s="71">
        <f>ROUND(F382*G382,2)</f>
        <v>0</v>
      </c>
      <c r="I382" s="23"/>
      <c r="J382" s="42">
        <v>784</v>
      </c>
      <c r="K382" s="50"/>
      <c r="M382" s="23"/>
    </row>
    <row r="383" spans="1:16" s="25" customFormat="1">
      <c r="A383" s="181"/>
      <c r="B383" s="182"/>
      <c r="C383" s="182"/>
      <c r="D383" s="201" t="s">
        <v>187</v>
      </c>
      <c r="E383" s="153"/>
      <c r="F383" s="154"/>
      <c r="G383" s="182"/>
      <c r="H383" s="184"/>
      <c r="I383" s="26"/>
      <c r="J383" s="40"/>
      <c r="K383" s="51"/>
      <c r="M383" s="23"/>
    </row>
    <row r="384" spans="1:16" s="25" customFormat="1">
      <c r="A384" s="64"/>
      <c r="B384" s="1"/>
      <c r="C384" s="1"/>
      <c r="D384" s="59" t="s">
        <v>230</v>
      </c>
      <c r="E384" s="77"/>
      <c r="F384" s="57">
        <v>67.739999999999995</v>
      </c>
      <c r="G384" s="1"/>
      <c r="H384" s="65"/>
      <c r="I384" s="26"/>
      <c r="J384" s="40"/>
      <c r="K384" s="51"/>
      <c r="M384" s="23"/>
    </row>
    <row r="385" spans="1:13" s="25" customFormat="1">
      <c r="A385" s="181"/>
      <c r="B385" s="182"/>
      <c r="C385" s="182"/>
      <c r="D385" s="201" t="s">
        <v>186</v>
      </c>
      <c r="E385" s="153"/>
      <c r="F385" s="154"/>
      <c r="G385" s="182"/>
      <c r="H385" s="184"/>
      <c r="I385" s="26"/>
      <c r="J385" s="40"/>
      <c r="K385" s="51"/>
      <c r="M385" s="23"/>
    </row>
    <row r="386" spans="1:13" s="25" customFormat="1">
      <c r="A386" s="64"/>
      <c r="B386" s="1"/>
      <c r="C386" s="1"/>
      <c r="D386" s="59" t="s">
        <v>244</v>
      </c>
      <c r="E386" s="77"/>
      <c r="F386" s="57">
        <v>165.39</v>
      </c>
      <c r="G386" s="1"/>
      <c r="H386" s="184"/>
      <c r="I386" s="26"/>
      <c r="J386" s="40"/>
      <c r="K386" s="51"/>
      <c r="M386" s="23"/>
    </row>
    <row r="387" spans="1:13" s="25" customFormat="1">
      <c r="A387" s="181"/>
      <c r="B387" s="182"/>
      <c r="C387" s="182"/>
      <c r="D387" s="61" t="s">
        <v>26</v>
      </c>
      <c r="E387" s="62"/>
      <c r="F387" s="63">
        <f>SUM(F384:F386)</f>
        <v>233.13</v>
      </c>
      <c r="G387" s="182"/>
      <c r="H387" s="184"/>
      <c r="I387" s="26"/>
      <c r="J387" s="40"/>
      <c r="K387" s="51"/>
      <c r="M387" s="23"/>
    </row>
    <row r="388" spans="1:13" ht="12" customHeight="1">
      <c r="D388" s="19"/>
      <c r="E388" s="20"/>
      <c r="F388" s="21"/>
    </row>
    <row r="389" spans="1:13" ht="25.5" customHeight="1">
      <c r="D389" s="37" t="s">
        <v>23</v>
      </c>
      <c r="E389" s="34"/>
      <c r="F389" s="22"/>
      <c r="G389" s="35"/>
      <c r="H389" s="38">
        <f>SUM(H9,H211)</f>
        <v>0</v>
      </c>
      <c r="J389" s="48" t="s">
        <v>46</v>
      </c>
    </row>
    <row r="391" spans="1:13" ht="12" customHeight="1">
      <c r="E391" s="33"/>
    </row>
    <row r="392" spans="1:13" ht="12" customHeight="1">
      <c r="E392" s="33"/>
    </row>
  </sheetData>
  <autoFilter ref="A7:K389" xr:uid="{00000000-0009-0000-0000-000002000000}"/>
  <mergeCells count="1">
    <mergeCell ref="A1:H1"/>
  </mergeCells>
  <phoneticPr fontId="145" type="noConversion"/>
  <printOptions horizontalCentered="1"/>
  <pageMargins left="0.59055118110236227" right="0.39370078740157483" top="0.59055118110236227" bottom="0.39370078740157483" header="0" footer="0.11811023622047245"/>
  <pageSetup paperSize="9" scale="86" fitToHeight="0" orientation="portrait" horizontalDpi="4294967295" verticalDpi="4294967295" r:id="rId1"/>
  <headerFooter alignWithMargins="0">
    <oddFooter>&amp;C&amp;8&amp;P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557"/>
  <sheetViews>
    <sheetView topLeftCell="A541" workbookViewId="0">
      <selection activeCell="CC12" sqref="CC12"/>
    </sheetView>
  </sheetViews>
  <sheetFormatPr defaultRowHeight="15"/>
  <cols>
    <col min="1" max="1" width="0.8554687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0.140625" customWidth="1"/>
    <col min="10" max="10" width="11.7109375" customWidth="1"/>
    <col min="11" max="11" width="15.140625" customWidth="1"/>
    <col min="12" max="12" width="13.28515625" hidden="1" customWidth="1"/>
    <col min="13" max="13" width="8" hidden="1" customWidth="1"/>
    <col min="14" max="14" width="9.28515625" hidden="1" customWidth="1"/>
    <col min="15" max="15" width="0" hidden="1" customWidth="1"/>
    <col min="16" max="24" width="12.140625" hidden="1" customWidth="1"/>
    <col min="25" max="25" width="10.5703125" hidden="1" customWidth="1"/>
    <col min="26" max="26" width="14" hidden="1" customWidth="1"/>
    <col min="27" max="27" width="10.5703125" hidden="1" customWidth="1"/>
    <col min="28" max="28" width="12.85546875" hidden="1" customWidth="1"/>
    <col min="29" max="29" width="9.42578125" hidden="1" customWidth="1"/>
    <col min="30" max="30" width="12.85546875" hidden="1" customWidth="1"/>
    <col min="31" max="31" width="14" hidden="1" customWidth="1"/>
    <col min="32" max="80" width="0" hidden="1" customWidth="1"/>
  </cols>
  <sheetData>
    <row r="1" spans="1:63" s="634" customFormat="1" ht="6.95" customHeight="1">
      <c r="A1" s="705"/>
      <c r="B1" s="714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633"/>
      <c r="S1" s="705"/>
      <c r="T1" s="705"/>
      <c r="U1" s="705"/>
      <c r="V1" s="705"/>
      <c r="W1" s="705"/>
      <c r="X1" s="705"/>
      <c r="Y1" s="705"/>
      <c r="Z1" s="705"/>
      <c r="AA1" s="705"/>
      <c r="AB1" s="705"/>
      <c r="AC1" s="705"/>
      <c r="AD1" s="705"/>
      <c r="AE1" s="705"/>
    </row>
    <row r="2" spans="1:63" s="634" customFormat="1" ht="24.95" customHeight="1">
      <c r="A2" s="705"/>
      <c r="B2" s="706"/>
      <c r="C2" s="1110" t="s">
        <v>662</v>
      </c>
      <c r="D2" s="1110"/>
      <c r="E2" s="1110"/>
      <c r="F2" s="1110"/>
      <c r="G2" s="1110"/>
      <c r="H2" s="1110"/>
      <c r="I2" s="1110"/>
      <c r="J2" s="1110"/>
      <c r="K2" s="708"/>
      <c r="L2" s="708"/>
      <c r="M2" s="633"/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/>
      <c r="AE2" s="705"/>
    </row>
    <row r="3" spans="1:63" s="634" customFormat="1" ht="6.95" customHeight="1">
      <c r="A3" s="705"/>
      <c r="B3" s="706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633"/>
      <c r="S3" s="705"/>
      <c r="T3" s="705"/>
      <c r="U3" s="705"/>
      <c r="V3" s="705"/>
      <c r="W3" s="705"/>
      <c r="X3" s="705"/>
      <c r="Y3" s="705"/>
      <c r="Z3" s="705"/>
      <c r="AA3" s="705"/>
      <c r="AB3" s="705"/>
      <c r="AC3" s="705"/>
      <c r="AD3" s="705"/>
      <c r="AE3" s="705"/>
    </row>
    <row r="4" spans="1:63" s="634" customFormat="1" ht="16.5" customHeight="1">
      <c r="A4" s="705"/>
      <c r="B4" s="706"/>
      <c r="C4" s="707" t="s">
        <v>504</v>
      </c>
      <c r="D4" s="708"/>
      <c r="E4" s="1115" t="s">
        <v>552</v>
      </c>
      <c r="F4" s="1116"/>
      <c r="G4" s="1116"/>
      <c r="H4" s="1116"/>
      <c r="I4" s="708"/>
      <c r="J4" s="708"/>
      <c r="K4" s="708"/>
      <c r="L4" s="708"/>
      <c r="M4" s="633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</row>
    <row r="5" spans="1:63" s="634" customFormat="1" ht="9.75" customHeight="1">
      <c r="A5" s="705"/>
      <c r="B5" s="706"/>
      <c r="C5" s="708"/>
      <c r="D5" s="708"/>
      <c r="E5" s="1111"/>
      <c r="F5" s="1112"/>
      <c r="G5" s="1112"/>
      <c r="H5" s="1112"/>
      <c r="I5" s="708"/>
      <c r="J5" s="708"/>
      <c r="K5" s="708"/>
      <c r="L5" s="708"/>
      <c r="M5" s="633"/>
      <c r="S5" s="705"/>
      <c r="T5" s="705"/>
      <c r="U5" s="705"/>
      <c r="V5" s="705"/>
      <c r="W5" s="705"/>
      <c r="X5" s="705"/>
      <c r="Y5" s="705"/>
      <c r="Z5" s="705"/>
      <c r="AA5" s="705"/>
      <c r="AB5" s="705"/>
      <c r="AC5" s="705"/>
      <c r="AD5" s="705"/>
      <c r="AE5" s="705"/>
    </row>
    <row r="6" spans="1:63" s="634" customFormat="1" ht="12" customHeight="1">
      <c r="A6" s="705"/>
      <c r="B6" s="706"/>
      <c r="C6" s="707" t="s">
        <v>65</v>
      </c>
      <c r="D6" s="708"/>
      <c r="E6" s="1113" t="s">
        <v>554</v>
      </c>
      <c r="F6" s="1114"/>
      <c r="G6" s="1114"/>
      <c r="H6" s="1114"/>
      <c r="I6" s="708"/>
      <c r="J6" s="708"/>
      <c r="K6" s="708"/>
      <c r="L6" s="708"/>
      <c r="M6" s="633"/>
      <c r="S6" s="705"/>
      <c r="T6" s="705"/>
      <c r="U6" s="705"/>
      <c r="V6" s="705"/>
      <c r="W6" s="705"/>
      <c r="X6" s="705"/>
      <c r="Y6" s="705"/>
      <c r="Z6" s="705"/>
      <c r="AA6" s="705"/>
      <c r="AB6" s="705"/>
      <c r="AC6" s="705"/>
      <c r="AD6" s="705"/>
      <c r="AE6" s="705"/>
    </row>
    <row r="7" spans="1:63" s="634" customFormat="1" ht="30" customHeight="1">
      <c r="A7" s="705"/>
      <c r="B7" s="706"/>
      <c r="C7" s="708" t="s">
        <v>1704</v>
      </c>
      <c r="D7" s="708"/>
      <c r="E7" s="1113" t="s">
        <v>1705</v>
      </c>
      <c r="F7" s="1114"/>
      <c r="G7" s="1114"/>
      <c r="H7" s="1114"/>
      <c r="I7" s="708"/>
      <c r="J7" s="708"/>
      <c r="K7" s="708"/>
      <c r="L7" s="708"/>
      <c r="M7" s="633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</row>
    <row r="8" spans="1:63" s="634" customFormat="1" ht="6.95" customHeight="1">
      <c r="A8" s="705"/>
      <c r="B8" s="706"/>
      <c r="C8" s="708"/>
      <c r="D8" s="708"/>
      <c r="E8" s="708"/>
      <c r="F8" s="708"/>
      <c r="G8" s="708"/>
      <c r="H8" s="708"/>
      <c r="I8" s="708"/>
      <c r="J8" s="708"/>
      <c r="K8" s="708"/>
      <c r="L8" s="708"/>
      <c r="M8" s="633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</row>
    <row r="9" spans="1:63" s="634" customFormat="1" ht="12" customHeight="1">
      <c r="A9" s="705"/>
      <c r="B9" s="706"/>
      <c r="C9" s="707" t="s">
        <v>1125</v>
      </c>
      <c r="D9" s="708"/>
      <c r="E9" s="708"/>
      <c r="F9" s="709" t="s">
        <v>436</v>
      </c>
      <c r="G9" s="708"/>
      <c r="H9" s="708"/>
      <c r="I9" s="707" t="s">
        <v>1104</v>
      </c>
      <c r="J9" s="710" t="s">
        <v>1694</v>
      </c>
      <c r="K9" s="708"/>
      <c r="L9" s="708"/>
      <c r="M9" s="633"/>
      <c r="S9" s="705"/>
      <c r="T9" s="705"/>
      <c r="U9" s="705"/>
      <c r="V9" s="705"/>
      <c r="W9" s="705"/>
      <c r="X9" s="705"/>
      <c r="Y9" s="705"/>
      <c r="Z9" s="705"/>
      <c r="AA9" s="705"/>
      <c r="AB9" s="705"/>
      <c r="AC9" s="705"/>
      <c r="AD9" s="705"/>
      <c r="AE9" s="705"/>
    </row>
    <row r="10" spans="1:63" s="634" customFormat="1" ht="6.95" customHeight="1">
      <c r="A10" s="705"/>
      <c r="B10" s="706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633"/>
      <c r="S10" s="705"/>
      <c r="T10" s="705"/>
      <c r="U10" s="705"/>
      <c r="V10" s="705"/>
      <c r="W10" s="705"/>
      <c r="X10" s="705"/>
      <c r="Y10" s="705"/>
      <c r="Z10" s="705"/>
      <c r="AA10" s="705"/>
      <c r="AB10" s="705"/>
      <c r="AC10" s="705"/>
      <c r="AD10" s="705"/>
      <c r="AE10" s="705"/>
    </row>
    <row r="11" spans="1:63" s="634" customFormat="1" ht="15.2" customHeight="1">
      <c r="A11" s="705"/>
      <c r="B11" s="706"/>
      <c r="C11" s="707" t="s">
        <v>775</v>
      </c>
      <c r="D11" s="708"/>
      <c r="E11" s="708"/>
      <c r="F11" s="709" t="s">
        <v>556</v>
      </c>
      <c r="G11" s="708"/>
      <c r="H11" s="708"/>
      <c r="I11" s="707" t="s">
        <v>1047</v>
      </c>
      <c r="J11" s="711" t="s">
        <v>2651</v>
      </c>
      <c r="K11" s="708"/>
      <c r="L11" s="708"/>
      <c r="M11" s="633"/>
      <c r="S11" s="705"/>
      <c r="T11" s="705"/>
      <c r="U11" s="705"/>
      <c r="V11" s="705"/>
      <c r="W11" s="705"/>
      <c r="X11" s="705"/>
      <c r="Y11" s="705"/>
      <c r="Z11" s="705"/>
      <c r="AA11" s="705"/>
      <c r="AB11" s="705"/>
      <c r="AC11" s="705"/>
      <c r="AD11" s="705"/>
      <c r="AE11" s="705"/>
    </row>
    <row r="12" spans="1:63" s="634" customFormat="1" ht="15.2" customHeight="1">
      <c r="A12" s="705"/>
      <c r="B12" s="706"/>
      <c r="C12" s="707" t="s">
        <v>506</v>
      </c>
      <c r="D12" s="708"/>
      <c r="E12" s="708"/>
      <c r="F12" s="709" t="s">
        <v>436</v>
      </c>
      <c r="G12" s="708"/>
      <c r="H12" s="708"/>
      <c r="I12" s="707" t="s">
        <v>1126</v>
      </c>
      <c r="J12" s="711" t="s">
        <v>1127</v>
      </c>
      <c r="K12" s="708"/>
      <c r="L12" s="708"/>
      <c r="M12" s="633"/>
      <c r="S12" s="705"/>
      <c r="T12" s="705"/>
      <c r="U12" s="705"/>
      <c r="V12" s="705"/>
      <c r="W12" s="705"/>
      <c r="X12" s="705"/>
      <c r="Y12" s="705"/>
      <c r="Z12" s="705"/>
      <c r="AA12" s="705"/>
      <c r="AB12" s="705"/>
      <c r="AC12" s="705"/>
      <c r="AD12" s="705"/>
      <c r="AE12" s="705"/>
    </row>
    <row r="13" spans="1:63" s="634" customFormat="1" ht="10.35" customHeight="1">
      <c r="A13" s="705"/>
      <c r="B13" s="706"/>
      <c r="C13" s="708"/>
      <c r="D13" s="708"/>
      <c r="E13" s="708"/>
      <c r="F13" s="708"/>
      <c r="G13" s="708"/>
      <c r="H13" s="708"/>
      <c r="I13" s="708"/>
      <c r="J13" s="708"/>
      <c r="K13" s="708"/>
      <c r="L13" s="708"/>
      <c r="M13" s="633"/>
      <c r="S13" s="705"/>
      <c r="T13" s="705"/>
      <c r="U13" s="705"/>
      <c r="V13" s="705"/>
      <c r="W13" s="705"/>
      <c r="X13" s="705"/>
      <c r="Y13" s="705"/>
      <c r="Z13" s="705"/>
      <c r="AA13" s="705"/>
      <c r="AB13" s="705"/>
      <c r="AC13" s="705"/>
      <c r="AD13" s="705"/>
      <c r="AE13" s="705"/>
    </row>
    <row r="14" spans="1:63" s="653" customFormat="1" ht="29.25" customHeight="1">
      <c r="A14" s="643"/>
      <c r="B14" s="716"/>
      <c r="C14" s="717" t="s">
        <v>1051</v>
      </c>
      <c r="D14" s="718" t="s">
        <v>1052</v>
      </c>
      <c r="E14" s="718" t="s">
        <v>507</v>
      </c>
      <c r="F14" s="718" t="s">
        <v>777</v>
      </c>
      <c r="G14" s="718" t="s">
        <v>7</v>
      </c>
      <c r="H14" s="718" t="s">
        <v>566</v>
      </c>
      <c r="I14" s="718" t="s">
        <v>1131</v>
      </c>
      <c r="J14" s="718" t="s">
        <v>1132</v>
      </c>
      <c r="K14" s="719" t="s">
        <v>1130</v>
      </c>
      <c r="L14" s="720" t="s">
        <v>1133</v>
      </c>
      <c r="M14" s="649"/>
      <c r="N14" s="721" t="s">
        <v>1043</v>
      </c>
      <c r="O14" s="722" t="s">
        <v>496</v>
      </c>
      <c r="P14" s="722" t="s">
        <v>1054</v>
      </c>
      <c r="Q14" s="722" t="s">
        <v>1134</v>
      </c>
      <c r="R14" s="722" t="s">
        <v>1135</v>
      </c>
      <c r="S14" s="722" t="s">
        <v>1056</v>
      </c>
      <c r="T14" s="722" t="s">
        <v>1136</v>
      </c>
      <c r="U14" s="722" t="s">
        <v>1137</v>
      </c>
      <c r="V14" s="722" t="s">
        <v>1138</v>
      </c>
      <c r="W14" s="722" t="s">
        <v>1060</v>
      </c>
      <c r="X14" s="723" t="s">
        <v>1139</v>
      </c>
      <c r="Y14" s="643"/>
      <c r="Z14" s="643"/>
      <c r="AA14" s="643"/>
      <c r="AB14" s="643"/>
      <c r="AC14" s="643"/>
      <c r="AD14" s="643"/>
      <c r="AE14" s="643"/>
    </row>
    <row r="15" spans="1:63" s="634" customFormat="1" ht="22.9" customHeight="1">
      <c r="A15" s="705"/>
      <c r="B15" s="706"/>
      <c r="C15" s="724" t="s">
        <v>1128</v>
      </c>
      <c r="D15" s="708"/>
      <c r="E15" s="708"/>
      <c r="F15" s="708"/>
      <c r="G15" s="708"/>
      <c r="H15" s="708"/>
      <c r="I15" s="708"/>
      <c r="J15" s="708"/>
      <c r="K15" s="725">
        <f>BK15</f>
        <v>0</v>
      </c>
      <c r="L15" s="708"/>
      <c r="M15" s="631"/>
      <c r="N15" s="726"/>
      <c r="O15" s="727"/>
      <c r="P15" s="728"/>
      <c r="Q15" s="729">
        <f>Q16+Q64</f>
        <v>0</v>
      </c>
      <c r="R15" s="729">
        <f>R16+R64</f>
        <v>0</v>
      </c>
      <c r="S15" s="728"/>
      <c r="T15" s="730">
        <f>T16+T64</f>
        <v>160.81869499999999</v>
      </c>
      <c r="U15" s="728"/>
      <c r="V15" s="730">
        <f>V16+V64</f>
        <v>31.3844411</v>
      </c>
      <c r="W15" s="728"/>
      <c r="X15" s="731">
        <f>X16+X64</f>
        <v>0</v>
      </c>
      <c r="Y15" s="705"/>
      <c r="Z15" s="705"/>
      <c r="AA15" s="705"/>
      <c r="AB15" s="705"/>
      <c r="AC15" s="705"/>
      <c r="AD15" s="705"/>
      <c r="AE15" s="705"/>
      <c r="AT15" s="629" t="s">
        <v>491</v>
      </c>
      <c r="AU15" s="629" t="s">
        <v>1050</v>
      </c>
      <c r="BK15" s="660">
        <f>BK16+BK64</f>
        <v>0</v>
      </c>
    </row>
    <row r="16" spans="1:63" s="661" customFormat="1" ht="25.9" customHeight="1">
      <c r="B16" s="732"/>
      <c r="C16" s="733"/>
      <c r="D16" s="734" t="s">
        <v>491</v>
      </c>
      <c r="E16" s="735" t="s">
        <v>22</v>
      </c>
      <c r="F16" s="735" t="s">
        <v>11</v>
      </c>
      <c r="G16" s="733"/>
      <c r="H16" s="733"/>
      <c r="I16" s="733"/>
      <c r="J16" s="733"/>
      <c r="K16" s="736">
        <f>BK16</f>
        <v>0</v>
      </c>
      <c r="L16" s="733"/>
      <c r="M16" s="662"/>
      <c r="N16" s="737"/>
      <c r="O16" s="738"/>
      <c r="P16" s="738"/>
      <c r="Q16" s="739">
        <f>Q17+Q38+Q55</f>
        <v>0</v>
      </c>
      <c r="R16" s="739">
        <f>R17+R38+R55</f>
        <v>0</v>
      </c>
      <c r="S16" s="738"/>
      <c r="T16" s="740">
        <f>T17+T38+T55</f>
        <v>20.173421000000001</v>
      </c>
      <c r="U16" s="738"/>
      <c r="V16" s="740">
        <f>V17+V38+V55</f>
        <v>30.871490900000001</v>
      </c>
      <c r="W16" s="738"/>
      <c r="X16" s="741">
        <f>X17+X38+X55</f>
        <v>0</v>
      </c>
      <c r="AR16" s="663" t="s">
        <v>791</v>
      </c>
      <c r="AT16" s="670" t="s">
        <v>491</v>
      </c>
      <c r="AU16" s="670" t="s">
        <v>788</v>
      </c>
      <c r="AY16" s="663" t="s">
        <v>1063</v>
      </c>
      <c r="BK16" s="671">
        <f>BK17+BK38+BK55</f>
        <v>0</v>
      </c>
    </row>
    <row r="17" spans="1:65" s="661" customFormat="1" ht="22.9" customHeight="1">
      <c r="B17" s="732"/>
      <c r="C17" s="733"/>
      <c r="D17" s="734" t="s">
        <v>491</v>
      </c>
      <c r="E17" s="742" t="s">
        <v>791</v>
      </c>
      <c r="F17" s="742" t="s">
        <v>30</v>
      </c>
      <c r="G17" s="733"/>
      <c r="H17" s="733"/>
      <c r="I17" s="733"/>
      <c r="J17" s="733"/>
      <c r="K17" s="743">
        <f>BK17</f>
        <v>0</v>
      </c>
      <c r="L17" s="733"/>
      <c r="M17" s="662"/>
      <c r="N17" s="737"/>
      <c r="O17" s="738"/>
      <c r="P17" s="738"/>
      <c r="Q17" s="739">
        <f>SUM(Q18:Q37)</f>
        <v>0</v>
      </c>
      <c r="R17" s="739">
        <f>SUM(R18:R37)</f>
        <v>0</v>
      </c>
      <c r="S17" s="738"/>
      <c r="T17" s="740">
        <f>SUM(T18:T37)</f>
        <v>14.696290999999999</v>
      </c>
      <c r="U17" s="738"/>
      <c r="V17" s="740">
        <f>SUM(V18:V37)</f>
        <v>16.155000000000001</v>
      </c>
      <c r="W17" s="738"/>
      <c r="X17" s="741">
        <f>SUM(X18:X37)</f>
        <v>0</v>
      </c>
      <c r="AR17" s="663" t="s">
        <v>791</v>
      </c>
      <c r="AT17" s="670" t="s">
        <v>491</v>
      </c>
      <c r="AU17" s="670" t="s">
        <v>791</v>
      </c>
      <c r="AY17" s="663" t="s">
        <v>1063</v>
      </c>
      <c r="BK17" s="671">
        <f>SUM(BK18:BK37)</f>
        <v>0</v>
      </c>
    </row>
    <row r="18" spans="1:65" s="634" customFormat="1" ht="21.75" customHeight="1">
      <c r="A18" s="705"/>
      <c r="B18" s="706"/>
      <c r="C18" s="744" t="s">
        <v>791</v>
      </c>
      <c r="D18" s="744" t="s">
        <v>29</v>
      </c>
      <c r="E18" s="745" t="s">
        <v>1140</v>
      </c>
      <c r="F18" s="746" t="s">
        <v>1141</v>
      </c>
      <c r="G18" s="747" t="s">
        <v>12</v>
      </c>
      <c r="H18" s="748">
        <v>9.7910000000000004</v>
      </c>
      <c r="I18" s="749"/>
      <c r="J18" s="749"/>
      <c r="K18" s="749">
        <f>ROUND(P18*H18,2)</f>
        <v>0</v>
      </c>
      <c r="L18" s="750"/>
      <c r="M18" s="631"/>
      <c r="N18" s="751" t="s">
        <v>1043</v>
      </c>
      <c r="O18" s="752" t="s">
        <v>1129</v>
      </c>
      <c r="P18" s="753">
        <f>I18+J18</f>
        <v>0</v>
      </c>
      <c r="Q18" s="753">
        <f>ROUND(I18*H18,2)</f>
        <v>0</v>
      </c>
      <c r="R18" s="753">
        <f>ROUND(J18*H18,2)</f>
        <v>0</v>
      </c>
      <c r="S18" s="754">
        <v>1.5009999999999999</v>
      </c>
      <c r="T18" s="754">
        <f>S18*H18</f>
        <v>14.696290999999999</v>
      </c>
      <c r="U18" s="754">
        <v>0</v>
      </c>
      <c r="V18" s="754">
        <f>U18*H18</f>
        <v>0</v>
      </c>
      <c r="W18" s="754">
        <v>0</v>
      </c>
      <c r="X18" s="755">
        <f>W18*H18</f>
        <v>0</v>
      </c>
      <c r="Y18" s="705"/>
      <c r="Z18" s="705"/>
      <c r="AA18" s="705"/>
      <c r="AB18" s="705"/>
      <c r="AC18" s="705"/>
      <c r="AD18" s="705"/>
      <c r="AE18" s="705"/>
      <c r="AR18" s="686" t="s">
        <v>1065</v>
      </c>
      <c r="AT18" s="686" t="s">
        <v>29</v>
      </c>
      <c r="AU18" s="686" t="s">
        <v>795</v>
      </c>
      <c r="AY18" s="629" t="s">
        <v>1063</v>
      </c>
      <c r="BE18" s="687">
        <f>IF(O18="základná",K18,0)</f>
        <v>0</v>
      </c>
      <c r="BF18" s="687">
        <f>IF(O18="znížená",K18,0)</f>
        <v>0</v>
      </c>
      <c r="BG18" s="687">
        <f>IF(O18="zákl. prenesená",K18,0)</f>
        <v>0</v>
      </c>
      <c r="BH18" s="687">
        <f>IF(O18="zníž. prenesená",K18,0)</f>
        <v>0</v>
      </c>
      <c r="BI18" s="687">
        <f>IF(O18="nulová",K18,0)</f>
        <v>0</v>
      </c>
      <c r="BJ18" s="629" t="s">
        <v>795</v>
      </c>
      <c r="BK18" s="687">
        <f>ROUND(P18*H18,2)</f>
        <v>0</v>
      </c>
      <c r="BL18" s="629" t="s">
        <v>1065</v>
      </c>
      <c r="BM18" s="686" t="s">
        <v>1142</v>
      </c>
    </row>
    <row r="19" spans="1:65" s="756" customFormat="1" ht="11.25">
      <c r="B19" s="757"/>
      <c r="C19" s="758"/>
      <c r="D19" s="759" t="s">
        <v>1143</v>
      </c>
      <c r="E19" s="760" t="s">
        <v>1043</v>
      </c>
      <c r="F19" s="761" t="s">
        <v>1144</v>
      </c>
      <c r="G19" s="758"/>
      <c r="H19" s="760" t="s">
        <v>1043</v>
      </c>
      <c r="I19" s="758"/>
      <c r="J19" s="758"/>
      <c r="K19" s="758"/>
      <c r="L19" s="758"/>
      <c r="M19" s="762"/>
      <c r="N19" s="763"/>
      <c r="O19" s="764"/>
      <c r="P19" s="764"/>
      <c r="Q19" s="764"/>
      <c r="R19" s="764"/>
      <c r="S19" s="764"/>
      <c r="T19" s="764"/>
      <c r="U19" s="764"/>
      <c r="V19" s="764"/>
      <c r="W19" s="764"/>
      <c r="X19" s="765"/>
      <c r="AT19" s="766" t="s">
        <v>1143</v>
      </c>
      <c r="AU19" s="766" t="s">
        <v>795</v>
      </c>
      <c r="AV19" s="756" t="s">
        <v>791</v>
      </c>
      <c r="AW19" s="756" t="s">
        <v>1145</v>
      </c>
      <c r="AX19" s="756" t="s">
        <v>788</v>
      </c>
      <c r="AY19" s="766" t="s">
        <v>1063</v>
      </c>
    </row>
    <row r="20" spans="1:65" s="767" customFormat="1" ht="11.25">
      <c r="B20" s="768"/>
      <c r="C20" s="769"/>
      <c r="D20" s="759" t="s">
        <v>1143</v>
      </c>
      <c r="E20" s="770" t="s">
        <v>1043</v>
      </c>
      <c r="F20" s="771" t="s">
        <v>1146</v>
      </c>
      <c r="G20" s="769"/>
      <c r="H20" s="772">
        <v>1.73</v>
      </c>
      <c r="I20" s="769"/>
      <c r="J20" s="769"/>
      <c r="K20" s="769"/>
      <c r="L20" s="769"/>
      <c r="M20" s="773"/>
      <c r="N20" s="774"/>
      <c r="O20" s="775"/>
      <c r="P20" s="775"/>
      <c r="Q20" s="775"/>
      <c r="R20" s="775"/>
      <c r="S20" s="775"/>
      <c r="T20" s="775"/>
      <c r="U20" s="775"/>
      <c r="V20" s="775"/>
      <c r="W20" s="775"/>
      <c r="X20" s="776"/>
      <c r="AT20" s="777" t="s">
        <v>1143</v>
      </c>
      <c r="AU20" s="777" t="s">
        <v>795</v>
      </c>
      <c r="AV20" s="767" t="s">
        <v>795</v>
      </c>
      <c r="AW20" s="767" t="s">
        <v>1145</v>
      </c>
      <c r="AX20" s="767" t="s">
        <v>788</v>
      </c>
      <c r="AY20" s="777" t="s">
        <v>1063</v>
      </c>
    </row>
    <row r="21" spans="1:65" s="767" customFormat="1" ht="11.25">
      <c r="B21" s="768"/>
      <c r="C21" s="769"/>
      <c r="D21" s="759" t="s">
        <v>1143</v>
      </c>
      <c r="E21" s="770" t="s">
        <v>1043</v>
      </c>
      <c r="F21" s="771" t="s">
        <v>1147</v>
      </c>
      <c r="G21" s="769"/>
      <c r="H21" s="772">
        <v>4.92</v>
      </c>
      <c r="I21" s="769"/>
      <c r="J21" s="769"/>
      <c r="K21" s="769"/>
      <c r="L21" s="769"/>
      <c r="M21" s="773"/>
      <c r="N21" s="774"/>
      <c r="O21" s="775"/>
      <c r="P21" s="775"/>
      <c r="Q21" s="775"/>
      <c r="R21" s="775"/>
      <c r="S21" s="775"/>
      <c r="T21" s="775"/>
      <c r="U21" s="775"/>
      <c r="V21" s="775"/>
      <c r="W21" s="775"/>
      <c r="X21" s="776"/>
      <c r="AT21" s="777" t="s">
        <v>1143</v>
      </c>
      <c r="AU21" s="777" t="s">
        <v>795</v>
      </c>
      <c r="AV21" s="767" t="s">
        <v>795</v>
      </c>
      <c r="AW21" s="767" t="s">
        <v>1145</v>
      </c>
      <c r="AX21" s="767" t="s">
        <v>788</v>
      </c>
      <c r="AY21" s="777" t="s">
        <v>1063</v>
      </c>
    </row>
    <row r="22" spans="1:65" s="756" customFormat="1" ht="11.25">
      <c r="B22" s="757"/>
      <c r="C22" s="758"/>
      <c r="D22" s="759" t="s">
        <v>1143</v>
      </c>
      <c r="E22" s="760" t="s">
        <v>1043</v>
      </c>
      <c r="F22" s="761" t="s">
        <v>1148</v>
      </c>
      <c r="G22" s="758"/>
      <c r="H22" s="760" t="s">
        <v>1043</v>
      </c>
      <c r="I22" s="758"/>
      <c r="J22" s="758"/>
      <c r="K22" s="758"/>
      <c r="L22" s="758"/>
      <c r="M22" s="762"/>
      <c r="N22" s="763"/>
      <c r="O22" s="764"/>
      <c r="P22" s="764"/>
      <c r="Q22" s="764"/>
      <c r="R22" s="764"/>
      <c r="S22" s="764"/>
      <c r="T22" s="764"/>
      <c r="U22" s="764"/>
      <c r="V22" s="764"/>
      <c r="W22" s="764"/>
      <c r="X22" s="765"/>
      <c r="AT22" s="766" t="s">
        <v>1143</v>
      </c>
      <c r="AU22" s="766" t="s">
        <v>795</v>
      </c>
      <c r="AV22" s="756" t="s">
        <v>791</v>
      </c>
      <c r="AW22" s="756" t="s">
        <v>1145</v>
      </c>
      <c r="AX22" s="756" t="s">
        <v>788</v>
      </c>
      <c r="AY22" s="766" t="s">
        <v>1063</v>
      </c>
    </row>
    <row r="23" spans="1:65" s="767" customFormat="1" ht="11.25">
      <c r="B23" s="768"/>
      <c r="C23" s="769"/>
      <c r="D23" s="759" t="s">
        <v>1143</v>
      </c>
      <c r="E23" s="770" t="s">
        <v>1043</v>
      </c>
      <c r="F23" s="771" t="s">
        <v>1149</v>
      </c>
      <c r="G23" s="769"/>
      <c r="H23" s="772">
        <v>0.59099999999999997</v>
      </c>
      <c r="I23" s="769"/>
      <c r="J23" s="769"/>
      <c r="K23" s="769"/>
      <c r="L23" s="769"/>
      <c r="M23" s="773"/>
      <c r="N23" s="774"/>
      <c r="O23" s="775"/>
      <c r="P23" s="775"/>
      <c r="Q23" s="775"/>
      <c r="R23" s="775"/>
      <c r="S23" s="775"/>
      <c r="T23" s="775"/>
      <c r="U23" s="775"/>
      <c r="V23" s="775"/>
      <c r="W23" s="775"/>
      <c r="X23" s="776"/>
      <c r="AT23" s="777" t="s">
        <v>1143</v>
      </c>
      <c r="AU23" s="777" t="s">
        <v>795</v>
      </c>
      <c r="AV23" s="767" t="s">
        <v>795</v>
      </c>
      <c r="AW23" s="767" t="s">
        <v>1145</v>
      </c>
      <c r="AX23" s="767" t="s">
        <v>788</v>
      </c>
      <c r="AY23" s="777" t="s">
        <v>1063</v>
      </c>
    </row>
    <row r="24" spans="1:65" s="767" customFormat="1" ht="11.25">
      <c r="B24" s="768"/>
      <c r="C24" s="769"/>
      <c r="D24" s="759" t="s">
        <v>1143</v>
      </c>
      <c r="E24" s="770" t="s">
        <v>1043</v>
      </c>
      <c r="F24" s="771" t="s">
        <v>1150</v>
      </c>
      <c r="G24" s="769"/>
      <c r="H24" s="772">
        <v>0.84</v>
      </c>
      <c r="I24" s="769"/>
      <c r="J24" s="769"/>
      <c r="K24" s="769"/>
      <c r="L24" s="769"/>
      <c r="M24" s="773"/>
      <c r="N24" s="774"/>
      <c r="O24" s="775"/>
      <c r="P24" s="775"/>
      <c r="Q24" s="775"/>
      <c r="R24" s="775"/>
      <c r="S24" s="775"/>
      <c r="T24" s="775"/>
      <c r="U24" s="775"/>
      <c r="V24" s="775"/>
      <c r="W24" s="775"/>
      <c r="X24" s="776"/>
      <c r="AT24" s="777" t="s">
        <v>1143</v>
      </c>
      <c r="AU24" s="777" t="s">
        <v>795</v>
      </c>
      <c r="AV24" s="767" t="s">
        <v>795</v>
      </c>
      <c r="AW24" s="767" t="s">
        <v>1145</v>
      </c>
      <c r="AX24" s="767" t="s">
        <v>788</v>
      </c>
      <c r="AY24" s="777" t="s">
        <v>1063</v>
      </c>
    </row>
    <row r="25" spans="1:65" s="756" customFormat="1" ht="11.25">
      <c r="B25" s="757"/>
      <c r="C25" s="758"/>
      <c r="D25" s="759" t="s">
        <v>1143</v>
      </c>
      <c r="E25" s="760" t="s">
        <v>1043</v>
      </c>
      <c r="F25" s="761" t="s">
        <v>1151</v>
      </c>
      <c r="G25" s="758"/>
      <c r="H25" s="760" t="s">
        <v>1043</v>
      </c>
      <c r="I25" s="758"/>
      <c r="J25" s="758"/>
      <c r="K25" s="758"/>
      <c r="L25" s="758"/>
      <c r="M25" s="762"/>
      <c r="N25" s="763"/>
      <c r="O25" s="764"/>
      <c r="P25" s="764"/>
      <c r="Q25" s="764"/>
      <c r="R25" s="764"/>
      <c r="S25" s="764"/>
      <c r="T25" s="764"/>
      <c r="U25" s="764"/>
      <c r="V25" s="764"/>
      <c r="W25" s="764"/>
      <c r="X25" s="765"/>
      <c r="AT25" s="766" t="s">
        <v>1143</v>
      </c>
      <c r="AU25" s="766" t="s">
        <v>795</v>
      </c>
      <c r="AV25" s="756" t="s">
        <v>791</v>
      </c>
      <c r="AW25" s="756" t="s">
        <v>1145</v>
      </c>
      <c r="AX25" s="756" t="s">
        <v>788</v>
      </c>
      <c r="AY25" s="766" t="s">
        <v>1063</v>
      </c>
    </row>
    <row r="26" spans="1:65" s="767" customFormat="1" ht="11.25">
      <c r="B26" s="768"/>
      <c r="C26" s="769"/>
      <c r="D26" s="759" t="s">
        <v>1143</v>
      </c>
      <c r="E26" s="770" t="s">
        <v>1043</v>
      </c>
      <c r="F26" s="771" t="s">
        <v>1152</v>
      </c>
      <c r="G26" s="769"/>
      <c r="H26" s="772">
        <v>1.71</v>
      </c>
      <c r="I26" s="769"/>
      <c r="J26" s="769"/>
      <c r="K26" s="769"/>
      <c r="L26" s="769"/>
      <c r="M26" s="773"/>
      <c r="N26" s="774"/>
      <c r="O26" s="775"/>
      <c r="P26" s="775"/>
      <c r="Q26" s="775"/>
      <c r="R26" s="775"/>
      <c r="S26" s="775"/>
      <c r="T26" s="775"/>
      <c r="U26" s="775"/>
      <c r="V26" s="775"/>
      <c r="W26" s="775"/>
      <c r="X26" s="776"/>
      <c r="AT26" s="777" t="s">
        <v>1143</v>
      </c>
      <c r="AU26" s="777" t="s">
        <v>795</v>
      </c>
      <c r="AV26" s="767" t="s">
        <v>795</v>
      </c>
      <c r="AW26" s="767" t="s">
        <v>1145</v>
      </c>
      <c r="AX26" s="767" t="s">
        <v>788</v>
      </c>
      <c r="AY26" s="777" t="s">
        <v>1063</v>
      </c>
    </row>
    <row r="27" spans="1:65" s="778" customFormat="1" ht="11.25">
      <c r="B27" s="779"/>
      <c r="C27" s="780"/>
      <c r="D27" s="759" t="s">
        <v>1143</v>
      </c>
      <c r="E27" s="781" t="s">
        <v>1043</v>
      </c>
      <c r="F27" s="782" t="s">
        <v>1153</v>
      </c>
      <c r="G27" s="780"/>
      <c r="H27" s="783">
        <v>9.7910000000000004</v>
      </c>
      <c r="I27" s="780"/>
      <c r="J27" s="780"/>
      <c r="K27" s="780"/>
      <c r="L27" s="780"/>
      <c r="M27" s="784"/>
      <c r="N27" s="785"/>
      <c r="O27" s="786"/>
      <c r="P27" s="786"/>
      <c r="Q27" s="786"/>
      <c r="R27" s="786"/>
      <c r="S27" s="786"/>
      <c r="T27" s="786"/>
      <c r="U27" s="786"/>
      <c r="V27" s="786"/>
      <c r="W27" s="786"/>
      <c r="X27" s="787"/>
      <c r="AT27" s="788" t="s">
        <v>1143</v>
      </c>
      <c r="AU27" s="788" t="s">
        <v>795</v>
      </c>
      <c r="AV27" s="778" t="s">
        <v>1065</v>
      </c>
      <c r="AW27" s="778" t="s">
        <v>1145</v>
      </c>
      <c r="AX27" s="778" t="s">
        <v>791</v>
      </c>
      <c r="AY27" s="788" t="s">
        <v>1063</v>
      </c>
    </row>
    <row r="28" spans="1:65" s="634" customFormat="1" ht="16.5" customHeight="1">
      <c r="A28" s="705"/>
      <c r="B28" s="706"/>
      <c r="C28" s="789" t="s">
        <v>795</v>
      </c>
      <c r="D28" s="789" t="s">
        <v>83</v>
      </c>
      <c r="E28" s="790" t="s">
        <v>1154</v>
      </c>
      <c r="F28" s="791" t="s">
        <v>1155</v>
      </c>
      <c r="G28" s="792" t="s">
        <v>15</v>
      </c>
      <c r="H28" s="793">
        <v>16.155000000000001</v>
      </c>
      <c r="I28" s="794"/>
      <c r="J28" s="795"/>
      <c r="K28" s="794">
        <f>ROUND(P28*H28,2)</f>
        <v>0</v>
      </c>
      <c r="L28" s="795"/>
      <c r="M28" s="701"/>
      <c r="N28" s="796" t="s">
        <v>1043</v>
      </c>
      <c r="O28" s="752" t="s">
        <v>1129</v>
      </c>
      <c r="P28" s="753">
        <f>I28+J28</f>
        <v>0</v>
      </c>
      <c r="Q28" s="753">
        <f>ROUND(I28*H28,2)</f>
        <v>0</v>
      </c>
      <c r="R28" s="753">
        <f>ROUND(J28*H28,2)</f>
        <v>0</v>
      </c>
      <c r="S28" s="754">
        <v>0</v>
      </c>
      <c r="T28" s="754">
        <f>S28*H28</f>
        <v>0</v>
      </c>
      <c r="U28" s="754">
        <v>1</v>
      </c>
      <c r="V28" s="754">
        <f>U28*H28</f>
        <v>16.155000000000001</v>
      </c>
      <c r="W28" s="754">
        <v>0</v>
      </c>
      <c r="X28" s="755">
        <f>W28*H28</f>
        <v>0</v>
      </c>
      <c r="Y28" s="705"/>
      <c r="Z28" s="705"/>
      <c r="AA28" s="705"/>
      <c r="AB28" s="705"/>
      <c r="AC28" s="705"/>
      <c r="AD28" s="705"/>
      <c r="AE28" s="705"/>
      <c r="AR28" s="686" t="s">
        <v>1071</v>
      </c>
      <c r="AT28" s="686" t="s">
        <v>83</v>
      </c>
      <c r="AU28" s="686" t="s">
        <v>795</v>
      </c>
      <c r="AY28" s="629" t="s">
        <v>1063</v>
      </c>
      <c r="BE28" s="687">
        <f>IF(O28="základná",K28,0)</f>
        <v>0</v>
      </c>
      <c r="BF28" s="687">
        <f>IF(O28="znížená",K28,0)</f>
        <v>0</v>
      </c>
      <c r="BG28" s="687">
        <f>IF(O28="zákl. prenesená",K28,0)</f>
        <v>0</v>
      </c>
      <c r="BH28" s="687">
        <f>IF(O28="zníž. prenesená",K28,0)</f>
        <v>0</v>
      </c>
      <c r="BI28" s="687">
        <f>IF(O28="nulová",K28,0)</f>
        <v>0</v>
      </c>
      <c r="BJ28" s="629" t="s">
        <v>795</v>
      </c>
      <c r="BK28" s="687">
        <f>ROUND(P28*H28,2)</f>
        <v>0</v>
      </c>
      <c r="BL28" s="629" t="s">
        <v>1065</v>
      </c>
      <c r="BM28" s="686" t="s">
        <v>1156</v>
      </c>
    </row>
    <row r="29" spans="1:65" s="756" customFormat="1" ht="11.25">
      <c r="B29" s="757"/>
      <c r="C29" s="758"/>
      <c r="D29" s="759" t="s">
        <v>1143</v>
      </c>
      <c r="E29" s="760" t="s">
        <v>1043</v>
      </c>
      <c r="F29" s="761" t="s">
        <v>1144</v>
      </c>
      <c r="G29" s="758"/>
      <c r="H29" s="760" t="s">
        <v>1043</v>
      </c>
      <c r="I29" s="758"/>
      <c r="J29" s="758"/>
      <c r="K29" s="758"/>
      <c r="L29" s="758"/>
      <c r="M29" s="762"/>
      <c r="N29" s="763"/>
      <c r="O29" s="764"/>
      <c r="P29" s="764"/>
      <c r="Q29" s="764"/>
      <c r="R29" s="764"/>
      <c r="S29" s="764"/>
      <c r="T29" s="764"/>
      <c r="U29" s="764"/>
      <c r="V29" s="764"/>
      <c r="W29" s="764"/>
      <c r="X29" s="765"/>
      <c r="AT29" s="766" t="s">
        <v>1143</v>
      </c>
      <c r="AU29" s="766" t="s">
        <v>795</v>
      </c>
      <c r="AV29" s="756" t="s">
        <v>791</v>
      </c>
      <c r="AW29" s="756" t="s">
        <v>1145</v>
      </c>
      <c r="AX29" s="756" t="s">
        <v>788</v>
      </c>
      <c r="AY29" s="766" t="s">
        <v>1063</v>
      </c>
    </row>
    <row r="30" spans="1:65" s="767" customFormat="1" ht="11.25">
      <c r="B30" s="768"/>
      <c r="C30" s="769"/>
      <c r="D30" s="759" t="s">
        <v>1143</v>
      </c>
      <c r="E30" s="770" t="s">
        <v>1043</v>
      </c>
      <c r="F30" s="771" t="s">
        <v>1157</v>
      </c>
      <c r="G30" s="769"/>
      <c r="H30" s="772">
        <v>2.8540000000000001</v>
      </c>
      <c r="I30" s="769"/>
      <c r="J30" s="769"/>
      <c r="K30" s="769"/>
      <c r="L30" s="769"/>
      <c r="M30" s="773"/>
      <c r="N30" s="774"/>
      <c r="O30" s="775"/>
      <c r="P30" s="775"/>
      <c r="Q30" s="775"/>
      <c r="R30" s="775"/>
      <c r="S30" s="775"/>
      <c r="T30" s="775"/>
      <c r="U30" s="775"/>
      <c r="V30" s="775"/>
      <c r="W30" s="775"/>
      <c r="X30" s="776"/>
      <c r="AT30" s="777" t="s">
        <v>1143</v>
      </c>
      <c r="AU30" s="777" t="s">
        <v>795</v>
      </c>
      <c r="AV30" s="767" t="s">
        <v>795</v>
      </c>
      <c r="AW30" s="767" t="s">
        <v>1145</v>
      </c>
      <c r="AX30" s="767" t="s">
        <v>788</v>
      </c>
      <c r="AY30" s="777" t="s">
        <v>1063</v>
      </c>
    </row>
    <row r="31" spans="1:65" s="767" customFormat="1" ht="11.25">
      <c r="B31" s="768"/>
      <c r="C31" s="769"/>
      <c r="D31" s="759" t="s">
        <v>1143</v>
      </c>
      <c r="E31" s="770" t="s">
        <v>1043</v>
      </c>
      <c r="F31" s="771" t="s">
        <v>1158</v>
      </c>
      <c r="G31" s="769"/>
      <c r="H31" s="772">
        <v>8.1180000000000003</v>
      </c>
      <c r="I31" s="769"/>
      <c r="J31" s="769"/>
      <c r="K31" s="769"/>
      <c r="L31" s="769"/>
      <c r="M31" s="773"/>
      <c r="N31" s="774"/>
      <c r="O31" s="775"/>
      <c r="P31" s="775"/>
      <c r="Q31" s="775"/>
      <c r="R31" s="775"/>
      <c r="S31" s="775"/>
      <c r="T31" s="775"/>
      <c r="U31" s="775"/>
      <c r="V31" s="775"/>
      <c r="W31" s="775"/>
      <c r="X31" s="776"/>
      <c r="AT31" s="777" t="s">
        <v>1143</v>
      </c>
      <c r="AU31" s="777" t="s">
        <v>795</v>
      </c>
      <c r="AV31" s="767" t="s">
        <v>795</v>
      </c>
      <c r="AW31" s="767" t="s">
        <v>1145</v>
      </c>
      <c r="AX31" s="767" t="s">
        <v>788</v>
      </c>
      <c r="AY31" s="777" t="s">
        <v>1063</v>
      </c>
    </row>
    <row r="32" spans="1:65" s="756" customFormat="1" ht="11.25">
      <c r="B32" s="757"/>
      <c r="C32" s="758"/>
      <c r="D32" s="759" t="s">
        <v>1143</v>
      </c>
      <c r="E32" s="760" t="s">
        <v>1043</v>
      </c>
      <c r="F32" s="761" t="s">
        <v>1148</v>
      </c>
      <c r="G32" s="758"/>
      <c r="H32" s="760" t="s">
        <v>1043</v>
      </c>
      <c r="I32" s="758"/>
      <c r="J32" s="758"/>
      <c r="K32" s="758"/>
      <c r="L32" s="758"/>
      <c r="M32" s="762"/>
      <c r="N32" s="763"/>
      <c r="O32" s="764"/>
      <c r="P32" s="764"/>
      <c r="Q32" s="764"/>
      <c r="R32" s="764"/>
      <c r="S32" s="764"/>
      <c r="T32" s="764"/>
      <c r="U32" s="764"/>
      <c r="V32" s="764"/>
      <c r="W32" s="764"/>
      <c r="X32" s="765"/>
      <c r="AT32" s="766" t="s">
        <v>1143</v>
      </c>
      <c r="AU32" s="766" t="s">
        <v>795</v>
      </c>
      <c r="AV32" s="756" t="s">
        <v>791</v>
      </c>
      <c r="AW32" s="756" t="s">
        <v>1145</v>
      </c>
      <c r="AX32" s="756" t="s">
        <v>788</v>
      </c>
      <c r="AY32" s="766" t="s">
        <v>1063</v>
      </c>
    </row>
    <row r="33" spans="1:65" s="767" customFormat="1" ht="11.25">
      <c r="B33" s="768"/>
      <c r="C33" s="769"/>
      <c r="D33" s="759" t="s">
        <v>1143</v>
      </c>
      <c r="E33" s="770" t="s">
        <v>1043</v>
      </c>
      <c r="F33" s="771" t="s">
        <v>1159</v>
      </c>
      <c r="G33" s="769"/>
      <c r="H33" s="772">
        <v>0.97499999999999998</v>
      </c>
      <c r="I33" s="769"/>
      <c r="J33" s="769"/>
      <c r="K33" s="769"/>
      <c r="L33" s="769"/>
      <c r="M33" s="773"/>
      <c r="N33" s="774"/>
      <c r="O33" s="775"/>
      <c r="P33" s="775"/>
      <c r="Q33" s="775"/>
      <c r="R33" s="775"/>
      <c r="S33" s="775"/>
      <c r="T33" s="775"/>
      <c r="U33" s="775"/>
      <c r="V33" s="775"/>
      <c r="W33" s="775"/>
      <c r="X33" s="776"/>
      <c r="AT33" s="777" t="s">
        <v>1143</v>
      </c>
      <c r="AU33" s="777" t="s">
        <v>795</v>
      </c>
      <c r="AV33" s="767" t="s">
        <v>795</v>
      </c>
      <c r="AW33" s="767" t="s">
        <v>1145</v>
      </c>
      <c r="AX33" s="767" t="s">
        <v>788</v>
      </c>
      <c r="AY33" s="777" t="s">
        <v>1063</v>
      </c>
    </row>
    <row r="34" spans="1:65" s="767" customFormat="1" ht="11.25">
      <c r="B34" s="768"/>
      <c r="C34" s="769"/>
      <c r="D34" s="759" t="s">
        <v>1143</v>
      </c>
      <c r="E34" s="770" t="s">
        <v>1043</v>
      </c>
      <c r="F34" s="771" t="s">
        <v>1160</v>
      </c>
      <c r="G34" s="769"/>
      <c r="H34" s="772">
        <v>1.3859999999999999</v>
      </c>
      <c r="I34" s="769"/>
      <c r="J34" s="769"/>
      <c r="K34" s="769"/>
      <c r="L34" s="769"/>
      <c r="M34" s="773"/>
      <c r="N34" s="774"/>
      <c r="O34" s="775"/>
      <c r="P34" s="775"/>
      <c r="Q34" s="775"/>
      <c r="R34" s="775"/>
      <c r="S34" s="775"/>
      <c r="T34" s="775"/>
      <c r="U34" s="775"/>
      <c r="V34" s="775"/>
      <c r="W34" s="775"/>
      <c r="X34" s="776"/>
      <c r="AT34" s="777" t="s">
        <v>1143</v>
      </c>
      <c r="AU34" s="777" t="s">
        <v>795</v>
      </c>
      <c r="AV34" s="767" t="s">
        <v>795</v>
      </c>
      <c r="AW34" s="767" t="s">
        <v>1145</v>
      </c>
      <c r="AX34" s="767" t="s">
        <v>788</v>
      </c>
      <c r="AY34" s="777" t="s">
        <v>1063</v>
      </c>
    </row>
    <row r="35" spans="1:65" s="756" customFormat="1" ht="11.25">
      <c r="B35" s="757"/>
      <c r="C35" s="758"/>
      <c r="D35" s="759" t="s">
        <v>1143</v>
      </c>
      <c r="E35" s="760" t="s">
        <v>1043</v>
      </c>
      <c r="F35" s="761" t="s">
        <v>1151</v>
      </c>
      <c r="G35" s="758"/>
      <c r="H35" s="760" t="s">
        <v>1043</v>
      </c>
      <c r="I35" s="758"/>
      <c r="J35" s="758"/>
      <c r="K35" s="758"/>
      <c r="L35" s="758"/>
      <c r="M35" s="762"/>
      <c r="N35" s="763"/>
      <c r="O35" s="764"/>
      <c r="P35" s="764"/>
      <c r="Q35" s="764"/>
      <c r="R35" s="764"/>
      <c r="S35" s="764"/>
      <c r="T35" s="764"/>
      <c r="U35" s="764"/>
      <c r="V35" s="764"/>
      <c r="W35" s="764"/>
      <c r="X35" s="765"/>
      <c r="AT35" s="766" t="s">
        <v>1143</v>
      </c>
      <c r="AU35" s="766" t="s">
        <v>795</v>
      </c>
      <c r="AV35" s="756" t="s">
        <v>791</v>
      </c>
      <c r="AW35" s="756" t="s">
        <v>1145</v>
      </c>
      <c r="AX35" s="756" t="s">
        <v>788</v>
      </c>
      <c r="AY35" s="766" t="s">
        <v>1063</v>
      </c>
    </row>
    <row r="36" spans="1:65" s="767" customFormat="1" ht="11.25">
      <c r="B36" s="768"/>
      <c r="C36" s="769"/>
      <c r="D36" s="759" t="s">
        <v>1143</v>
      </c>
      <c r="E36" s="770" t="s">
        <v>1043</v>
      </c>
      <c r="F36" s="771" t="s">
        <v>1161</v>
      </c>
      <c r="G36" s="769"/>
      <c r="H36" s="772">
        <v>2.8220000000000001</v>
      </c>
      <c r="I36" s="769"/>
      <c r="J36" s="769"/>
      <c r="K36" s="769"/>
      <c r="L36" s="769"/>
      <c r="M36" s="773"/>
      <c r="N36" s="774"/>
      <c r="O36" s="775"/>
      <c r="P36" s="775"/>
      <c r="Q36" s="775"/>
      <c r="R36" s="775"/>
      <c r="S36" s="775"/>
      <c r="T36" s="775"/>
      <c r="U36" s="775"/>
      <c r="V36" s="775"/>
      <c r="W36" s="775"/>
      <c r="X36" s="776"/>
      <c r="AT36" s="777" t="s">
        <v>1143</v>
      </c>
      <c r="AU36" s="777" t="s">
        <v>795</v>
      </c>
      <c r="AV36" s="767" t="s">
        <v>795</v>
      </c>
      <c r="AW36" s="767" t="s">
        <v>1145</v>
      </c>
      <c r="AX36" s="767" t="s">
        <v>788</v>
      </c>
      <c r="AY36" s="777" t="s">
        <v>1063</v>
      </c>
    </row>
    <row r="37" spans="1:65" s="778" customFormat="1" ht="11.25">
      <c r="B37" s="779"/>
      <c r="C37" s="780"/>
      <c r="D37" s="759" t="s">
        <v>1143</v>
      </c>
      <c r="E37" s="781" t="s">
        <v>1043</v>
      </c>
      <c r="F37" s="782" t="s">
        <v>1153</v>
      </c>
      <c r="G37" s="780"/>
      <c r="H37" s="783">
        <v>16.155000000000001</v>
      </c>
      <c r="I37" s="780"/>
      <c r="J37" s="780"/>
      <c r="K37" s="780"/>
      <c r="L37" s="780"/>
      <c r="M37" s="784"/>
      <c r="N37" s="785"/>
      <c r="O37" s="786"/>
      <c r="P37" s="786"/>
      <c r="Q37" s="786"/>
      <c r="R37" s="786"/>
      <c r="S37" s="786"/>
      <c r="T37" s="786"/>
      <c r="U37" s="786"/>
      <c r="V37" s="786"/>
      <c r="W37" s="786"/>
      <c r="X37" s="787"/>
      <c r="AT37" s="788" t="s">
        <v>1143</v>
      </c>
      <c r="AU37" s="788" t="s">
        <v>795</v>
      </c>
      <c r="AV37" s="778" t="s">
        <v>1065</v>
      </c>
      <c r="AW37" s="778" t="s">
        <v>1145</v>
      </c>
      <c r="AX37" s="778" t="s">
        <v>791</v>
      </c>
      <c r="AY37" s="788" t="s">
        <v>1063</v>
      </c>
    </row>
    <row r="38" spans="1:65" s="661" customFormat="1" ht="22.9" customHeight="1">
      <c r="B38" s="732"/>
      <c r="C38" s="733"/>
      <c r="D38" s="734" t="s">
        <v>491</v>
      </c>
      <c r="E38" s="742" t="s">
        <v>1065</v>
      </c>
      <c r="F38" s="742" t="s">
        <v>18</v>
      </c>
      <c r="G38" s="733"/>
      <c r="H38" s="733"/>
      <c r="I38" s="733"/>
      <c r="J38" s="733"/>
      <c r="K38" s="743">
        <f>BK38</f>
        <v>0</v>
      </c>
      <c r="L38" s="733"/>
      <c r="M38" s="662"/>
      <c r="N38" s="737"/>
      <c r="O38" s="738"/>
      <c r="P38" s="738"/>
      <c r="Q38" s="739">
        <f>SUM(Q39:Q54)</f>
        <v>0</v>
      </c>
      <c r="R38" s="739">
        <f>SUM(R39:R54)</f>
        <v>0</v>
      </c>
      <c r="S38" s="738"/>
      <c r="T38" s="740">
        <f>SUM(T39:T54)</f>
        <v>5.17713</v>
      </c>
      <c r="U38" s="738"/>
      <c r="V38" s="740">
        <f>SUM(V39:V54)</f>
        <v>14.7121909</v>
      </c>
      <c r="W38" s="738"/>
      <c r="X38" s="741">
        <f>SUM(X39:X54)</f>
        <v>0</v>
      </c>
      <c r="AR38" s="663" t="s">
        <v>791</v>
      </c>
      <c r="AT38" s="670" t="s">
        <v>491</v>
      </c>
      <c r="AU38" s="670" t="s">
        <v>791</v>
      </c>
      <c r="AY38" s="663" t="s">
        <v>1063</v>
      </c>
      <c r="BK38" s="671">
        <f>SUM(BK39:BK54)</f>
        <v>0</v>
      </c>
    </row>
    <row r="39" spans="1:65" s="634" customFormat="1" ht="33" customHeight="1">
      <c r="A39" s="705"/>
      <c r="B39" s="706"/>
      <c r="C39" s="744" t="s">
        <v>987</v>
      </c>
      <c r="D39" s="744" t="s">
        <v>29</v>
      </c>
      <c r="E39" s="745" t="s">
        <v>1162</v>
      </c>
      <c r="F39" s="746" t="s">
        <v>1163</v>
      </c>
      <c r="G39" s="747" t="s">
        <v>12</v>
      </c>
      <c r="H39" s="748">
        <v>4.1550000000000002</v>
      </c>
      <c r="I39" s="749"/>
      <c r="J39" s="749"/>
      <c r="K39" s="749">
        <f>ROUND(P39*H39,2)</f>
        <v>0</v>
      </c>
      <c r="L39" s="750"/>
      <c r="M39" s="631"/>
      <c r="N39" s="751" t="s">
        <v>1043</v>
      </c>
      <c r="O39" s="752" t="s">
        <v>1129</v>
      </c>
      <c r="P39" s="753">
        <f>I39+J39</f>
        <v>0</v>
      </c>
      <c r="Q39" s="753">
        <f>ROUND(I39*H39,2)</f>
        <v>0</v>
      </c>
      <c r="R39" s="753">
        <f>ROUND(J39*H39,2)</f>
        <v>0</v>
      </c>
      <c r="S39" s="754">
        <v>1.246</v>
      </c>
      <c r="T39" s="754">
        <f>S39*H39</f>
        <v>5.17713</v>
      </c>
      <c r="U39" s="754">
        <v>1.8907799999999999</v>
      </c>
      <c r="V39" s="754">
        <f>U39*H39</f>
        <v>7.8561908999999996</v>
      </c>
      <c r="W39" s="754">
        <v>0</v>
      </c>
      <c r="X39" s="755">
        <f>W39*H39</f>
        <v>0</v>
      </c>
      <c r="Y39" s="705"/>
      <c r="Z39" s="705"/>
      <c r="AA39" s="705"/>
      <c r="AB39" s="705"/>
      <c r="AC39" s="705"/>
      <c r="AD39" s="705"/>
      <c r="AE39" s="705"/>
      <c r="AR39" s="686" t="s">
        <v>1065</v>
      </c>
      <c r="AT39" s="686" t="s">
        <v>29</v>
      </c>
      <c r="AU39" s="686" t="s">
        <v>795</v>
      </c>
      <c r="AY39" s="629" t="s">
        <v>1063</v>
      </c>
      <c r="BE39" s="687">
        <f>IF(O39="základná",K39,0)</f>
        <v>0</v>
      </c>
      <c r="BF39" s="687">
        <f>IF(O39="znížená",K39,0)</f>
        <v>0</v>
      </c>
      <c r="BG39" s="687">
        <f>IF(O39="zákl. prenesená",K39,0)</f>
        <v>0</v>
      </c>
      <c r="BH39" s="687">
        <f>IF(O39="zníž. prenesená",K39,0)</f>
        <v>0</v>
      </c>
      <c r="BI39" s="687">
        <f>IF(O39="nulová",K39,0)</f>
        <v>0</v>
      </c>
      <c r="BJ39" s="629" t="s">
        <v>795</v>
      </c>
      <c r="BK39" s="687">
        <f>ROUND(P39*H39,2)</f>
        <v>0</v>
      </c>
      <c r="BL39" s="629" t="s">
        <v>1065</v>
      </c>
      <c r="BM39" s="686" t="s">
        <v>1164</v>
      </c>
    </row>
    <row r="40" spans="1:65" s="756" customFormat="1" ht="11.25">
      <c r="B40" s="757"/>
      <c r="C40" s="758"/>
      <c r="D40" s="759" t="s">
        <v>1143</v>
      </c>
      <c r="E40" s="760" t="s">
        <v>1043</v>
      </c>
      <c r="F40" s="761" t="s">
        <v>1144</v>
      </c>
      <c r="G40" s="758"/>
      <c r="H40" s="760" t="s">
        <v>1043</v>
      </c>
      <c r="I40" s="758"/>
      <c r="J40" s="758"/>
      <c r="K40" s="758"/>
      <c r="L40" s="758"/>
      <c r="M40" s="762"/>
      <c r="N40" s="763"/>
      <c r="O40" s="764"/>
      <c r="P40" s="764"/>
      <c r="Q40" s="764"/>
      <c r="R40" s="764"/>
      <c r="S40" s="764"/>
      <c r="T40" s="764"/>
      <c r="U40" s="764"/>
      <c r="V40" s="764"/>
      <c r="W40" s="764"/>
      <c r="X40" s="765"/>
      <c r="AT40" s="766" t="s">
        <v>1143</v>
      </c>
      <c r="AU40" s="766" t="s">
        <v>795</v>
      </c>
      <c r="AV40" s="756" t="s">
        <v>791</v>
      </c>
      <c r="AW40" s="756" t="s">
        <v>1145</v>
      </c>
      <c r="AX40" s="756" t="s">
        <v>788</v>
      </c>
      <c r="AY40" s="766" t="s">
        <v>1063</v>
      </c>
    </row>
    <row r="41" spans="1:65" s="767" customFormat="1" ht="11.25">
      <c r="B41" s="768"/>
      <c r="C41" s="769"/>
      <c r="D41" s="759" t="s">
        <v>1143</v>
      </c>
      <c r="E41" s="770" t="s">
        <v>1043</v>
      </c>
      <c r="F41" s="771" t="s">
        <v>1165</v>
      </c>
      <c r="G41" s="769"/>
      <c r="H41" s="772">
        <v>2.46</v>
      </c>
      <c r="I41" s="769"/>
      <c r="J41" s="769"/>
      <c r="K41" s="769"/>
      <c r="L41" s="769"/>
      <c r="M41" s="773"/>
      <c r="N41" s="774"/>
      <c r="O41" s="775"/>
      <c r="P41" s="775"/>
      <c r="Q41" s="775"/>
      <c r="R41" s="775"/>
      <c r="S41" s="775"/>
      <c r="T41" s="775"/>
      <c r="U41" s="775"/>
      <c r="V41" s="775"/>
      <c r="W41" s="775"/>
      <c r="X41" s="776"/>
      <c r="AT41" s="777" t="s">
        <v>1143</v>
      </c>
      <c r="AU41" s="777" t="s">
        <v>795</v>
      </c>
      <c r="AV41" s="767" t="s">
        <v>795</v>
      </c>
      <c r="AW41" s="767" t="s">
        <v>1145</v>
      </c>
      <c r="AX41" s="767" t="s">
        <v>788</v>
      </c>
      <c r="AY41" s="777" t="s">
        <v>1063</v>
      </c>
    </row>
    <row r="42" spans="1:65" s="756" customFormat="1" ht="11.25">
      <c r="B42" s="757"/>
      <c r="C42" s="758"/>
      <c r="D42" s="759" t="s">
        <v>1143</v>
      </c>
      <c r="E42" s="760" t="s">
        <v>1043</v>
      </c>
      <c r="F42" s="761" t="s">
        <v>1148</v>
      </c>
      <c r="G42" s="758"/>
      <c r="H42" s="760" t="s">
        <v>1043</v>
      </c>
      <c r="I42" s="758"/>
      <c r="J42" s="758"/>
      <c r="K42" s="758"/>
      <c r="L42" s="758"/>
      <c r="M42" s="762"/>
      <c r="N42" s="763"/>
      <c r="O42" s="764"/>
      <c r="P42" s="764"/>
      <c r="Q42" s="764"/>
      <c r="R42" s="764"/>
      <c r="S42" s="764"/>
      <c r="T42" s="764"/>
      <c r="U42" s="764"/>
      <c r="V42" s="764"/>
      <c r="W42" s="764"/>
      <c r="X42" s="765"/>
      <c r="AT42" s="766" t="s">
        <v>1143</v>
      </c>
      <c r="AU42" s="766" t="s">
        <v>795</v>
      </c>
      <c r="AV42" s="756" t="s">
        <v>791</v>
      </c>
      <c r="AW42" s="756" t="s">
        <v>1145</v>
      </c>
      <c r="AX42" s="756" t="s">
        <v>788</v>
      </c>
      <c r="AY42" s="766" t="s">
        <v>1063</v>
      </c>
    </row>
    <row r="43" spans="1:65" s="767" customFormat="1" ht="11.25">
      <c r="B43" s="768"/>
      <c r="C43" s="769"/>
      <c r="D43" s="759" t="s">
        <v>1143</v>
      </c>
      <c r="E43" s="770" t="s">
        <v>1043</v>
      </c>
      <c r="F43" s="771" t="s">
        <v>1150</v>
      </c>
      <c r="G43" s="769"/>
      <c r="H43" s="772">
        <v>0.84</v>
      </c>
      <c r="I43" s="769"/>
      <c r="J43" s="769"/>
      <c r="K43" s="769"/>
      <c r="L43" s="769"/>
      <c r="M43" s="773"/>
      <c r="N43" s="774"/>
      <c r="O43" s="775"/>
      <c r="P43" s="775"/>
      <c r="Q43" s="775"/>
      <c r="R43" s="775"/>
      <c r="S43" s="775"/>
      <c r="T43" s="775"/>
      <c r="U43" s="775"/>
      <c r="V43" s="775"/>
      <c r="W43" s="775"/>
      <c r="X43" s="776"/>
      <c r="AT43" s="777" t="s">
        <v>1143</v>
      </c>
      <c r="AU43" s="777" t="s">
        <v>795</v>
      </c>
      <c r="AV43" s="767" t="s">
        <v>795</v>
      </c>
      <c r="AW43" s="767" t="s">
        <v>1145</v>
      </c>
      <c r="AX43" s="767" t="s">
        <v>788</v>
      </c>
      <c r="AY43" s="777" t="s">
        <v>1063</v>
      </c>
    </row>
    <row r="44" spans="1:65" s="756" customFormat="1" ht="11.25">
      <c r="B44" s="757"/>
      <c r="C44" s="758"/>
      <c r="D44" s="759" t="s">
        <v>1143</v>
      </c>
      <c r="E44" s="760" t="s">
        <v>1043</v>
      </c>
      <c r="F44" s="761" t="s">
        <v>1151</v>
      </c>
      <c r="G44" s="758"/>
      <c r="H44" s="760" t="s">
        <v>1043</v>
      </c>
      <c r="I44" s="758"/>
      <c r="J44" s="758"/>
      <c r="K44" s="758"/>
      <c r="L44" s="758"/>
      <c r="M44" s="762"/>
      <c r="N44" s="763"/>
      <c r="O44" s="764"/>
      <c r="P44" s="764"/>
      <c r="Q44" s="764"/>
      <c r="R44" s="764"/>
      <c r="S44" s="764"/>
      <c r="T44" s="764"/>
      <c r="U44" s="764"/>
      <c r="V44" s="764"/>
      <c r="W44" s="764"/>
      <c r="X44" s="765"/>
      <c r="AT44" s="766" t="s">
        <v>1143</v>
      </c>
      <c r="AU44" s="766" t="s">
        <v>795</v>
      </c>
      <c r="AV44" s="756" t="s">
        <v>791</v>
      </c>
      <c r="AW44" s="756" t="s">
        <v>1145</v>
      </c>
      <c r="AX44" s="756" t="s">
        <v>788</v>
      </c>
      <c r="AY44" s="766" t="s">
        <v>1063</v>
      </c>
    </row>
    <row r="45" spans="1:65" s="767" customFormat="1" ht="11.25">
      <c r="B45" s="768"/>
      <c r="C45" s="769"/>
      <c r="D45" s="759" t="s">
        <v>1143</v>
      </c>
      <c r="E45" s="770" t="s">
        <v>1043</v>
      </c>
      <c r="F45" s="771" t="s">
        <v>1166</v>
      </c>
      <c r="G45" s="769"/>
      <c r="H45" s="772">
        <v>0.85499999999999998</v>
      </c>
      <c r="I45" s="769"/>
      <c r="J45" s="769"/>
      <c r="K45" s="769"/>
      <c r="L45" s="769"/>
      <c r="M45" s="773"/>
      <c r="N45" s="774"/>
      <c r="O45" s="775"/>
      <c r="P45" s="775"/>
      <c r="Q45" s="775"/>
      <c r="R45" s="775"/>
      <c r="S45" s="775"/>
      <c r="T45" s="775"/>
      <c r="U45" s="775"/>
      <c r="V45" s="775"/>
      <c r="W45" s="775"/>
      <c r="X45" s="776"/>
      <c r="AT45" s="777" t="s">
        <v>1143</v>
      </c>
      <c r="AU45" s="777" t="s">
        <v>795</v>
      </c>
      <c r="AV45" s="767" t="s">
        <v>795</v>
      </c>
      <c r="AW45" s="767" t="s">
        <v>1145</v>
      </c>
      <c r="AX45" s="767" t="s">
        <v>788</v>
      </c>
      <c r="AY45" s="777" t="s">
        <v>1063</v>
      </c>
    </row>
    <row r="46" spans="1:65" s="778" customFormat="1" ht="11.25">
      <c r="B46" s="779"/>
      <c r="C46" s="780"/>
      <c r="D46" s="759" t="s">
        <v>1143</v>
      </c>
      <c r="E46" s="781" t="s">
        <v>1043</v>
      </c>
      <c r="F46" s="782" t="s">
        <v>1153</v>
      </c>
      <c r="G46" s="780"/>
      <c r="H46" s="783">
        <v>4.1549999999999994</v>
      </c>
      <c r="I46" s="780"/>
      <c r="J46" s="780"/>
      <c r="K46" s="780"/>
      <c r="L46" s="780"/>
      <c r="M46" s="784"/>
      <c r="N46" s="785"/>
      <c r="O46" s="786"/>
      <c r="P46" s="786"/>
      <c r="Q46" s="786"/>
      <c r="R46" s="786"/>
      <c r="S46" s="786"/>
      <c r="T46" s="786"/>
      <c r="U46" s="786"/>
      <c r="V46" s="786"/>
      <c r="W46" s="786"/>
      <c r="X46" s="787"/>
      <c r="AT46" s="788" t="s">
        <v>1143</v>
      </c>
      <c r="AU46" s="788" t="s">
        <v>795</v>
      </c>
      <c r="AV46" s="778" t="s">
        <v>1065</v>
      </c>
      <c r="AW46" s="778" t="s">
        <v>1145</v>
      </c>
      <c r="AX46" s="778" t="s">
        <v>791</v>
      </c>
      <c r="AY46" s="788" t="s">
        <v>1063</v>
      </c>
    </row>
    <row r="47" spans="1:65" s="634" customFormat="1" ht="16.5" customHeight="1">
      <c r="A47" s="705"/>
      <c r="B47" s="706"/>
      <c r="C47" s="789" t="s">
        <v>1065</v>
      </c>
      <c r="D47" s="789" t="s">
        <v>83</v>
      </c>
      <c r="E47" s="790" t="s">
        <v>1154</v>
      </c>
      <c r="F47" s="791" t="s">
        <v>1155</v>
      </c>
      <c r="G47" s="792" t="s">
        <v>15</v>
      </c>
      <c r="H47" s="793">
        <v>6.8559999999999999</v>
      </c>
      <c r="I47" s="794"/>
      <c r="J47" s="795"/>
      <c r="K47" s="794">
        <f>ROUND(P47*H47,2)</f>
        <v>0</v>
      </c>
      <c r="L47" s="795"/>
      <c r="M47" s="701"/>
      <c r="N47" s="796" t="s">
        <v>1043</v>
      </c>
      <c r="O47" s="752" t="s">
        <v>1129</v>
      </c>
      <c r="P47" s="753">
        <f>I47+J47</f>
        <v>0</v>
      </c>
      <c r="Q47" s="753">
        <f>ROUND(I47*H47,2)</f>
        <v>0</v>
      </c>
      <c r="R47" s="753">
        <f>ROUND(J47*H47,2)</f>
        <v>0</v>
      </c>
      <c r="S47" s="754">
        <v>0</v>
      </c>
      <c r="T47" s="754">
        <f>S47*H47</f>
        <v>0</v>
      </c>
      <c r="U47" s="754">
        <v>1</v>
      </c>
      <c r="V47" s="754">
        <f>U47*H47</f>
        <v>6.8559999999999999</v>
      </c>
      <c r="W47" s="754">
        <v>0</v>
      </c>
      <c r="X47" s="755">
        <f>W47*H47</f>
        <v>0</v>
      </c>
      <c r="Y47" s="705"/>
      <c r="Z47" s="705"/>
      <c r="AA47" s="705"/>
      <c r="AB47" s="705"/>
      <c r="AC47" s="705"/>
      <c r="AD47" s="705"/>
      <c r="AE47" s="705"/>
      <c r="AR47" s="686" t="s">
        <v>1071</v>
      </c>
      <c r="AT47" s="686" t="s">
        <v>83</v>
      </c>
      <c r="AU47" s="686" t="s">
        <v>795</v>
      </c>
      <c r="AY47" s="629" t="s">
        <v>1063</v>
      </c>
      <c r="BE47" s="687">
        <f>IF(O47="základná",K47,0)</f>
        <v>0</v>
      </c>
      <c r="BF47" s="687">
        <f>IF(O47="znížená",K47,0)</f>
        <v>0</v>
      </c>
      <c r="BG47" s="687">
        <f>IF(O47="zákl. prenesená",K47,0)</f>
        <v>0</v>
      </c>
      <c r="BH47" s="687">
        <f>IF(O47="zníž. prenesená",K47,0)</f>
        <v>0</v>
      </c>
      <c r="BI47" s="687">
        <f>IF(O47="nulová",K47,0)</f>
        <v>0</v>
      </c>
      <c r="BJ47" s="629" t="s">
        <v>795</v>
      </c>
      <c r="BK47" s="687">
        <f>ROUND(P47*H47,2)</f>
        <v>0</v>
      </c>
      <c r="BL47" s="629" t="s">
        <v>1065</v>
      </c>
      <c r="BM47" s="686" t="s">
        <v>1167</v>
      </c>
    </row>
    <row r="48" spans="1:65" s="756" customFormat="1" ht="11.25">
      <c r="B48" s="757"/>
      <c r="C48" s="758"/>
      <c r="D48" s="759" t="s">
        <v>1143</v>
      </c>
      <c r="E48" s="760" t="s">
        <v>1043</v>
      </c>
      <c r="F48" s="761" t="s">
        <v>1144</v>
      </c>
      <c r="G48" s="758"/>
      <c r="H48" s="760" t="s">
        <v>1043</v>
      </c>
      <c r="I48" s="758"/>
      <c r="J48" s="758"/>
      <c r="K48" s="758"/>
      <c r="L48" s="758"/>
      <c r="M48" s="762"/>
      <c r="N48" s="763"/>
      <c r="O48" s="764"/>
      <c r="P48" s="764"/>
      <c r="Q48" s="764"/>
      <c r="R48" s="764"/>
      <c r="S48" s="764"/>
      <c r="T48" s="764"/>
      <c r="U48" s="764"/>
      <c r="V48" s="764"/>
      <c r="W48" s="764"/>
      <c r="X48" s="765"/>
      <c r="AT48" s="766" t="s">
        <v>1143</v>
      </c>
      <c r="AU48" s="766" t="s">
        <v>795</v>
      </c>
      <c r="AV48" s="756" t="s">
        <v>791</v>
      </c>
      <c r="AW48" s="756" t="s">
        <v>1145</v>
      </c>
      <c r="AX48" s="756" t="s">
        <v>788</v>
      </c>
      <c r="AY48" s="766" t="s">
        <v>1063</v>
      </c>
    </row>
    <row r="49" spans="1:65" s="767" customFormat="1" ht="11.25">
      <c r="B49" s="768"/>
      <c r="C49" s="769"/>
      <c r="D49" s="759" t="s">
        <v>1143</v>
      </c>
      <c r="E49" s="770" t="s">
        <v>1043</v>
      </c>
      <c r="F49" s="771" t="s">
        <v>1168</v>
      </c>
      <c r="G49" s="769"/>
      <c r="H49" s="772">
        <v>4.0590000000000002</v>
      </c>
      <c r="I49" s="769"/>
      <c r="J49" s="769"/>
      <c r="K49" s="769"/>
      <c r="L49" s="769"/>
      <c r="M49" s="773"/>
      <c r="N49" s="774"/>
      <c r="O49" s="775"/>
      <c r="P49" s="775"/>
      <c r="Q49" s="775"/>
      <c r="R49" s="775"/>
      <c r="S49" s="775"/>
      <c r="T49" s="775"/>
      <c r="U49" s="775"/>
      <c r="V49" s="775"/>
      <c r="W49" s="775"/>
      <c r="X49" s="776"/>
      <c r="AT49" s="777" t="s">
        <v>1143</v>
      </c>
      <c r="AU49" s="777" t="s">
        <v>795</v>
      </c>
      <c r="AV49" s="767" t="s">
        <v>795</v>
      </c>
      <c r="AW49" s="767" t="s">
        <v>1145</v>
      </c>
      <c r="AX49" s="767" t="s">
        <v>788</v>
      </c>
      <c r="AY49" s="777" t="s">
        <v>1063</v>
      </c>
    </row>
    <row r="50" spans="1:65" s="756" customFormat="1" ht="11.25">
      <c r="B50" s="757"/>
      <c r="C50" s="758"/>
      <c r="D50" s="759" t="s">
        <v>1143</v>
      </c>
      <c r="E50" s="760" t="s">
        <v>1043</v>
      </c>
      <c r="F50" s="761" t="s">
        <v>1148</v>
      </c>
      <c r="G50" s="758"/>
      <c r="H50" s="760" t="s">
        <v>1043</v>
      </c>
      <c r="I50" s="758"/>
      <c r="J50" s="758"/>
      <c r="K50" s="758"/>
      <c r="L50" s="758"/>
      <c r="M50" s="762"/>
      <c r="N50" s="763"/>
      <c r="O50" s="764"/>
      <c r="P50" s="764"/>
      <c r="Q50" s="764"/>
      <c r="R50" s="764"/>
      <c r="S50" s="764"/>
      <c r="T50" s="764"/>
      <c r="U50" s="764"/>
      <c r="V50" s="764"/>
      <c r="W50" s="764"/>
      <c r="X50" s="765"/>
      <c r="AT50" s="766" t="s">
        <v>1143</v>
      </c>
      <c r="AU50" s="766" t="s">
        <v>795</v>
      </c>
      <c r="AV50" s="756" t="s">
        <v>791</v>
      </c>
      <c r="AW50" s="756" t="s">
        <v>1145</v>
      </c>
      <c r="AX50" s="756" t="s">
        <v>788</v>
      </c>
      <c r="AY50" s="766" t="s">
        <v>1063</v>
      </c>
    </row>
    <row r="51" spans="1:65" s="767" customFormat="1" ht="11.25">
      <c r="B51" s="768"/>
      <c r="C51" s="769"/>
      <c r="D51" s="759" t="s">
        <v>1143</v>
      </c>
      <c r="E51" s="770" t="s">
        <v>1043</v>
      </c>
      <c r="F51" s="771" t="s">
        <v>1160</v>
      </c>
      <c r="G51" s="769"/>
      <c r="H51" s="772">
        <v>1.3859999999999999</v>
      </c>
      <c r="I51" s="769"/>
      <c r="J51" s="769"/>
      <c r="K51" s="769"/>
      <c r="L51" s="769"/>
      <c r="M51" s="773"/>
      <c r="N51" s="774"/>
      <c r="O51" s="775"/>
      <c r="P51" s="775"/>
      <c r="Q51" s="775"/>
      <c r="R51" s="775"/>
      <c r="S51" s="775"/>
      <c r="T51" s="775"/>
      <c r="U51" s="775"/>
      <c r="V51" s="775"/>
      <c r="W51" s="775"/>
      <c r="X51" s="776"/>
      <c r="AT51" s="777" t="s">
        <v>1143</v>
      </c>
      <c r="AU51" s="777" t="s">
        <v>795</v>
      </c>
      <c r="AV51" s="767" t="s">
        <v>795</v>
      </c>
      <c r="AW51" s="767" t="s">
        <v>1145</v>
      </c>
      <c r="AX51" s="767" t="s">
        <v>788</v>
      </c>
      <c r="AY51" s="777" t="s">
        <v>1063</v>
      </c>
    </row>
    <row r="52" spans="1:65" s="756" customFormat="1" ht="11.25">
      <c r="B52" s="757"/>
      <c r="C52" s="758"/>
      <c r="D52" s="759" t="s">
        <v>1143</v>
      </c>
      <c r="E52" s="760" t="s">
        <v>1043</v>
      </c>
      <c r="F52" s="761" t="s">
        <v>1151</v>
      </c>
      <c r="G52" s="758"/>
      <c r="H52" s="760" t="s">
        <v>1043</v>
      </c>
      <c r="I52" s="758"/>
      <c r="J52" s="758"/>
      <c r="K52" s="758"/>
      <c r="L52" s="758"/>
      <c r="M52" s="762"/>
      <c r="N52" s="763"/>
      <c r="O52" s="764"/>
      <c r="P52" s="764"/>
      <c r="Q52" s="764"/>
      <c r="R52" s="764"/>
      <c r="S52" s="764"/>
      <c r="T52" s="764"/>
      <c r="U52" s="764"/>
      <c r="V52" s="764"/>
      <c r="W52" s="764"/>
      <c r="X52" s="765"/>
      <c r="AT52" s="766" t="s">
        <v>1143</v>
      </c>
      <c r="AU52" s="766" t="s">
        <v>795</v>
      </c>
      <c r="AV52" s="756" t="s">
        <v>791</v>
      </c>
      <c r="AW52" s="756" t="s">
        <v>1145</v>
      </c>
      <c r="AX52" s="756" t="s">
        <v>788</v>
      </c>
      <c r="AY52" s="766" t="s">
        <v>1063</v>
      </c>
    </row>
    <row r="53" spans="1:65" s="767" customFormat="1" ht="11.25">
      <c r="B53" s="768"/>
      <c r="C53" s="769"/>
      <c r="D53" s="759" t="s">
        <v>1143</v>
      </c>
      <c r="E53" s="770" t="s">
        <v>1043</v>
      </c>
      <c r="F53" s="771" t="s">
        <v>1169</v>
      </c>
      <c r="G53" s="769"/>
      <c r="H53" s="772">
        <v>1.411</v>
      </c>
      <c r="I53" s="769"/>
      <c r="J53" s="769"/>
      <c r="K53" s="769"/>
      <c r="L53" s="769"/>
      <c r="M53" s="773"/>
      <c r="N53" s="774"/>
      <c r="O53" s="775"/>
      <c r="P53" s="775"/>
      <c r="Q53" s="775"/>
      <c r="R53" s="775"/>
      <c r="S53" s="775"/>
      <c r="T53" s="775"/>
      <c r="U53" s="775"/>
      <c r="V53" s="775"/>
      <c r="W53" s="775"/>
      <c r="X53" s="776"/>
      <c r="AT53" s="777" t="s">
        <v>1143</v>
      </c>
      <c r="AU53" s="777" t="s">
        <v>795</v>
      </c>
      <c r="AV53" s="767" t="s">
        <v>795</v>
      </c>
      <c r="AW53" s="767" t="s">
        <v>1145</v>
      </c>
      <c r="AX53" s="767" t="s">
        <v>788</v>
      </c>
      <c r="AY53" s="777" t="s">
        <v>1063</v>
      </c>
    </row>
    <row r="54" spans="1:65" s="778" customFormat="1" ht="11.25">
      <c r="B54" s="779"/>
      <c r="C54" s="780"/>
      <c r="D54" s="759" t="s">
        <v>1143</v>
      </c>
      <c r="E54" s="781" t="s">
        <v>1043</v>
      </c>
      <c r="F54" s="782" t="s">
        <v>1153</v>
      </c>
      <c r="G54" s="780"/>
      <c r="H54" s="783">
        <v>6.8559999999999999</v>
      </c>
      <c r="I54" s="780"/>
      <c r="J54" s="780"/>
      <c r="K54" s="780"/>
      <c r="L54" s="780"/>
      <c r="M54" s="784"/>
      <c r="N54" s="785"/>
      <c r="O54" s="786"/>
      <c r="P54" s="786"/>
      <c r="Q54" s="786"/>
      <c r="R54" s="786"/>
      <c r="S54" s="786"/>
      <c r="T54" s="786"/>
      <c r="U54" s="786"/>
      <c r="V54" s="786"/>
      <c r="W54" s="786"/>
      <c r="X54" s="787"/>
      <c r="AT54" s="788" t="s">
        <v>1143</v>
      </c>
      <c r="AU54" s="788" t="s">
        <v>795</v>
      </c>
      <c r="AV54" s="778" t="s">
        <v>1065</v>
      </c>
      <c r="AW54" s="778" t="s">
        <v>1145</v>
      </c>
      <c r="AX54" s="778" t="s">
        <v>791</v>
      </c>
      <c r="AY54" s="788" t="s">
        <v>1063</v>
      </c>
    </row>
    <row r="55" spans="1:65" s="661" customFormat="1" ht="22.9" customHeight="1">
      <c r="B55" s="732"/>
      <c r="C55" s="733"/>
      <c r="D55" s="734" t="s">
        <v>491</v>
      </c>
      <c r="E55" s="742" t="s">
        <v>1071</v>
      </c>
      <c r="F55" s="742" t="s">
        <v>1170</v>
      </c>
      <c r="G55" s="733"/>
      <c r="H55" s="733"/>
      <c r="I55" s="733"/>
      <c r="J55" s="733"/>
      <c r="K55" s="743">
        <f>BK55</f>
        <v>0</v>
      </c>
      <c r="L55" s="733"/>
      <c r="M55" s="662"/>
      <c r="N55" s="737"/>
      <c r="O55" s="738"/>
      <c r="P55" s="738"/>
      <c r="Q55" s="739">
        <f>SUM(Q56:Q63)</f>
        <v>0</v>
      </c>
      <c r="R55" s="739">
        <f>SUM(R56:R63)</f>
        <v>0</v>
      </c>
      <c r="S55" s="738"/>
      <c r="T55" s="740">
        <f>SUM(T56:T63)</f>
        <v>0.3</v>
      </c>
      <c r="U55" s="738"/>
      <c r="V55" s="740">
        <f>SUM(V56:V63)</f>
        <v>4.3E-3</v>
      </c>
      <c r="W55" s="738"/>
      <c r="X55" s="741">
        <f>SUM(X56:X63)</f>
        <v>0</v>
      </c>
      <c r="AR55" s="663" t="s">
        <v>791</v>
      </c>
      <c r="AT55" s="670" t="s">
        <v>491</v>
      </c>
      <c r="AU55" s="670" t="s">
        <v>791</v>
      </c>
      <c r="AY55" s="663" t="s">
        <v>1063</v>
      </c>
      <c r="BK55" s="671">
        <f>SUM(BK56:BK63)</f>
        <v>0</v>
      </c>
    </row>
    <row r="56" spans="1:65" s="634" customFormat="1" ht="33" customHeight="1">
      <c r="A56" s="705"/>
      <c r="B56" s="706"/>
      <c r="C56" s="744" t="s">
        <v>1074</v>
      </c>
      <c r="D56" s="744" t="s">
        <v>29</v>
      </c>
      <c r="E56" s="745" t="s">
        <v>1171</v>
      </c>
      <c r="F56" s="746" t="s">
        <v>1172</v>
      </c>
      <c r="G56" s="747" t="s">
        <v>14</v>
      </c>
      <c r="H56" s="748">
        <v>10</v>
      </c>
      <c r="I56" s="749"/>
      <c r="J56" s="749"/>
      <c r="K56" s="749">
        <f>ROUND(P56*H56,2)</f>
        <v>0</v>
      </c>
      <c r="L56" s="750"/>
      <c r="M56" s="631"/>
      <c r="N56" s="751" t="s">
        <v>1043</v>
      </c>
      <c r="O56" s="752" t="s">
        <v>1129</v>
      </c>
      <c r="P56" s="753">
        <f>I56+J56</f>
        <v>0</v>
      </c>
      <c r="Q56" s="753">
        <f>ROUND(I56*H56,2)</f>
        <v>0</v>
      </c>
      <c r="R56" s="753">
        <f>ROUND(J56*H56,2)</f>
        <v>0</v>
      </c>
      <c r="S56" s="754">
        <v>0.03</v>
      </c>
      <c r="T56" s="754">
        <f>S56*H56</f>
        <v>0.3</v>
      </c>
      <c r="U56" s="754">
        <v>0</v>
      </c>
      <c r="V56" s="754">
        <f>U56*H56</f>
        <v>0</v>
      </c>
      <c r="W56" s="754">
        <v>0</v>
      </c>
      <c r="X56" s="755">
        <f>W56*H56</f>
        <v>0</v>
      </c>
      <c r="Y56" s="705"/>
      <c r="Z56" s="705"/>
      <c r="AA56" s="705"/>
      <c r="AB56" s="705"/>
      <c r="AC56" s="705"/>
      <c r="AD56" s="705"/>
      <c r="AE56" s="705"/>
      <c r="AR56" s="686" t="s">
        <v>1065</v>
      </c>
      <c r="AT56" s="686" t="s">
        <v>29</v>
      </c>
      <c r="AU56" s="686" t="s">
        <v>795</v>
      </c>
      <c r="AY56" s="629" t="s">
        <v>1063</v>
      </c>
      <c r="BE56" s="687">
        <f>IF(O56="základná",K56,0)</f>
        <v>0</v>
      </c>
      <c r="BF56" s="687">
        <f>IF(O56="znížená",K56,0)</f>
        <v>0</v>
      </c>
      <c r="BG56" s="687">
        <f>IF(O56="zákl. prenesená",K56,0)</f>
        <v>0</v>
      </c>
      <c r="BH56" s="687">
        <f>IF(O56="zníž. prenesená",K56,0)</f>
        <v>0</v>
      </c>
      <c r="BI56" s="687">
        <f>IF(O56="nulová",K56,0)</f>
        <v>0</v>
      </c>
      <c r="BJ56" s="629" t="s">
        <v>795</v>
      </c>
      <c r="BK56" s="687">
        <f>ROUND(P56*H56,2)</f>
        <v>0</v>
      </c>
      <c r="BL56" s="629" t="s">
        <v>1065</v>
      </c>
      <c r="BM56" s="686" t="s">
        <v>1173</v>
      </c>
    </row>
    <row r="57" spans="1:65" s="756" customFormat="1" ht="22.5">
      <c r="B57" s="757"/>
      <c r="C57" s="758"/>
      <c r="D57" s="759" t="s">
        <v>1143</v>
      </c>
      <c r="E57" s="760" t="s">
        <v>1043</v>
      </c>
      <c r="F57" s="761" t="s">
        <v>1174</v>
      </c>
      <c r="G57" s="758"/>
      <c r="H57" s="760" t="s">
        <v>1043</v>
      </c>
      <c r="I57" s="758"/>
      <c r="J57" s="758"/>
      <c r="K57" s="758"/>
      <c r="L57" s="758"/>
      <c r="M57" s="762"/>
      <c r="N57" s="763"/>
      <c r="O57" s="764"/>
      <c r="P57" s="764"/>
      <c r="Q57" s="764"/>
      <c r="R57" s="764"/>
      <c r="S57" s="764"/>
      <c r="T57" s="764"/>
      <c r="U57" s="764"/>
      <c r="V57" s="764"/>
      <c r="W57" s="764"/>
      <c r="X57" s="765"/>
      <c r="AT57" s="766" t="s">
        <v>1143</v>
      </c>
      <c r="AU57" s="766" t="s">
        <v>795</v>
      </c>
      <c r="AV57" s="756" t="s">
        <v>791</v>
      </c>
      <c r="AW57" s="756" t="s">
        <v>1145</v>
      </c>
      <c r="AX57" s="756" t="s">
        <v>788</v>
      </c>
      <c r="AY57" s="766" t="s">
        <v>1063</v>
      </c>
    </row>
    <row r="58" spans="1:65" s="767" customFormat="1" ht="11.25">
      <c r="B58" s="768"/>
      <c r="C58" s="769"/>
      <c r="D58" s="759" t="s">
        <v>1143</v>
      </c>
      <c r="E58" s="770" t="s">
        <v>1043</v>
      </c>
      <c r="F58" s="771" t="s">
        <v>1175</v>
      </c>
      <c r="G58" s="769"/>
      <c r="H58" s="772">
        <v>10</v>
      </c>
      <c r="I58" s="769"/>
      <c r="J58" s="769"/>
      <c r="K58" s="769"/>
      <c r="L58" s="769"/>
      <c r="M58" s="773"/>
      <c r="N58" s="774"/>
      <c r="O58" s="775"/>
      <c r="P58" s="775"/>
      <c r="Q58" s="775"/>
      <c r="R58" s="775"/>
      <c r="S58" s="775"/>
      <c r="T58" s="775"/>
      <c r="U58" s="775"/>
      <c r="V58" s="775"/>
      <c r="W58" s="775"/>
      <c r="X58" s="776"/>
      <c r="AT58" s="777" t="s">
        <v>1143</v>
      </c>
      <c r="AU58" s="777" t="s">
        <v>795</v>
      </c>
      <c r="AV58" s="767" t="s">
        <v>795</v>
      </c>
      <c r="AW58" s="767" t="s">
        <v>1145</v>
      </c>
      <c r="AX58" s="767" t="s">
        <v>788</v>
      </c>
      <c r="AY58" s="777" t="s">
        <v>1063</v>
      </c>
    </row>
    <row r="59" spans="1:65" s="778" customFormat="1" ht="11.25">
      <c r="B59" s="779"/>
      <c r="C59" s="780"/>
      <c r="D59" s="759" t="s">
        <v>1143</v>
      </c>
      <c r="E59" s="781" t="s">
        <v>1043</v>
      </c>
      <c r="F59" s="782" t="s">
        <v>1153</v>
      </c>
      <c r="G59" s="780"/>
      <c r="H59" s="783">
        <v>10</v>
      </c>
      <c r="I59" s="780"/>
      <c r="J59" s="780"/>
      <c r="K59" s="780"/>
      <c r="L59" s="780"/>
      <c r="M59" s="784"/>
      <c r="N59" s="785"/>
      <c r="O59" s="786"/>
      <c r="P59" s="786"/>
      <c r="Q59" s="786"/>
      <c r="R59" s="786"/>
      <c r="S59" s="786"/>
      <c r="T59" s="786"/>
      <c r="U59" s="786"/>
      <c r="V59" s="786"/>
      <c r="W59" s="786"/>
      <c r="X59" s="787"/>
      <c r="AT59" s="788" t="s">
        <v>1143</v>
      </c>
      <c r="AU59" s="788" t="s">
        <v>795</v>
      </c>
      <c r="AV59" s="778" t="s">
        <v>1065</v>
      </c>
      <c r="AW59" s="778" t="s">
        <v>1145</v>
      </c>
      <c r="AX59" s="778" t="s">
        <v>791</v>
      </c>
      <c r="AY59" s="788" t="s">
        <v>1063</v>
      </c>
    </row>
    <row r="60" spans="1:65" s="634" customFormat="1" ht="21.75" customHeight="1">
      <c r="A60" s="705"/>
      <c r="B60" s="706"/>
      <c r="C60" s="789" t="s">
        <v>1176</v>
      </c>
      <c r="D60" s="789" t="s">
        <v>83</v>
      </c>
      <c r="E60" s="790" t="s">
        <v>1177</v>
      </c>
      <c r="F60" s="791" t="s">
        <v>1178</v>
      </c>
      <c r="G60" s="792" t="s">
        <v>14</v>
      </c>
      <c r="H60" s="793">
        <v>10</v>
      </c>
      <c r="I60" s="794"/>
      <c r="J60" s="795"/>
      <c r="K60" s="794">
        <f>ROUND(P60*H60,2)</f>
        <v>0</v>
      </c>
      <c r="L60" s="795"/>
      <c r="M60" s="701"/>
      <c r="N60" s="796" t="s">
        <v>1043</v>
      </c>
      <c r="O60" s="752" t="s">
        <v>1129</v>
      </c>
      <c r="P60" s="753">
        <f>I60+J60</f>
        <v>0</v>
      </c>
      <c r="Q60" s="753">
        <f>ROUND(I60*H60,2)</f>
        <v>0</v>
      </c>
      <c r="R60" s="753">
        <f>ROUND(J60*H60,2)</f>
        <v>0</v>
      </c>
      <c r="S60" s="754">
        <v>0</v>
      </c>
      <c r="T60" s="754">
        <f>S60*H60</f>
        <v>0</v>
      </c>
      <c r="U60" s="754">
        <v>4.2999999999999999E-4</v>
      </c>
      <c r="V60" s="754">
        <f>U60*H60</f>
        <v>4.3E-3</v>
      </c>
      <c r="W60" s="754">
        <v>0</v>
      </c>
      <c r="X60" s="755">
        <f>W60*H60</f>
        <v>0</v>
      </c>
      <c r="Y60" s="705"/>
      <c r="Z60" s="705"/>
      <c r="AA60" s="705"/>
      <c r="AB60" s="705"/>
      <c r="AC60" s="705"/>
      <c r="AD60" s="705"/>
      <c r="AE60" s="705"/>
      <c r="AR60" s="686" t="s">
        <v>1071</v>
      </c>
      <c r="AT60" s="686" t="s">
        <v>83</v>
      </c>
      <c r="AU60" s="686" t="s">
        <v>795</v>
      </c>
      <c r="AY60" s="629" t="s">
        <v>1063</v>
      </c>
      <c r="BE60" s="687">
        <f>IF(O60="základná",K60,0)</f>
        <v>0</v>
      </c>
      <c r="BF60" s="687">
        <f>IF(O60="znížená",K60,0)</f>
        <v>0</v>
      </c>
      <c r="BG60" s="687">
        <f>IF(O60="zákl. prenesená",K60,0)</f>
        <v>0</v>
      </c>
      <c r="BH60" s="687">
        <f>IF(O60="zníž. prenesená",K60,0)</f>
        <v>0</v>
      </c>
      <c r="BI60" s="687">
        <f>IF(O60="nulová",K60,0)</f>
        <v>0</v>
      </c>
      <c r="BJ60" s="629" t="s">
        <v>795</v>
      </c>
      <c r="BK60" s="687">
        <f>ROUND(P60*H60,2)</f>
        <v>0</v>
      </c>
      <c r="BL60" s="629" t="s">
        <v>1065</v>
      </c>
      <c r="BM60" s="686" t="s">
        <v>1179</v>
      </c>
    </row>
    <row r="61" spans="1:65" s="756" customFormat="1" ht="22.5">
      <c r="B61" s="757"/>
      <c r="C61" s="758"/>
      <c r="D61" s="759" t="s">
        <v>1143</v>
      </c>
      <c r="E61" s="760" t="s">
        <v>1043</v>
      </c>
      <c r="F61" s="761" t="s">
        <v>1174</v>
      </c>
      <c r="G61" s="758"/>
      <c r="H61" s="760" t="s">
        <v>1043</v>
      </c>
      <c r="I61" s="758"/>
      <c r="J61" s="758"/>
      <c r="K61" s="758"/>
      <c r="L61" s="758"/>
      <c r="M61" s="762"/>
      <c r="N61" s="763"/>
      <c r="O61" s="764"/>
      <c r="P61" s="764"/>
      <c r="Q61" s="764"/>
      <c r="R61" s="764"/>
      <c r="S61" s="764"/>
      <c r="T61" s="764"/>
      <c r="U61" s="764"/>
      <c r="V61" s="764"/>
      <c r="W61" s="764"/>
      <c r="X61" s="765"/>
      <c r="AT61" s="766" t="s">
        <v>1143</v>
      </c>
      <c r="AU61" s="766" t="s">
        <v>795</v>
      </c>
      <c r="AV61" s="756" t="s">
        <v>791</v>
      </c>
      <c r="AW61" s="756" t="s">
        <v>1145</v>
      </c>
      <c r="AX61" s="756" t="s">
        <v>788</v>
      </c>
      <c r="AY61" s="766" t="s">
        <v>1063</v>
      </c>
    </row>
    <row r="62" spans="1:65" s="767" customFormat="1" ht="11.25">
      <c r="B62" s="768"/>
      <c r="C62" s="769"/>
      <c r="D62" s="759" t="s">
        <v>1143</v>
      </c>
      <c r="E62" s="770" t="s">
        <v>1043</v>
      </c>
      <c r="F62" s="771" t="s">
        <v>1175</v>
      </c>
      <c r="G62" s="769"/>
      <c r="H62" s="772">
        <v>10</v>
      </c>
      <c r="I62" s="769"/>
      <c r="J62" s="769"/>
      <c r="K62" s="769"/>
      <c r="L62" s="769"/>
      <c r="M62" s="773"/>
      <c r="N62" s="774"/>
      <c r="O62" s="775"/>
      <c r="P62" s="775"/>
      <c r="Q62" s="775"/>
      <c r="R62" s="775"/>
      <c r="S62" s="775"/>
      <c r="T62" s="775"/>
      <c r="U62" s="775"/>
      <c r="V62" s="775"/>
      <c r="W62" s="775"/>
      <c r="X62" s="776"/>
      <c r="AT62" s="777" t="s">
        <v>1143</v>
      </c>
      <c r="AU62" s="777" t="s">
        <v>795</v>
      </c>
      <c r="AV62" s="767" t="s">
        <v>795</v>
      </c>
      <c r="AW62" s="767" t="s">
        <v>1145</v>
      </c>
      <c r="AX62" s="767" t="s">
        <v>788</v>
      </c>
      <c r="AY62" s="777" t="s">
        <v>1063</v>
      </c>
    </row>
    <row r="63" spans="1:65" s="778" customFormat="1" ht="11.25">
      <c r="B63" s="779"/>
      <c r="C63" s="780"/>
      <c r="D63" s="759" t="s">
        <v>1143</v>
      </c>
      <c r="E63" s="781" t="s">
        <v>1043</v>
      </c>
      <c r="F63" s="782" t="s">
        <v>1153</v>
      </c>
      <c r="G63" s="780"/>
      <c r="H63" s="783">
        <v>10</v>
      </c>
      <c r="I63" s="780"/>
      <c r="J63" s="780"/>
      <c r="K63" s="780"/>
      <c r="L63" s="780"/>
      <c r="M63" s="784"/>
      <c r="N63" s="785"/>
      <c r="O63" s="786"/>
      <c r="P63" s="786"/>
      <c r="Q63" s="786"/>
      <c r="R63" s="786"/>
      <c r="S63" s="786"/>
      <c r="T63" s="786"/>
      <c r="U63" s="786"/>
      <c r="V63" s="786"/>
      <c r="W63" s="786"/>
      <c r="X63" s="787"/>
      <c r="AT63" s="788" t="s">
        <v>1143</v>
      </c>
      <c r="AU63" s="788" t="s">
        <v>795</v>
      </c>
      <c r="AV63" s="778" t="s">
        <v>1065</v>
      </c>
      <c r="AW63" s="778" t="s">
        <v>1145</v>
      </c>
      <c r="AX63" s="778" t="s">
        <v>791</v>
      </c>
      <c r="AY63" s="788" t="s">
        <v>1063</v>
      </c>
    </row>
    <row r="64" spans="1:65" s="661" customFormat="1" ht="25.9" customHeight="1">
      <c r="B64" s="732"/>
      <c r="C64" s="733"/>
      <c r="D64" s="734" t="s">
        <v>491</v>
      </c>
      <c r="E64" s="735" t="s">
        <v>24</v>
      </c>
      <c r="F64" s="735" t="s">
        <v>25</v>
      </c>
      <c r="G64" s="733"/>
      <c r="H64" s="733"/>
      <c r="I64" s="733"/>
      <c r="J64" s="733"/>
      <c r="K64" s="736">
        <f>BK64</f>
        <v>0</v>
      </c>
      <c r="L64" s="733"/>
      <c r="M64" s="662"/>
      <c r="N64" s="737"/>
      <c r="O64" s="738"/>
      <c r="P64" s="738"/>
      <c r="Q64" s="739">
        <f>Q65+Q78+Q268+Q366</f>
        <v>0</v>
      </c>
      <c r="R64" s="739">
        <f>R65+R78+R268+R366</f>
        <v>0</v>
      </c>
      <c r="S64" s="738"/>
      <c r="T64" s="740">
        <f>T65+T78+T268+T366</f>
        <v>140.645274</v>
      </c>
      <c r="U64" s="738"/>
      <c r="V64" s="740">
        <f>V65+V78+V268+V366</f>
        <v>0.51295020000000013</v>
      </c>
      <c r="W64" s="738"/>
      <c r="X64" s="741">
        <f>X65+X78+X268+X366</f>
        <v>0</v>
      </c>
      <c r="AR64" s="663" t="s">
        <v>795</v>
      </c>
      <c r="AT64" s="670" t="s">
        <v>491</v>
      </c>
      <c r="AU64" s="670" t="s">
        <v>788</v>
      </c>
      <c r="AY64" s="663" t="s">
        <v>1063</v>
      </c>
      <c r="BK64" s="671">
        <f>BK65+BK78+BK268+BK366</f>
        <v>0</v>
      </c>
    </row>
    <row r="65" spans="1:65" s="661" customFormat="1" ht="22.9" customHeight="1">
      <c r="B65" s="732"/>
      <c r="C65" s="733"/>
      <c r="D65" s="734" t="s">
        <v>491</v>
      </c>
      <c r="E65" s="742" t="s">
        <v>1180</v>
      </c>
      <c r="F65" s="742" t="s">
        <v>1181</v>
      </c>
      <c r="G65" s="733"/>
      <c r="H65" s="733"/>
      <c r="I65" s="733"/>
      <c r="J65" s="733"/>
      <c r="K65" s="743">
        <f>BK65</f>
        <v>0</v>
      </c>
      <c r="L65" s="733"/>
      <c r="M65" s="662"/>
      <c r="N65" s="737"/>
      <c r="O65" s="738"/>
      <c r="P65" s="738"/>
      <c r="Q65" s="739">
        <f>SUM(Q66:Q77)</f>
        <v>0</v>
      </c>
      <c r="R65" s="739">
        <f>SUM(R66:R77)</f>
        <v>0</v>
      </c>
      <c r="S65" s="738"/>
      <c r="T65" s="740">
        <f>SUM(T66:T77)</f>
        <v>5.0991280000000003</v>
      </c>
      <c r="U65" s="738"/>
      <c r="V65" s="740">
        <f>SUM(V66:V77)</f>
        <v>4.1901999999999998E-3</v>
      </c>
      <c r="W65" s="738"/>
      <c r="X65" s="741">
        <f>SUM(X66:X77)</f>
        <v>0</v>
      </c>
      <c r="AR65" s="663" t="s">
        <v>795</v>
      </c>
      <c r="AT65" s="670" t="s">
        <v>491</v>
      </c>
      <c r="AU65" s="670" t="s">
        <v>791</v>
      </c>
      <c r="AY65" s="663" t="s">
        <v>1063</v>
      </c>
      <c r="BK65" s="671">
        <f>SUM(BK66:BK77)</f>
        <v>0</v>
      </c>
    </row>
    <row r="66" spans="1:65" s="634" customFormat="1" ht="21.75" customHeight="1">
      <c r="A66" s="705"/>
      <c r="B66" s="706"/>
      <c r="C66" s="744" t="s">
        <v>1182</v>
      </c>
      <c r="D66" s="744" t="s">
        <v>29</v>
      </c>
      <c r="E66" s="745" t="s">
        <v>1183</v>
      </c>
      <c r="F66" s="746" t="s">
        <v>1184</v>
      </c>
      <c r="G66" s="747" t="s">
        <v>14</v>
      </c>
      <c r="H66" s="748">
        <v>38</v>
      </c>
      <c r="I66" s="749"/>
      <c r="J66" s="749"/>
      <c r="K66" s="749">
        <f>ROUND(P66*H66,2)</f>
        <v>0</v>
      </c>
      <c r="L66" s="750"/>
      <c r="M66" s="631"/>
      <c r="N66" s="751" t="s">
        <v>1043</v>
      </c>
      <c r="O66" s="752" t="s">
        <v>1129</v>
      </c>
      <c r="P66" s="753">
        <f>I66+J66</f>
        <v>0</v>
      </c>
      <c r="Q66" s="753">
        <f>ROUND(I66*H66,2)</f>
        <v>0</v>
      </c>
      <c r="R66" s="753">
        <f>ROUND(J66*H66,2)</f>
        <v>0</v>
      </c>
      <c r="S66" s="754">
        <v>0.13400000000000001</v>
      </c>
      <c r="T66" s="754">
        <f>S66*H66</f>
        <v>5.0920000000000005</v>
      </c>
      <c r="U66" s="754">
        <v>2.0000000000000002E-5</v>
      </c>
      <c r="V66" s="754">
        <f>U66*H66</f>
        <v>7.6000000000000004E-4</v>
      </c>
      <c r="W66" s="754">
        <v>0</v>
      </c>
      <c r="X66" s="755">
        <f>W66*H66</f>
        <v>0</v>
      </c>
      <c r="Y66" s="705"/>
      <c r="Z66" s="705"/>
      <c r="AA66" s="705"/>
      <c r="AB66" s="705"/>
      <c r="AC66" s="705"/>
      <c r="AD66" s="705"/>
      <c r="AE66" s="705"/>
      <c r="AR66" s="686" t="s">
        <v>1185</v>
      </c>
      <c r="AT66" s="686" t="s">
        <v>29</v>
      </c>
      <c r="AU66" s="686" t="s">
        <v>795</v>
      </c>
      <c r="AY66" s="629" t="s">
        <v>1063</v>
      </c>
      <c r="BE66" s="687">
        <f>IF(O66="základná",K66,0)</f>
        <v>0</v>
      </c>
      <c r="BF66" s="687">
        <f>IF(O66="znížená",K66,0)</f>
        <v>0</v>
      </c>
      <c r="BG66" s="687">
        <f>IF(O66="zákl. prenesená",K66,0)</f>
        <v>0</v>
      </c>
      <c r="BH66" s="687">
        <f>IF(O66="zníž. prenesená",K66,0)</f>
        <v>0</v>
      </c>
      <c r="BI66" s="687">
        <f>IF(O66="nulová",K66,0)</f>
        <v>0</v>
      </c>
      <c r="BJ66" s="629" t="s">
        <v>795</v>
      </c>
      <c r="BK66" s="687">
        <f>ROUND(P66*H66,2)</f>
        <v>0</v>
      </c>
      <c r="BL66" s="629" t="s">
        <v>1185</v>
      </c>
      <c r="BM66" s="686" t="s">
        <v>1186</v>
      </c>
    </row>
    <row r="67" spans="1:65" s="767" customFormat="1" ht="11.25">
      <c r="B67" s="768"/>
      <c r="C67" s="769"/>
      <c r="D67" s="759" t="s">
        <v>1143</v>
      </c>
      <c r="E67" s="770" t="s">
        <v>1043</v>
      </c>
      <c r="F67" s="771" t="s">
        <v>1187</v>
      </c>
      <c r="G67" s="769"/>
      <c r="H67" s="772">
        <v>38</v>
      </c>
      <c r="I67" s="769"/>
      <c r="J67" s="769"/>
      <c r="K67" s="769"/>
      <c r="L67" s="769"/>
      <c r="M67" s="773"/>
      <c r="N67" s="774"/>
      <c r="O67" s="775"/>
      <c r="P67" s="775"/>
      <c r="Q67" s="775"/>
      <c r="R67" s="775"/>
      <c r="S67" s="775"/>
      <c r="T67" s="775"/>
      <c r="U67" s="775"/>
      <c r="V67" s="775"/>
      <c r="W67" s="775"/>
      <c r="X67" s="776"/>
      <c r="AT67" s="777" t="s">
        <v>1143</v>
      </c>
      <c r="AU67" s="777" t="s">
        <v>795</v>
      </c>
      <c r="AV67" s="767" t="s">
        <v>795</v>
      </c>
      <c r="AW67" s="767" t="s">
        <v>1145</v>
      </c>
      <c r="AX67" s="767" t="s">
        <v>791</v>
      </c>
      <c r="AY67" s="777" t="s">
        <v>1063</v>
      </c>
    </row>
    <row r="68" spans="1:65" s="634" customFormat="1" ht="33" customHeight="1">
      <c r="A68" s="705"/>
      <c r="B68" s="706"/>
      <c r="C68" s="789" t="s">
        <v>1071</v>
      </c>
      <c r="D68" s="789" t="s">
        <v>83</v>
      </c>
      <c r="E68" s="790" t="s">
        <v>1188</v>
      </c>
      <c r="F68" s="791" t="s">
        <v>1189</v>
      </c>
      <c r="G68" s="792" t="s">
        <v>14</v>
      </c>
      <c r="H68" s="793">
        <v>23</v>
      </c>
      <c r="I68" s="794"/>
      <c r="J68" s="795"/>
      <c r="K68" s="794">
        <f>ROUND(P68*H68,2)</f>
        <v>0</v>
      </c>
      <c r="L68" s="795"/>
      <c r="M68" s="701"/>
      <c r="N68" s="796" t="s">
        <v>1043</v>
      </c>
      <c r="O68" s="752" t="s">
        <v>1129</v>
      </c>
      <c r="P68" s="753">
        <f>I68+J68</f>
        <v>0</v>
      </c>
      <c r="Q68" s="753">
        <f>ROUND(I68*H68,2)</f>
        <v>0</v>
      </c>
      <c r="R68" s="753">
        <f>ROUND(J68*H68,2)</f>
        <v>0</v>
      </c>
      <c r="S68" s="754">
        <v>0</v>
      </c>
      <c r="T68" s="754">
        <f>S68*H68</f>
        <v>0</v>
      </c>
      <c r="U68" s="754">
        <v>8.0000000000000007E-5</v>
      </c>
      <c r="V68" s="754">
        <f>U68*H68</f>
        <v>1.8400000000000001E-3</v>
      </c>
      <c r="W68" s="754">
        <v>0</v>
      </c>
      <c r="X68" s="755">
        <f>W68*H68</f>
        <v>0</v>
      </c>
      <c r="Y68" s="705"/>
      <c r="Z68" s="705"/>
      <c r="AA68" s="705"/>
      <c r="AB68" s="705"/>
      <c r="AC68" s="705"/>
      <c r="AD68" s="705"/>
      <c r="AE68" s="705"/>
      <c r="AR68" s="686" t="s">
        <v>1190</v>
      </c>
      <c r="AT68" s="686" t="s">
        <v>83</v>
      </c>
      <c r="AU68" s="686" t="s">
        <v>795</v>
      </c>
      <c r="AY68" s="629" t="s">
        <v>1063</v>
      </c>
      <c r="BE68" s="687">
        <f>IF(O68="základná",K68,0)</f>
        <v>0</v>
      </c>
      <c r="BF68" s="687">
        <f>IF(O68="znížená",K68,0)</f>
        <v>0</v>
      </c>
      <c r="BG68" s="687">
        <f>IF(O68="zákl. prenesená",K68,0)</f>
        <v>0</v>
      </c>
      <c r="BH68" s="687">
        <f>IF(O68="zníž. prenesená",K68,0)</f>
        <v>0</v>
      </c>
      <c r="BI68" s="687">
        <f>IF(O68="nulová",K68,0)</f>
        <v>0</v>
      </c>
      <c r="BJ68" s="629" t="s">
        <v>795</v>
      </c>
      <c r="BK68" s="687">
        <f>ROUND(P68*H68,2)</f>
        <v>0</v>
      </c>
      <c r="BL68" s="629" t="s">
        <v>1185</v>
      </c>
      <c r="BM68" s="686" t="s">
        <v>1191</v>
      </c>
    </row>
    <row r="69" spans="1:65" s="767" customFormat="1" ht="11.25">
      <c r="B69" s="768"/>
      <c r="C69" s="769"/>
      <c r="D69" s="759" t="s">
        <v>1143</v>
      </c>
      <c r="E69" s="770" t="s">
        <v>1043</v>
      </c>
      <c r="F69" s="771" t="s">
        <v>1192</v>
      </c>
      <c r="G69" s="769"/>
      <c r="H69" s="772">
        <v>23</v>
      </c>
      <c r="I69" s="769"/>
      <c r="J69" s="769"/>
      <c r="K69" s="769"/>
      <c r="L69" s="769"/>
      <c r="M69" s="773"/>
      <c r="N69" s="774"/>
      <c r="O69" s="775"/>
      <c r="P69" s="775"/>
      <c r="Q69" s="775"/>
      <c r="R69" s="775"/>
      <c r="S69" s="775"/>
      <c r="T69" s="775"/>
      <c r="U69" s="775"/>
      <c r="V69" s="775"/>
      <c r="W69" s="775"/>
      <c r="X69" s="776"/>
      <c r="AT69" s="777" t="s">
        <v>1143</v>
      </c>
      <c r="AU69" s="777" t="s">
        <v>795</v>
      </c>
      <c r="AV69" s="767" t="s">
        <v>795</v>
      </c>
      <c r="AW69" s="767" t="s">
        <v>1145</v>
      </c>
      <c r="AX69" s="767" t="s">
        <v>791</v>
      </c>
      <c r="AY69" s="777" t="s">
        <v>1063</v>
      </c>
    </row>
    <row r="70" spans="1:65" s="634" customFormat="1" ht="33" customHeight="1">
      <c r="A70" s="705"/>
      <c r="B70" s="706"/>
      <c r="C70" s="789" t="s">
        <v>1193</v>
      </c>
      <c r="D70" s="789" t="s">
        <v>83</v>
      </c>
      <c r="E70" s="790" t="s">
        <v>1194</v>
      </c>
      <c r="F70" s="791" t="s">
        <v>1195</v>
      </c>
      <c r="G70" s="792" t="s">
        <v>14</v>
      </c>
      <c r="H70" s="793">
        <v>10</v>
      </c>
      <c r="I70" s="794"/>
      <c r="J70" s="795"/>
      <c r="K70" s="794">
        <f>ROUND(P70*H70,2)</f>
        <v>0</v>
      </c>
      <c r="L70" s="795"/>
      <c r="M70" s="701"/>
      <c r="N70" s="796" t="s">
        <v>1043</v>
      </c>
      <c r="O70" s="752" t="s">
        <v>1129</v>
      </c>
      <c r="P70" s="753">
        <f>I70+J70</f>
        <v>0</v>
      </c>
      <c r="Q70" s="753">
        <f>ROUND(I70*H70,2)</f>
        <v>0</v>
      </c>
      <c r="R70" s="753">
        <f>ROUND(J70*H70,2)</f>
        <v>0</v>
      </c>
      <c r="S70" s="754">
        <v>0</v>
      </c>
      <c r="T70" s="754">
        <f>S70*H70</f>
        <v>0</v>
      </c>
      <c r="U70" s="754">
        <v>1.4999999999999999E-4</v>
      </c>
      <c r="V70" s="754">
        <f>U70*H70</f>
        <v>1.4999999999999998E-3</v>
      </c>
      <c r="W70" s="754">
        <v>0</v>
      </c>
      <c r="X70" s="755">
        <f>W70*H70</f>
        <v>0</v>
      </c>
      <c r="Y70" s="705"/>
      <c r="Z70" s="705"/>
      <c r="AA70" s="705"/>
      <c r="AB70" s="705"/>
      <c r="AC70" s="705"/>
      <c r="AD70" s="705"/>
      <c r="AE70" s="705"/>
      <c r="AR70" s="686" t="s">
        <v>1190</v>
      </c>
      <c r="AT70" s="686" t="s">
        <v>83</v>
      </c>
      <c r="AU70" s="686" t="s">
        <v>795</v>
      </c>
      <c r="AY70" s="629" t="s">
        <v>1063</v>
      </c>
      <c r="BE70" s="687">
        <f>IF(O70="základná",K70,0)</f>
        <v>0</v>
      </c>
      <c r="BF70" s="687">
        <f>IF(O70="znížená",K70,0)</f>
        <v>0</v>
      </c>
      <c r="BG70" s="687">
        <f>IF(O70="zákl. prenesená",K70,0)</f>
        <v>0</v>
      </c>
      <c r="BH70" s="687">
        <f>IF(O70="zníž. prenesená",K70,0)</f>
        <v>0</v>
      </c>
      <c r="BI70" s="687">
        <f>IF(O70="nulová",K70,0)</f>
        <v>0</v>
      </c>
      <c r="BJ70" s="629" t="s">
        <v>795</v>
      </c>
      <c r="BK70" s="687">
        <f>ROUND(P70*H70,2)</f>
        <v>0</v>
      </c>
      <c r="BL70" s="629" t="s">
        <v>1185</v>
      </c>
      <c r="BM70" s="686" t="s">
        <v>1196</v>
      </c>
    </row>
    <row r="71" spans="1:65" s="767" customFormat="1" ht="11.25">
      <c r="B71" s="768"/>
      <c r="C71" s="769"/>
      <c r="D71" s="759" t="s">
        <v>1143</v>
      </c>
      <c r="E71" s="770" t="s">
        <v>1043</v>
      </c>
      <c r="F71" s="771" t="s">
        <v>1175</v>
      </c>
      <c r="G71" s="769"/>
      <c r="H71" s="772">
        <v>10</v>
      </c>
      <c r="I71" s="769"/>
      <c r="J71" s="769"/>
      <c r="K71" s="769"/>
      <c r="L71" s="769"/>
      <c r="M71" s="773"/>
      <c r="N71" s="774"/>
      <c r="O71" s="775"/>
      <c r="P71" s="775"/>
      <c r="Q71" s="775"/>
      <c r="R71" s="775"/>
      <c r="S71" s="775"/>
      <c r="T71" s="775"/>
      <c r="U71" s="775"/>
      <c r="V71" s="775"/>
      <c r="W71" s="775"/>
      <c r="X71" s="776"/>
      <c r="AT71" s="777" t="s">
        <v>1143</v>
      </c>
      <c r="AU71" s="777" t="s">
        <v>795</v>
      </c>
      <c r="AV71" s="767" t="s">
        <v>795</v>
      </c>
      <c r="AW71" s="767" t="s">
        <v>1145</v>
      </c>
      <c r="AX71" s="767" t="s">
        <v>791</v>
      </c>
      <c r="AY71" s="777" t="s">
        <v>1063</v>
      </c>
    </row>
    <row r="72" spans="1:65" s="634" customFormat="1" ht="33" customHeight="1">
      <c r="A72" s="705"/>
      <c r="B72" s="706"/>
      <c r="C72" s="789" t="s">
        <v>1175</v>
      </c>
      <c r="D72" s="789" t="s">
        <v>83</v>
      </c>
      <c r="E72" s="790" t="s">
        <v>1197</v>
      </c>
      <c r="F72" s="791" t="s">
        <v>1198</v>
      </c>
      <c r="G72" s="792" t="s">
        <v>14</v>
      </c>
      <c r="H72" s="793">
        <v>4</v>
      </c>
      <c r="I72" s="794"/>
      <c r="J72" s="795"/>
      <c r="K72" s="794">
        <f>ROUND(P72*H72,2)</f>
        <v>0</v>
      </c>
      <c r="L72" s="795"/>
      <c r="M72" s="701"/>
      <c r="N72" s="796" t="s">
        <v>1043</v>
      </c>
      <c r="O72" s="752" t="s">
        <v>1129</v>
      </c>
      <c r="P72" s="753">
        <f>I72+J72</f>
        <v>0</v>
      </c>
      <c r="Q72" s="753">
        <f>ROUND(I72*H72,2)</f>
        <v>0</v>
      </c>
      <c r="R72" s="753">
        <f>ROUND(J72*H72,2)</f>
        <v>0</v>
      </c>
      <c r="S72" s="754">
        <v>0</v>
      </c>
      <c r="T72" s="754">
        <f>S72*H72</f>
        <v>0</v>
      </c>
      <c r="U72" s="754">
        <v>2.0000000000000002E-5</v>
      </c>
      <c r="V72" s="754">
        <f>U72*H72</f>
        <v>8.0000000000000007E-5</v>
      </c>
      <c r="W72" s="754">
        <v>0</v>
      </c>
      <c r="X72" s="755">
        <f>W72*H72</f>
        <v>0</v>
      </c>
      <c r="Y72" s="705"/>
      <c r="Z72" s="705"/>
      <c r="AA72" s="705"/>
      <c r="AB72" s="705"/>
      <c r="AC72" s="705"/>
      <c r="AD72" s="705"/>
      <c r="AE72" s="705"/>
      <c r="AR72" s="686" t="s">
        <v>1190</v>
      </c>
      <c r="AT72" s="686" t="s">
        <v>83</v>
      </c>
      <c r="AU72" s="686" t="s">
        <v>795</v>
      </c>
      <c r="AY72" s="629" t="s">
        <v>1063</v>
      </c>
      <c r="BE72" s="687">
        <f>IF(O72="základná",K72,0)</f>
        <v>0</v>
      </c>
      <c r="BF72" s="687">
        <f>IF(O72="znížená",K72,0)</f>
        <v>0</v>
      </c>
      <c r="BG72" s="687">
        <f>IF(O72="zákl. prenesená",K72,0)</f>
        <v>0</v>
      </c>
      <c r="BH72" s="687">
        <f>IF(O72="zníž. prenesená",K72,0)</f>
        <v>0</v>
      </c>
      <c r="BI72" s="687">
        <f>IF(O72="nulová",K72,0)</f>
        <v>0</v>
      </c>
      <c r="BJ72" s="629" t="s">
        <v>795</v>
      </c>
      <c r="BK72" s="687">
        <f>ROUND(P72*H72,2)</f>
        <v>0</v>
      </c>
      <c r="BL72" s="629" t="s">
        <v>1185</v>
      </c>
      <c r="BM72" s="686" t="s">
        <v>1199</v>
      </c>
    </row>
    <row r="73" spans="1:65" s="767" customFormat="1" ht="11.25">
      <c r="B73" s="768"/>
      <c r="C73" s="769"/>
      <c r="D73" s="759" t="s">
        <v>1143</v>
      </c>
      <c r="E73" s="770" t="s">
        <v>1043</v>
      </c>
      <c r="F73" s="771" t="s">
        <v>1065</v>
      </c>
      <c r="G73" s="769"/>
      <c r="H73" s="772">
        <v>4</v>
      </c>
      <c r="I73" s="769"/>
      <c r="J73" s="769"/>
      <c r="K73" s="769"/>
      <c r="L73" s="769"/>
      <c r="M73" s="773"/>
      <c r="N73" s="774"/>
      <c r="O73" s="775"/>
      <c r="P73" s="775"/>
      <c r="Q73" s="775"/>
      <c r="R73" s="775"/>
      <c r="S73" s="775"/>
      <c r="T73" s="775"/>
      <c r="U73" s="775"/>
      <c r="V73" s="775"/>
      <c r="W73" s="775"/>
      <c r="X73" s="776"/>
      <c r="AT73" s="777" t="s">
        <v>1143</v>
      </c>
      <c r="AU73" s="777" t="s">
        <v>795</v>
      </c>
      <c r="AV73" s="767" t="s">
        <v>795</v>
      </c>
      <c r="AW73" s="767" t="s">
        <v>1145</v>
      </c>
      <c r="AX73" s="767" t="s">
        <v>791</v>
      </c>
      <c r="AY73" s="777" t="s">
        <v>1063</v>
      </c>
    </row>
    <row r="74" spans="1:65" s="634" customFormat="1" ht="33" customHeight="1">
      <c r="A74" s="705"/>
      <c r="B74" s="706"/>
      <c r="C74" s="789" t="s">
        <v>1200</v>
      </c>
      <c r="D74" s="789" t="s">
        <v>83</v>
      </c>
      <c r="E74" s="790" t="s">
        <v>1201</v>
      </c>
      <c r="F74" s="791" t="s">
        <v>1202</v>
      </c>
      <c r="G74" s="792" t="s">
        <v>14</v>
      </c>
      <c r="H74" s="793">
        <v>1.02</v>
      </c>
      <c r="I74" s="794"/>
      <c r="J74" s="795"/>
      <c r="K74" s="794">
        <f>ROUND(P74*H74,2)</f>
        <v>0</v>
      </c>
      <c r="L74" s="795"/>
      <c r="M74" s="701"/>
      <c r="N74" s="796" t="s">
        <v>1043</v>
      </c>
      <c r="O74" s="752" t="s">
        <v>1129</v>
      </c>
      <c r="P74" s="753">
        <f>I74+J74</f>
        <v>0</v>
      </c>
      <c r="Q74" s="753">
        <f>ROUND(I74*H74,2)</f>
        <v>0</v>
      </c>
      <c r="R74" s="753">
        <f>ROUND(J74*H74,2)</f>
        <v>0</v>
      </c>
      <c r="S74" s="754">
        <v>0</v>
      </c>
      <c r="T74" s="754">
        <f>S74*H74</f>
        <v>0</v>
      </c>
      <c r="U74" s="754">
        <v>1.0000000000000001E-5</v>
      </c>
      <c r="V74" s="754">
        <f>U74*H74</f>
        <v>1.0200000000000001E-5</v>
      </c>
      <c r="W74" s="754">
        <v>0</v>
      </c>
      <c r="X74" s="755">
        <f>W74*H74</f>
        <v>0</v>
      </c>
      <c r="Y74" s="705"/>
      <c r="Z74" s="705"/>
      <c r="AA74" s="705"/>
      <c r="AB74" s="705"/>
      <c r="AC74" s="705"/>
      <c r="AD74" s="705"/>
      <c r="AE74" s="705"/>
      <c r="AR74" s="686" t="s">
        <v>1190</v>
      </c>
      <c r="AT74" s="686" t="s">
        <v>83</v>
      </c>
      <c r="AU74" s="686" t="s">
        <v>795</v>
      </c>
      <c r="AY74" s="629" t="s">
        <v>1063</v>
      </c>
      <c r="BE74" s="687">
        <f>IF(O74="základná",K74,0)</f>
        <v>0</v>
      </c>
      <c r="BF74" s="687">
        <f>IF(O74="znížená",K74,0)</f>
        <v>0</v>
      </c>
      <c r="BG74" s="687">
        <f>IF(O74="zákl. prenesená",K74,0)</f>
        <v>0</v>
      </c>
      <c r="BH74" s="687">
        <f>IF(O74="zníž. prenesená",K74,0)</f>
        <v>0</v>
      </c>
      <c r="BI74" s="687">
        <f>IF(O74="nulová",K74,0)</f>
        <v>0</v>
      </c>
      <c r="BJ74" s="629" t="s">
        <v>795</v>
      </c>
      <c r="BK74" s="687">
        <f>ROUND(P74*H74,2)</f>
        <v>0</v>
      </c>
      <c r="BL74" s="629" t="s">
        <v>1185</v>
      </c>
      <c r="BM74" s="686" t="s">
        <v>1203</v>
      </c>
    </row>
    <row r="75" spans="1:65" s="767" customFormat="1" ht="11.25">
      <c r="B75" s="768"/>
      <c r="C75" s="769"/>
      <c r="D75" s="759" t="s">
        <v>1143</v>
      </c>
      <c r="E75" s="770" t="s">
        <v>1043</v>
      </c>
      <c r="F75" s="771" t="s">
        <v>791</v>
      </c>
      <c r="G75" s="769"/>
      <c r="H75" s="772">
        <v>1</v>
      </c>
      <c r="I75" s="769"/>
      <c r="J75" s="769"/>
      <c r="K75" s="769"/>
      <c r="L75" s="769"/>
      <c r="M75" s="773"/>
      <c r="N75" s="774"/>
      <c r="O75" s="775"/>
      <c r="P75" s="775"/>
      <c r="Q75" s="775"/>
      <c r="R75" s="775"/>
      <c r="S75" s="775"/>
      <c r="T75" s="775"/>
      <c r="U75" s="775"/>
      <c r="V75" s="775"/>
      <c r="W75" s="775"/>
      <c r="X75" s="776"/>
      <c r="AT75" s="777" t="s">
        <v>1143</v>
      </c>
      <c r="AU75" s="777" t="s">
        <v>795</v>
      </c>
      <c r="AV75" s="767" t="s">
        <v>795</v>
      </c>
      <c r="AW75" s="767" t="s">
        <v>1145</v>
      </c>
      <c r="AX75" s="767" t="s">
        <v>791</v>
      </c>
      <c r="AY75" s="777" t="s">
        <v>1063</v>
      </c>
    </row>
    <row r="76" spans="1:65" s="767" customFormat="1" ht="11.25">
      <c r="B76" s="768"/>
      <c r="C76" s="769"/>
      <c r="D76" s="759" t="s">
        <v>1143</v>
      </c>
      <c r="E76" s="769"/>
      <c r="F76" s="771" t="s">
        <v>1204</v>
      </c>
      <c r="G76" s="769"/>
      <c r="H76" s="772">
        <v>1.02</v>
      </c>
      <c r="I76" s="769"/>
      <c r="J76" s="769"/>
      <c r="K76" s="769"/>
      <c r="L76" s="769"/>
      <c r="M76" s="773"/>
      <c r="N76" s="774"/>
      <c r="O76" s="775"/>
      <c r="P76" s="775"/>
      <c r="Q76" s="775"/>
      <c r="R76" s="775"/>
      <c r="S76" s="775"/>
      <c r="T76" s="775"/>
      <c r="U76" s="775"/>
      <c r="V76" s="775"/>
      <c r="W76" s="775"/>
      <c r="X76" s="776"/>
      <c r="AT76" s="777" t="s">
        <v>1143</v>
      </c>
      <c r="AU76" s="777" t="s">
        <v>795</v>
      </c>
      <c r="AV76" s="767" t="s">
        <v>795</v>
      </c>
      <c r="AW76" s="767" t="s">
        <v>1124</v>
      </c>
      <c r="AX76" s="767" t="s">
        <v>791</v>
      </c>
      <c r="AY76" s="777" t="s">
        <v>1063</v>
      </c>
    </row>
    <row r="77" spans="1:65" s="634" customFormat="1" ht="21.75" customHeight="1">
      <c r="A77" s="705"/>
      <c r="B77" s="706"/>
      <c r="C77" s="744" t="s">
        <v>1205</v>
      </c>
      <c r="D77" s="744" t="s">
        <v>29</v>
      </c>
      <c r="E77" s="745" t="s">
        <v>1206</v>
      </c>
      <c r="F77" s="746" t="s">
        <v>1207</v>
      </c>
      <c r="G77" s="747" t="s">
        <v>15</v>
      </c>
      <c r="H77" s="748">
        <v>4.0000000000000001E-3</v>
      </c>
      <c r="I77" s="749"/>
      <c r="J77" s="749"/>
      <c r="K77" s="749">
        <f>ROUND(P77*H77,2)</f>
        <v>0</v>
      </c>
      <c r="L77" s="750"/>
      <c r="M77" s="631"/>
      <c r="N77" s="751" t="s">
        <v>1043</v>
      </c>
      <c r="O77" s="752" t="s">
        <v>1129</v>
      </c>
      <c r="P77" s="753">
        <f>I77+J77</f>
        <v>0</v>
      </c>
      <c r="Q77" s="753">
        <f>ROUND(I77*H77,2)</f>
        <v>0</v>
      </c>
      <c r="R77" s="753">
        <f>ROUND(J77*H77,2)</f>
        <v>0</v>
      </c>
      <c r="S77" s="754">
        <v>1.782</v>
      </c>
      <c r="T77" s="754">
        <f>S77*H77</f>
        <v>7.1280000000000007E-3</v>
      </c>
      <c r="U77" s="754">
        <v>0</v>
      </c>
      <c r="V77" s="754">
        <f>U77*H77</f>
        <v>0</v>
      </c>
      <c r="W77" s="754">
        <v>0</v>
      </c>
      <c r="X77" s="755">
        <f>W77*H77</f>
        <v>0</v>
      </c>
      <c r="Y77" s="705"/>
      <c r="Z77" s="705"/>
      <c r="AA77" s="705"/>
      <c r="AB77" s="705"/>
      <c r="AC77" s="705"/>
      <c r="AD77" s="705"/>
      <c r="AE77" s="705"/>
      <c r="AR77" s="686" t="s">
        <v>1185</v>
      </c>
      <c r="AT77" s="686" t="s">
        <v>29</v>
      </c>
      <c r="AU77" s="686" t="s">
        <v>795</v>
      </c>
      <c r="AY77" s="629" t="s">
        <v>1063</v>
      </c>
      <c r="BE77" s="687">
        <f>IF(O77="základná",K77,0)</f>
        <v>0</v>
      </c>
      <c r="BF77" s="687">
        <f>IF(O77="znížená",K77,0)</f>
        <v>0</v>
      </c>
      <c r="BG77" s="687">
        <f>IF(O77="zákl. prenesená",K77,0)</f>
        <v>0</v>
      </c>
      <c r="BH77" s="687">
        <f>IF(O77="zníž. prenesená",K77,0)</f>
        <v>0</v>
      </c>
      <c r="BI77" s="687">
        <f>IF(O77="nulová",K77,0)</f>
        <v>0</v>
      </c>
      <c r="BJ77" s="629" t="s">
        <v>795</v>
      </c>
      <c r="BK77" s="687">
        <f>ROUND(P77*H77,2)</f>
        <v>0</v>
      </c>
      <c r="BL77" s="629" t="s">
        <v>1185</v>
      </c>
      <c r="BM77" s="686" t="s">
        <v>1208</v>
      </c>
    </row>
    <row r="78" spans="1:65" s="661" customFormat="1" ht="22.9" customHeight="1">
      <c r="B78" s="732"/>
      <c r="C78" s="733"/>
      <c r="D78" s="734" t="s">
        <v>491</v>
      </c>
      <c r="E78" s="742" t="s">
        <v>1209</v>
      </c>
      <c r="F78" s="742" t="s">
        <v>1210</v>
      </c>
      <c r="G78" s="733"/>
      <c r="H78" s="733"/>
      <c r="I78" s="733"/>
      <c r="J78" s="733"/>
      <c r="K78" s="743">
        <f>BK78</f>
        <v>0</v>
      </c>
      <c r="L78" s="733"/>
      <c r="M78" s="662"/>
      <c r="N78" s="737"/>
      <c r="O78" s="738"/>
      <c r="P78" s="738"/>
      <c r="Q78" s="739">
        <f>SUM(Q79:Q267)</f>
        <v>0</v>
      </c>
      <c r="R78" s="739">
        <f>SUM(R79:R267)</f>
        <v>0</v>
      </c>
      <c r="S78" s="738"/>
      <c r="T78" s="740">
        <f>SUM(T79:T267)</f>
        <v>54.366199999999992</v>
      </c>
      <c r="U78" s="738"/>
      <c r="V78" s="740">
        <f>SUM(V79:V267)</f>
        <v>0.10466000000000003</v>
      </c>
      <c r="W78" s="738"/>
      <c r="X78" s="741">
        <f>SUM(X79:X267)</f>
        <v>0</v>
      </c>
      <c r="AR78" s="663" t="s">
        <v>795</v>
      </c>
      <c r="AT78" s="670" t="s">
        <v>491</v>
      </c>
      <c r="AU78" s="670" t="s">
        <v>791</v>
      </c>
      <c r="AY78" s="663" t="s">
        <v>1063</v>
      </c>
      <c r="BK78" s="671">
        <f>SUM(BK79:BK267)</f>
        <v>0</v>
      </c>
    </row>
    <row r="79" spans="1:65" s="634" customFormat="1" ht="21.75" customHeight="1">
      <c r="A79" s="705"/>
      <c r="B79" s="706"/>
      <c r="C79" s="744" t="s">
        <v>1211</v>
      </c>
      <c r="D79" s="744" t="s">
        <v>29</v>
      </c>
      <c r="E79" s="745" t="s">
        <v>1212</v>
      </c>
      <c r="F79" s="746" t="s">
        <v>1213</v>
      </c>
      <c r="G79" s="747" t="s">
        <v>14</v>
      </c>
      <c r="H79" s="748">
        <v>6.5</v>
      </c>
      <c r="I79" s="749"/>
      <c r="J79" s="749"/>
      <c r="K79" s="749">
        <f>ROUND(P79*H79,2)</f>
        <v>0</v>
      </c>
      <c r="L79" s="750"/>
      <c r="M79" s="631"/>
      <c r="N79" s="751" t="s">
        <v>1043</v>
      </c>
      <c r="O79" s="752" t="s">
        <v>1129</v>
      </c>
      <c r="P79" s="753">
        <f>I79+J79</f>
        <v>0</v>
      </c>
      <c r="Q79" s="753">
        <f>ROUND(I79*H79,2)</f>
        <v>0</v>
      </c>
      <c r="R79" s="753">
        <f>ROUND(J79*H79,2)</f>
        <v>0</v>
      </c>
      <c r="S79" s="754">
        <v>0.61699999999999999</v>
      </c>
      <c r="T79" s="754">
        <f>S79*H79</f>
        <v>4.0105000000000004</v>
      </c>
      <c r="U79" s="754">
        <v>1.7600000000000001E-3</v>
      </c>
      <c r="V79" s="754">
        <f>U79*H79</f>
        <v>1.1440000000000001E-2</v>
      </c>
      <c r="W79" s="754">
        <v>0</v>
      </c>
      <c r="X79" s="755">
        <f>W79*H79</f>
        <v>0</v>
      </c>
      <c r="Y79" s="705"/>
      <c r="Z79" s="705"/>
      <c r="AA79" s="705"/>
      <c r="AB79" s="705"/>
      <c r="AC79" s="705"/>
      <c r="AD79" s="705"/>
      <c r="AE79" s="705"/>
      <c r="AR79" s="686" t="s">
        <v>1185</v>
      </c>
      <c r="AT79" s="686" t="s">
        <v>29</v>
      </c>
      <c r="AU79" s="686" t="s">
        <v>795</v>
      </c>
      <c r="AY79" s="629" t="s">
        <v>1063</v>
      </c>
      <c r="BE79" s="687">
        <f>IF(O79="základná",K79,0)</f>
        <v>0</v>
      </c>
      <c r="BF79" s="687">
        <f>IF(O79="znížená",K79,0)</f>
        <v>0</v>
      </c>
      <c r="BG79" s="687">
        <f>IF(O79="zákl. prenesená",K79,0)</f>
        <v>0</v>
      </c>
      <c r="BH79" s="687">
        <f>IF(O79="zníž. prenesená",K79,0)</f>
        <v>0</v>
      </c>
      <c r="BI79" s="687">
        <f>IF(O79="nulová",K79,0)</f>
        <v>0</v>
      </c>
      <c r="BJ79" s="629" t="s">
        <v>795</v>
      </c>
      <c r="BK79" s="687">
        <f>ROUND(P79*H79,2)</f>
        <v>0</v>
      </c>
      <c r="BL79" s="629" t="s">
        <v>1185</v>
      </c>
      <c r="BM79" s="686" t="s">
        <v>1214</v>
      </c>
    </row>
    <row r="80" spans="1:65" s="756" customFormat="1" ht="11.25">
      <c r="B80" s="757"/>
      <c r="C80" s="758"/>
      <c r="D80" s="759" t="s">
        <v>1143</v>
      </c>
      <c r="E80" s="760" t="s">
        <v>1043</v>
      </c>
      <c r="F80" s="761" t="s">
        <v>1215</v>
      </c>
      <c r="G80" s="758"/>
      <c r="H80" s="760" t="s">
        <v>1043</v>
      </c>
      <c r="I80" s="758"/>
      <c r="J80" s="758"/>
      <c r="K80" s="758"/>
      <c r="L80" s="758"/>
      <c r="M80" s="762"/>
      <c r="N80" s="763"/>
      <c r="O80" s="764"/>
      <c r="P80" s="764"/>
      <c r="Q80" s="764"/>
      <c r="R80" s="764"/>
      <c r="S80" s="764"/>
      <c r="T80" s="764"/>
      <c r="U80" s="764"/>
      <c r="V80" s="764"/>
      <c r="W80" s="764"/>
      <c r="X80" s="765"/>
      <c r="AT80" s="766" t="s">
        <v>1143</v>
      </c>
      <c r="AU80" s="766" t="s">
        <v>795</v>
      </c>
      <c r="AV80" s="756" t="s">
        <v>791</v>
      </c>
      <c r="AW80" s="756" t="s">
        <v>1145</v>
      </c>
      <c r="AX80" s="756" t="s">
        <v>788</v>
      </c>
      <c r="AY80" s="766" t="s">
        <v>1063</v>
      </c>
    </row>
    <row r="81" spans="1:65" s="767" customFormat="1" ht="11.25">
      <c r="B81" s="768"/>
      <c r="C81" s="769"/>
      <c r="D81" s="759" t="s">
        <v>1143</v>
      </c>
      <c r="E81" s="770" t="s">
        <v>1043</v>
      </c>
      <c r="F81" s="771" t="s">
        <v>1216</v>
      </c>
      <c r="G81" s="769"/>
      <c r="H81" s="772">
        <v>6.5</v>
      </c>
      <c r="I81" s="769"/>
      <c r="J81" s="769"/>
      <c r="K81" s="769"/>
      <c r="L81" s="769"/>
      <c r="M81" s="773"/>
      <c r="N81" s="774"/>
      <c r="O81" s="775"/>
      <c r="P81" s="775"/>
      <c r="Q81" s="775"/>
      <c r="R81" s="775"/>
      <c r="S81" s="775"/>
      <c r="T81" s="775"/>
      <c r="U81" s="775"/>
      <c r="V81" s="775"/>
      <c r="W81" s="775"/>
      <c r="X81" s="776"/>
      <c r="AT81" s="777" t="s">
        <v>1143</v>
      </c>
      <c r="AU81" s="777" t="s">
        <v>795</v>
      </c>
      <c r="AV81" s="767" t="s">
        <v>795</v>
      </c>
      <c r="AW81" s="767" t="s">
        <v>1145</v>
      </c>
      <c r="AX81" s="767" t="s">
        <v>788</v>
      </c>
      <c r="AY81" s="777" t="s">
        <v>1063</v>
      </c>
    </row>
    <row r="82" spans="1:65" s="778" customFormat="1" ht="11.25">
      <c r="B82" s="779"/>
      <c r="C82" s="780"/>
      <c r="D82" s="759" t="s">
        <v>1143</v>
      </c>
      <c r="E82" s="781" t="s">
        <v>1043</v>
      </c>
      <c r="F82" s="782" t="s">
        <v>1153</v>
      </c>
      <c r="G82" s="780"/>
      <c r="H82" s="783">
        <v>6.5</v>
      </c>
      <c r="I82" s="780"/>
      <c r="J82" s="780"/>
      <c r="K82" s="780"/>
      <c r="L82" s="780"/>
      <c r="M82" s="784"/>
      <c r="N82" s="785"/>
      <c r="O82" s="786"/>
      <c r="P82" s="786"/>
      <c r="Q82" s="786"/>
      <c r="R82" s="786"/>
      <c r="S82" s="786"/>
      <c r="T82" s="786"/>
      <c r="U82" s="786"/>
      <c r="V82" s="786"/>
      <c r="W82" s="786"/>
      <c r="X82" s="787"/>
      <c r="AT82" s="788" t="s">
        <v>1143</v>
      </c>
      <c r="AU82" s="788" t="s">
        <v>795</v>
      </c>
      <c r="AV82" s="778" t="s">
        <v>1065</v>
      </c>
      <c r="AW82" s="778" t="s">
        <v>1145</v>
      </c>
      <c r="AX82" s="778" t="s">
        <v>791</v>
      </c>
      <c r="AY82" s="788" t="s">
        <v>1063</v>
      </c>
    </row>
    <row r="83" spans="1:65" s="634" customFormat="1" ht="21.75" customHeight="1">
      <c r="A83" s="705"/>
      <c r="B83" s="706"/>
      <c r="C83" s="744" t="s">
        <v>1217</v>
      </c>
      <c r="D83" s="744" t="s">
        <v>29</v>
      </c>
      <c r="E83" s="745" t="s">
        <v>1218</v>
      </c>
      <c r="F83" s="746" t="s">
        <v>1219</v>
      </c>
      <c r="G83" s="747" t="s">
        <v>14</v>
      </c>
      <c r="H83" s="748">
        <v>18.5</v>
      </c>
      <c r="I83" s="749"/>
      <c r="J83" s="749"/>
      <c r="K83" s="749">
        <f>ROUND(P83*H83,2)</f>
        <v>0</v>
      </c>
      <c r="L83" s="750"/>
      <c r="M83" s="631"/>
      <c r="N83" s="751" t="s">
        <v>1043</v>
      </c>
      <c r="O83" s="752" t="s">
        <v>1129</v>
      </c>
      <c r="P83" s="753">
        <f>I83+J83</f>
        <v>0</v>
      </c>
      <c r="Q83" s="753">
        <f>ROUND(I83*H83,2)</f>
        <v>0</v>
      </c>
      <c r="R83" s="753">
        <f>ROUND(J83*H83,2)</f>
        <v>0</v>
      </c>
      <c r="S83" s="754">
        <v>0.64200000000000002</v>
      </c>
      <c r="T83" s="754">
        <f>S83*H83</f>
        <v>11.877000000000001</v>
      </c>
      <c r="U83" s="754">
        <v>1.89E-3</v>
      </c>
      <c r="V83" s="754">
        <f>U83*H83</f>
        <v>3.4964999999999996E-2</v>
      </c>
      <c r="W83" s="754">
        <v>0</v>
      </c>
      <c r="X83" s="755">
        <f>W83*H83</f>
        <v>0</v>
      </c>
      <c r="Y83" s="705"/>
      <c r="Z83" s="705"/>
      <c r="AA83" s="705"/>
      <c r="AB83" s="705"/>
      <c r="AC83" s="705"/>
      <c r="AD83" s="705"/>
      <c r="AE83" s="705"/>
      <c r="AR83" s="686" t="s">
        <v>1185</v>
      </c>
      <c r="AT83" s="686" t="s">
        <v>29</v>
      </c>
      <c r="AU83" s="686" t="s">
        <v>795</v>
      </c>
      <c r="AY83" s="629" t="s">
        <v>1063</v>
      </c>
      <c r="BE83" s="687">
        <f>IF(O83="základná",K83,0)</f>
        <v>0</v>
      </c>
      <c r="BF83" s="687">
        <f>IF(O83="znížená",K83,0)</f>
        <v>0</v>
      </c>
      <c r="BG83" s="687">
        <f>IF(O83="zákl. prenesená",K83,0)</f>
        <v>0</v>
      </c>
      <c r="BH83" s="687">
        <f>IF(O83="zníž. prenesená",K83,0)</f>
        <v>0</v>
      </c>
      <c r="BI83" s="687">
        <f>IF(O83="nulová",K83,0)</f>
        <v>0</v>
      </c>
      <c r="BJ83" s="629" t="s">
        <v>795</v>
      </c>
      <c r="BK83" s="687">
        <f>ROUND(P83*H83,2)</f>
        <v>0</v>
      </c>
      <c r="BL83" s="629" t="s">
        <v>1185</v>
      </c>
      <c r="BM83" s="686" t="s">
        <v>1220</v>
      </c>
    </row>
    <row r="84" spans="1:65" s="756" customFormat="1" ht="11.25">
      <c r="B84" s="757"/>
      <c r="C84" s="758"/>
      <c r="D84" s="759" t="s">
        <v>1143</v>
      </c>
      <c r="E84" s="760" t="s">
        <v>1043</v>
      </c>
      <c r="F84" s="761" t="s">
        <v>1221</v>
      </c>
      <c r="G84" s="758"/>
      <c r="H84" s="760" t="s">
        <v>1043</v>
      </c>
      <c r="I84" s="758"/>
      <c r="J84" s="758"/>
      <c r="K84" s="758"/>
      <c r="L84" s="758"/>
      <c r="M84" s="762"/>
      <c r="N84" s="763"/>
      <c r="O84" s="764"/>
      <c r="P84" s="764"/>
      <c r="Q84" s="764"/>
      <c r="R84" s="764"/>
      <c r="S84" s="764"/>
      <c r="T84" s="764"/>
      <c r="U84" s="764"/>
      <c r="V84" s="764"/>
      <c r="W84" s="764"/>
      <c r="X84" s="765"/>
      <c r="AT84" s="766" t="s">
        <v>1143</v>
      </c>
      <c r="AU84" s="766" t="s">
        <v>795</v>
      </c>
      <c r="AV84" s="756" t="s">
        <v>791</v>
      </c>
      <c r="AW84" s="756" t="s">
        <v>1145</v>
      </c>
      <c r="AX84" s="756" t="s">
        <v>788</v>
      </c>
      <c r="AY84" s="766" t="s">
        <v>1063</v>
      </c>
    </row>
    <row r="85" spans="1:65" s="767" customFormat="1" ht="11.25">
      <c r="B85" s="768"/>
      <c r="C85" s="769"/>
      <c r="D85" s="759" t="s">
        <v>1143</v>
      </c>
      <c r="E85" s="770" t="s">
        <v>1043</v>
      </c>
      <c r="F85" s="771" t="s">
        <v>1222</v>
      </c>
      <c r="G85" s="769"/>
      <c r="H85" s="772">
        <v>11.5</v>
      </c>
      <c r="I85" s="769"/>
      <c r="J85" s="769"/>
      <c r="K85" s="769"/>
      <c r="L85" s="769"/>
      <c r="M85" s="773"/>
      <c r="N85" s="774"/>
      <c r="O85" s="775"/>
      <c r="P85" s="775"/>
      <c r="Q85" s="775"/>
      <c r="R85" s="775"/>
      <c r="S85" s="775"/>
      <c r="T85" s="775"/>
      <c r="U85" s="775"/>
      <c r="V85" s="775"/>
      <c r="W85" s="775"/>
      <c r="X85" s="776"/>
      <c r="AT85" s="777" t="s">
        <v>1143</v>
      </c>
      <c r="AU85" s="777" t="s">
        <v>795</v>
      </c>
      <c r="AV85" s="767" t="s">
        <v>795</v>
      </c>
      <c r="AW85" s="767" t="s">
        <v>1145</v>
      </c>
      <c r="AX85" s="767" t="s">
        <v>788</v>
      </c>
      <c r="AY85" s="777" t="s">
        <v>1063</v>
      </c>
    </row>
    <row r="86" spans="1:65" s="756" customFormat="1" ht="11.25">
      <c r="B86" s="757"/>
      <c r="C86" s="758"/>
      <c r="D86" s="759" t="s">
        <v>1143</v>
      </c>
      <c r="E86" s="760" t="s">
        <v>1043</v>
      </c>
      <c r="F86" s="761" t="s">
        <v>1148</v>
      </c>
      <c r="G86" s="758"/>
      <c r="H86" s="760" t="s">
        <v>1043</v>
      </c>
      <c r="I86" s="758"/>
      <c r="J86" s="758"/>
      <c r="K86" s="758"/>
      <c r="L86" s="758"/>
      <c r="M86" s="762"/>
      <c r="N86" s="763"/>
      <c r="O86" s="764"/>
      <c r="P86" s="764"/>
      <c r="Q86" s="764"/>
      <c r="R86" s="764"/>
      <c r="S86" s="764"/>
      <c r="T86" s="764"/>
      <c r="U86" s="764"/>
      <c r="V86" s="764"/>
      <c r="W86" s="764"/>
      <c r="X86" s="765"/>
      <c r="AT86" s="766" t="s">
        <v>1143</v>
      </c>
      <c r="AU86" s="766" t="s">
        <v>795</v>
      </c>
      <c r="AV86" s="756" t="s">
        <v>791</v>
      </c>
      <c r="AW86" s="756" t="s">
        <v>1145</v>
      </c>
      <c r="AX86" s="756" t="s">
        <v>788</v>
      </c>
      <c r="AY86" s="766" t="s">
        <v>1063</v>
      </c>
    </row>
    <row r="87" spans="1:65" s="767" customFormat="1" ht="11.25">
      <c r="B87" s="768"/>
      <c r="C87" s="769"/>
      <c r="D87" s="759" t="s">
        <v>1143</v>
      </c>
      <c r="E87" s="770" t="s">
        <v>1043</v>
      </c>
      <c r="F87" s="771" t="s">
        <v>1223</v>
      </c>
      <c r="G87" s="769"/>
      <c r="H87" s="772">
        <v>7</v>
      </c>
      <c r="I87" s="769"/>
      <c r="J87" s="769"/>
      <c r="K87" s="769"/>
      <c r="L87" s="769"/>
      <c r="M87" s="773"/>
      <c r="N87" s="774"/>
      <c r="O87" s="775"/>
      <c r="P87" s="775"/>
      <c r="Q87" s="775"/>
      <c r="R87" s="775"/>
      <c r="S87" s="775"/>
      <c r="T87" s="775"/>
      <c r="U87" s="775"/>
      <c r="V87" s="775"/>
      <c r="W87" s="775"/>
      <c r="X87" s="776"/>
      <c r="AT87" s="777" t="s">
        <v>1143</v>
      </c>
      <c r="AU87" s="777" t="s">
        <v>795</v>
      </c>
      <c r="AV87" s="767" t="s">
        <v>795</v>
      </c>
      <c r="AW87" s="767" t="s">
        <v>1145</v>
      </c>
      <c r="AX87" s="767" t="s">
        <v>788</v>
      </c>
      <c r="AY87" s="777" t="s">
        <v>1063</v>
      </c>
    </row>
    <row r="88" spans="1:65" s="778" customFormat="1" ht="11.25">
      <c r="B88" s="779"/>
      <c r="C88" s="780"/>
      <c r="D88" s="759" t="s">
        <v>1143</v>
      </c>
      <c r="E88" s="781" t="s">
        <v>1043</v>
      </c>
      <c r="F88" s="782" t="s">
        <v>1153</v>
      </c>
      <c r="G88" s="780"/>
      <c r="H88" s="783">
        <v>18.5</v>
      </c>
      <c r="I88" s="780"/>
      <c r="J88" s="780"/>
      <c r="K88" s="780"/>
      <c r="L88" s="780"/>
      <c r="M88" s="784"/>
      <c r="N88" s="785"/>
      <c r="O88" s="786"/>
      <c r="P88" s="786"/>
      <c r="Q88" s="786"/>
      <c r="R88" s="786"/>
      <c r="S88" s="786"/>
      <c r="T88" s="786"/>
      <c r="U88" s="786"/>
      <c r="V88" s="786"/>
      <c r="W88" s="786"/>
      <c r="X88" s="787"/>
      <c r="AT88" s="788" t="s">
        <v>1143</v>
      </c>
      <c r="AU88" s="788" t="s">
        <v>795</v>
      </c>
      <c r="AV88" s="778" t="s">
        <v>1065</v>
      </c>
      <c r="AW88" s="778" t="s">
        <v>1145</v>
      </c>
      <c r="AX88" s="778" t="s">
        <v>791</v>
      </c>
      <c r="AY88" s="788" t="s">
        <v>1063</v>
      </c>
    </row>
    <row r="89" spans="1:65" s="634" customFormat="1" ht="21.75" customHeight="1">
      <c r="A89" s="705"/>
      <c r="B89" s="706"/>
      <c r="C89" s="744" t="s">
        <v>1224</v>
      </c>
      <c r="D89" s="744" t="s">
        <v>29</v>
      </c>
      <c r="E89" s="745" t="s">
        <v>1225</v>
      </c>
      <c r="F89" s="746" t="s">
        <v>1226</v>
      </c>
      <c r="G89" s="747" t="s">
        <v>14</v>
      </c>
      <c r="H89" s="748">
        <v>3.5</v>
      </c>
      <c r="I89" s="749"/>
      <c r="J89" s="749"/>
      <c r="K89" s="749">
        <f>ROUND(P89*H89,2)</f>
        <v>0</v>
      </c>
      <c r="L89" s="750"/>
      <c r="M89" s="631"/>
      <c r="N89" s="751" t="s">
        <v>1043</v>
      </c>
      <c r="O89" s="752" t="s">
        <v>1129</v>
      </c>
      <c r="P89" s="753">
        <f>I89+J89</f>
        <v>0</v>
      </c>
      <c r="Q89" s="753">
        <f>ROUND(I89*H89,2)</f>
        <v>0</v>
      </c>
      <c r="R89" s="753">
        <f>ROUND(J89*H89,2)</f>
        <v>0</v>
      </c>
      <c r="S89" s="754">
        <v>0.73399999999999999</v>
      </c>
      <c r="T89" s="754">
        <f>S89*H89</f>
        <v>2.569</v>
      </c>
      <c r="U89" s="754">
        <v>8.0999999999999996E-4</v>
      </c>
      <c r="V89" s="754">
        <f>U89*H89</f>
        <v>2.8349999999999998E-3</v>
      </c>
      <c r="W89" s="754">
        <v>0</v>
      </c>
      <c r="X89" s="755">
        <f>W89*H89</f>
        <v>0</v>
      </c>
      <c r="Y89" s="705"/>
      <c r="Z89" s="705"/>
      <c r="AA89" s="705"/>
      <c r="AB89" s="705"/>
      <c r="AC89" s="705"/>
      <c r="AD89" s="705"/>
      <c r="AE89" s="705"/>
      <c r="AR89" s="686" t="s">
        <v>1185</v>
      </c>
      <c r="AT89" s="686" t="s">
        <v>29</v>
      </c>
      <c r="AU89" s="686" t="s">
        <v>795</v>
      </c>
      <c r="AY89" s="629" t="s">
        <v>1063</v>
      </c>
      <c r="BE89" s="687">
        <f>IF(O89="základná",K89,0)</f>
        <v>0</v>
      </c>
      <c r="BF89" s="687">
        <f>IF(O89="znížená",K89,0)</f>
        <v>0</v>
      </c>
      <c r="BG89" s="687">
        <f>IF(O89="zákl. prenesená",K89,0)</f>
        <v>0</v>
      </c>
      <c r="BH89" s="687">
        <f>IF(O89="zníž. prenesená",K89,0)</f>
        <v>0</v>
      </c>
      <c r="BI89" s="687">
        <f>IF(O89="nulová",K89,0)</f>
        <v>0</v>
      </c>
      <c r="BJ89" s="629" t="s">
        <v>795</v>
      </c>
      <c r="BK89" s="687">
        <f>ROUND(P89*H89,2)</f>
        <v>0</v>
      </c>
      <c r="BL89" s="629" t="s">
        <v>1185</v>
      </c>
      <c r="BM89" s="686" t="s">
        <v>1227</v>
      </c>
    </row>
    <row r="90" spans="1:65" s="756" customFormat="1" ht="11.25">
      <c r="B90" s="757"/>
      <c r="C90" s="758"/>
      <c r="D90" s="759" t="s">
        <v>1143</v>
      </c>
      <c r="E90" s="760" t="s">
        <v>1043</v>
      </c>
      <c r="F90" s="761" t="s">
        <v>1228</v>
      </c>
      <c r="G90" s="758"/>
      <c r="H90" s="760" t="s">
        <v>1043</v>
      </c>
      <c r="I90" s="758"/>
      <c r="J90" s="758"/>
      <c r="K90" s="758"/>
      <c r="L90" s="758"/>
      <c r="M90" s="762"/>
      <c r="N90" s="763"/>
      <c r="O90" s="764"/>
      <c r="P90" s="764"/>
      <c r="Q90" s="764"/>
      <c r="R90" s="764"/>
      <c r="S90" s="764"/>
      <c r="T90" s="764"/>
      <c r="U90" s="764"/>
      <c r="V90" s="764"/>
      <c r="W90" s="764"/>
      <c r="X90" s="765"/>
      <c r="AT90" s="766" t="s">
        <v>1143</v>
      </c>
      <c r="AU90" s="766" t="s">
        <v>795</v>
      </c>
      <c r="AV90" s="756" t="s">
        <v>791</v>
      </c>
      <c r="AW90" s="756" t="s">
        <v>1145</v>
      </c>
      <c r="AX90" s="756" t="s">
        <v>788</v>
      </c>
      <c r="AY90" s="766" t="s">
        <v>1063</v>
      </c>
    </row>
    <row r="91" spans="1:65" s="767" customFormat="1" ht="11.25">
      <c r="B91" s="768"/>
      <c r="C91" s="769"/>
      <c r="D91" s="759" t="s">
        <v>1143</v>
      </c>
      <c r="E91" s="770" t="s">
        <v>1043</v>
      </c>
      <c r="F91" s="771" t="s">
        <v>1229</v>
      </c>
      <c r="G91" s="769"/>
      <c r="H91" s="772">
        <v>3.5</v>
      </c>
      <c r="I91" s="769"/>
      <c r="J91" s="769"/>
      <c r="K91" s="769"/>
      <c r="L91" s="769"/>
      <c r="M91" s="773"/>
      <c r="N91" s="774"/>
      <c r="O91" s="775"/>
      <c r="P91" s="775"/>
      <c r="Q91" s="775"/>
      <c r="R91" s="775"/>
      <c r="S91" s="775"/>
      <c r="T91" s="775"/>
      <c r="U91" s="775"/>
      <c r="V91" s="775"/>
      <c r="W91" s="775"/>
      <c r="X91" s="776"/>
      <c r="AT91" s="777" t="s">
        <v>1143</v>
      </c>
      <c r="AU91" s="777" t="s">
        <v>795</v>
      </c>
      <c r="AV91" s="767" t="s">
        <v>795</v>
      </c>
      <c r="AW91" s="767" t="s">
        <v>1145</v>
      </c>
      <c r="AX91" s="767" t="s">
        <v>788</v>
      </c>
      <c r="AY91" s="777" t="s">
        <v>1063</v>
      </c>
    </row>
    <row r="92" spans="1:65" s="778" customFormat="1" ht="11.25">
      <c r="B92" s="779"/>
      <c r="C92" s="780"/>
      <c r="D92" s="759" t="s">
        <v>1143</v>
      </c>
      <c r="E92" s="781" t="s">
        <v>1043</v>
      </c>
      <c r="F92" s="782" t="s">
        <v>1153</v>
      </c>
      <c r="G92" s="780"/>
      <c r="H92" s="783">
        <v>3.5</v>
      </c>
      <c r="I92" s="780"/>
      <c r="J92" s="780"/>
      <c r="K92" s="780"/>
      <c r="L92" s="780"/>
      <c r="M92" s="784"/>
      <c r="N92" s="785"/>
      <c r="O92" s="786"/>
      <c r="P92" s="786"/>
      <c r="Q92" s="786"/>
      <c r="R92" s="786"/>
      <c r="S92" s="786"/>
      <c r="T92" s="786"/>
      <c r="U92" s="786"/>
      <c r="V92" s="786"/>
      <c r="W92" s="786"/>
      <c r="X92" s="787"/>
      <c r="AT92" s="788" t="s">
        <v>1143</v>
      </c>
      <c r="AU92" s="788" t="s">
        <v>795</v>
      </c>
      <c r="AV92" s="778" t="s">
        <v>1065</v>
      </c>
      <c r="AW92" s="778" t="s">
        <v>1145</v>
      </c>
      <c r="AX92" s="778" t="s">
        <v>791</v>
      </c>
      <c r="AY92" s="788" t="s">
        <v>1063</v>
      </c>
    </row>
    <row r="93" spans="1:65" s="634" customFormat="1" ht="21.75" customHeight="1">
      <c r="A93" s="705"/>
      <c r="B93" s="706"/>
      <c r="C93" s="744" t="s">
        <v>1185</v>
      </c>
      <c r="D93" s="744" t="s">
        <v>29</v>
      </c>
      <c r="E93" s="745" t="s">
        <v>1230</v>
      </c>
      <c r="F93" s="746" t="s">
        <v>1231</v>
      </c>
      <c r="G93" s="747" t="s">
        <v>14</v>
      </c>
      <c r="H93" s="748">
        <v>4</v>
      </c>
      <c r="I93" s="749"/>
      <c r="J93" s="749"/>
      <c r="K93" s="749">
        <f>ROUND(P93*H93,2)</f>
        <v>0</v>
      </c>
      <c r="L93" s="750"/>
      <c r="M93" s="631"/>
      <c r="N93" s="751" t="s">
        <v>1043</v>
      </c>
      <c r="O93" s="752" t="s">
        <v>1129</v>
      </c>
      <c r="P93" s="753">
        <f>I93+J93</f>
        <v>0</v>
      </c>
      <c r="Q93" s="753">
        <f>ROUND(I93*H93,2)</f>
        <v>0</v>
      </c>
      <c r="R93" s="753">
        <f>ROUND(J93*H93,2)</f>
        <v>0</v>
      </c>
      <c r="S93" s="754">
        <v>0.48199999999999998</v>
      </c>
      <c r="T93" s="754">
        <f>S93*H93</f>
        <v>1.9279999999999999</v>
      </c>
      <c r="U93" s="754">
        <v>1.4999999999999999E-4</v>
      </c>
      <c r="V93" s="754">
        <f>U93*H93</f>
        <v>5.9999999999999995E-4</v>
      </c>
      <c r="W93" s="754">
        <v>0</v>
      </c>
      <c r="X93" s="755">
        <f>W93*H93</f>
        <v>0</v>
      </c>
      <c r="Y93" s="705"/>
      <c r="Z93" s="705"/>
      <c r="AA93" s="705"/>
      <c r="AB93" s="705"/>
      <c r="AC93" s="705"/>
      <c r="AD93" s="705"/>
      <c r="AE93" s="705"/>
      <c r="AR93" s="686" t="s">
        <v>1185</v>
      </c>
      <c r="AT93" s="686" t="s">
        <v>29</v>
      </c>
      <c r="AU93" s="686" t="s">
        <v>795</v>
      </c>
      <c r="AY93" s="629" t="s">
        <v>1063</v>
      </c>
      <c r="BE93" s="687">
        <f>IF(O93="základná",K93,0)</f>
        <v>0</v>
      </c>
      <c r="BF93" s="687">
        <f>IF(O93="znížená",K93,0)</f>
        <v>0</v>
      </c>
      <c r="BG93" s="687">
        <f>IF(O93="zákl. prenesená",K93,0)</f>
        <v>0</v>
      </c>
      <c r="BH93" s="687">
        <f>IF(O93="zníž. prenesená",K93,0)</f>
        <v>0</v>
      </c>
      <c r="BI93" s="687">
        <f>IF(O93="nulová",K93,0)</f>
        <v>0</v>
      </c>
      <c r="BJ93" s="629" t="s">
        <v>795</v>
      </c>
      <c r="BK93" s="687">
        <f>ROUND(P93*H93,2)</f>
        <v>0</v>
      </c>
      <c r="BL93" s="629" t="s">
        <v>1185</v>
      </c>
      <c r="BM93" s="686" t="s">
        <v>1232</v>
      </c>
    </row>
    <row r="94" spans="1:65" s="756" customFormat="1" ht="11.25">
      <c r="B94" s="757"/>
      <c r="C94" s="758"/>
      <c r="D94" s="759" t="s">
        <v>1143</v>
      </c>
      <c r="E94" s="760" t="s">
        <v>1043</v>
      </c>
      <c r="F94" s="761" t="s">
        <v>1233</v>
      </c>
      <c r="G94" s="758"/>
      <c r="H94" s="760" t="s">
        <v>1043</v>
      </c>
      <c r="I94" s="758"/>
      <c r="J94" s="758"/>
      <c r="K94" s="758"/>
      <c r="L94" s="758"/>
      <c r="M94" s="762"/>
      <c r="N94" s="763"/>
      <c r="O94" s="764"/>
      <c r="P94" s="764"/>
      <c r="Q94" s="764"/>
      <c r="R94" s="764"/>
      <c r="S94" s="764"/>
      <c r="T94" s="764"/>
      <c r="U94" s="764"/>
      <c r="V94" s="764"/>
      <c r="W94" s="764"/>
      <c r="X94" s="765"/>
      <c r="AT94" s="766" t="s">
        <v>1143</v>
      </c>
      <c r="AU94" s="766" t="s">
        <v>795</v>
      </c>
      <c r="AV94" s="756" t="s">
        <v>791</v>
      </c>
      <c r="AW94" s="756" t="s">
        <v>1145</v>
      </c>
      <c r="AX94" s="756" t="s">
        <v>788</v>
      </c>
      <c r="AY94" s="766" t="s">
        <v>1063</v>
      </c>
    </row>
    <row r="95" spans="1:65" s="767" customFormat="1" ht="11.25">
      <c r="B95" s="768"/>
      <c r="C95" s="769"/>
      <c r="D95" s="759" t="s">
        <v>1143</v>
      </c>
      <c r="E95" s="770" t="s">
        <v>1043</v>
      </c>
      <c r="F95" s="771" t="s">
        <v>1065</v>
      </c>
      <c r="G95" s="769"/>
      <c r="H95" s="772">
        <v>4</v>
      </c>
      <c r="I95" s="769"/>
      <c r="J95" s="769"/>
      <c r="K95" s="769"/>
      <c r="L95" s="769"/>
      <c r="M95" s="773"/>
      <c r="N95" s="774"/>
      <c r="O95" s="775"/>
      <c r="P95" s="775"/>
      <c r="Q95" s="775"/>
      <c r="R95" s="775"/>
      <c r="S95" s="775"/>
      <c r="T95" s="775"/>
      <c r="U95" s="775"/>
      <c r="V95" s="775"/>
      <c r="W95" s="775"/>
      <c r="X95" s="776"/>
      <c r="AT95" s="777" t="s">
        <v>1143</v>
      </c>
      <c r="AU95" s="777" t="s">
        <v>795</v>
      </c>
      <c r="AV95" s="767" t="s">
        <v>795</v>
      </c>
      <c r="AW95" s="767" t="s">
        <v>1145</v>
      </c>
      <c r="AX95" s="767" t="s">
        <v>788</v>
      </c>
      <c r="AY95" s="777" t="s">
        <v>1063</v>
      </c>
    </row>
    <row r="96" spans="1:65" s="778" customFormat="1" ht="11.25">
      <c r="B96" s="779"/>
      <c r="C96" s="780"/>
      <c r="D96" s="759" t="s">
        <v>1143</v>
      </c>
      <c r="E96" s="781" t="s">
        <v>1043</v>
      </c>
      <c r="F96" s="782" t="s">
        <v>1153</v>
      </c>
      <c r="G96" s="780"/>
      <c r="H96" s="783">
        <v>4</v>
      </c>
      <c r="I96" s="780"/>
      <c r="J96" s="780"/>
      <c r="K96" s="780"/>
      <c r="L96" s="780"/>
      <c r="M96" s="784"/>
      <c r="N96" s="785"/>
      <c r="O96" s="786"/>
      <c r="P96" s="786"/>
      <c r="Q96" s="786"/>
      <c r="R96" s="786"/>
      <c r="S96" s="786"/>
      <c r="T96" s="786"/>
      <c r="U96" s="786"/>
      <c r="V96" s="786"/>
      <c r="W96" s="786"/>
      <c r="X96" s="787"/>
      <c r="AT96" s="788" t="s">
        <v>1143</v>
      </c>
      <c r="AU96" s="788" t="s">
        <v>795</v>
      </c>
      <c r="AV96" s="778" t="s">
        <v>1065</v>
      </c>
      <c r="AW96" s="778" t="s">
        <v>1145</v>
      </c>
      <c r="AX96" s="778" t="s">
        <v>791</v>
      </c>
      <c r="AY96" s="788" t="s">
        <v>1063</v>
      </c>
    </row>
    <row r="97" spans="1:65" s="634" customFormat="1" ht="21.75" customHeight="1">
      <c r="A97" s="705"/>
      <c r="B97" s="706"/>
      <c r="C97" s="744" t="s">
        <v>1234</v>
      </c>
      <c r="D97" s="744" t="s">
        <v>29</v>
      </c>
      <c r="E97" s="745" t="s">
        <v>1235</v>
      </c>
      <c r="F97" s="746" t="s">
        <v>1236</v>
      </c>
      <c r="G97" s="747" t="s">
        <v>14</v>
      </c>
      <c r="H97" s="748">
        <v>7</v>
      </c>
      <c r="I97" s="749"/>
      <c r="J97" s="749"/>
      <c r="K97" s="749">
        <f>ROUND(P97*H97,2)</f>
        <v>0</v>
      </c>
      <c r="L97" s="750"/>
      <c r="M97" s="631"/>
      <c r="N97" s="751" t="s">
        <v>1043</v>
      </c>
      <c r="O97" s="752" t="s">
        <v>1129</v>
      </c>
      <c r="P97" s="753">
        <f>I97+J97</f>
        <v>0</v>
      </c>
      <c r="Q97" s="753">
        <f>ROUND(I97*H97,2)</f>
        <v>0</v>
      </c>
      <c r="R97" s="753">
        <f>ROUND(J97*H97,2)</f>
        <v>0</v>
      </c>
      <c r="S97" s="754">
        <v>0.504</v>
      </c>
      <c r="T97" s="754">
        <f>S97*H97</f>
        <v>3.528</v>
      </c>
      <c r="U97" s="754">
        <v>5.0000000000000002E-5</v>
      </c>
      <c r="V97" s="754">
        <f>U97*H97</f>
        <v>3.5E-4</v>
      </c>
      <c r="W97" s="754">
        <v>0</v>
      </c>
      <c r="X97" s="755">
        <f>W97*H97</f>
        <v>0</v>
      </c>
      <c r="Y97" s="705"/>
      <c r="Z97" s="705"/>
      <c r="AA97" s="705"/>
      <c r="AB97" s="705"/>
      <c r="AC97" s="705"/>
      <c r="AD97" s="705"/>
      <c r="AE97" s="705"/>
      <c r="AR97" s="686" t="s">
        <v>1185</v>
      </c>
      <c r="AT97" s="686" t="s">
        <v>29</v>
      </c>
      <c r="AU97" s="686" t="s">
        <v>795</v>
      </c>
      <c r="AY97" s="629" t="s">
        <v>1063</v>
      </c>
      <c r="BE97" s="687">
        <f>IF(O97="základná",K97,0)</f>
        <v>0</v>
      </c>
      <c r="BF97" s="687">
        <f>IF(O97="znížená",K97,0)</f>
        <v>0</v>
      </c>
      <c r="BG97" s="687">
        <f>IF(O97="zákl. prenesená",K97,0)</f>
        <v>0</v>
      </c>
      <c r="BH97" s="687">
        <f>IF(O97="zníž. prenesená",K97,0)</f>
        <v>0</v>
      </c>
      <c r="BI97" s="687">
        <f>IF(O97="nulová",K97,0)</f>
        <v>0</v>
      </c>
      <c r="BJ97" s="629" t="s">
        <v>795</v>
      </c>
      <c r="BK97" s="687">
        <f>ROUND(P97*H97,2)</f>
        <v>0</v>
      </c>
      <c r="BL97" s="629" t="s">
        <v>1185</v>
      </c>
      <c r="BM97" s="686" t="s">
        <v>1237</v>
      </c>
    </row>
    <row r="98" spans="1:65" s="756" customFormat="1" ht="11.25">
      <c r="B98" s="757"/>
      <c r="C98" s="758"/>
      <c r="D98" s="759" t="s">
        <v>1143</v>
      </c>
      <c r="E98" s="760" t="s">
        <v>1043</v>
      </c>
      <c r="F98" s="761" t="s">
        <v>1233</v>
      </c>
      <c r="G98" s="758"/>
      <c r="H98" s="760" t="s">
        <v>1043</v>
      </c>
      <c r="I98" s="758"/>
      <c r="J98" s="758"/>
      <c r="K98" s="758"/>
      <c r="L98" s="758"/>
      <c r="M98" s="762"/>
      <c r="N98" s="763"/>
      <c r="O98" s="764"/>
      <c r="P98" s="764"/>
      <c r="Q98" s="764"/>
      <c r="R98" s="764"/>
      <c r="S98" s="764"/>
      <c r="T98" s="764"/>
      <c r="U98" s="764"/>
      <c r="V98" s="764"/>
      <c r="W98" s="764"/>
      <c r="X98" s="765"/>
      <c r="AT98" s="766" t="s">
        <v>1143</v>
      </c>
      <c r="AU98" s="766" t="s">
        <v>795</v>
      </c>
      <c r="AV98" s="756" t="s">
        <v>791</v>
      </c>
      <c r="AW98" s="756" t="s">
        <v>1145</v>
      </c>
      <c r="AX98" s="756" t="s">
        <v>788</v>
      </c>
      <c r="AY98" s="766" t="s">
        <v>1063</v>
      </c>
    </row>
    <row r="99" spans="1:65" s="767" customFormat="1" ht="11.25">
      <c r="B99" s="768"/>
      <c r="C99" s="769"/>
      <c r="D99" s="759" t="s">
        <v>1143</v>
      </c>
      <c r="E99" s="770" t="s">
        <v>1043</v>
      </c>
      <c r="F99" s="771" t="s">
        <v>1238</v>
      </c>
      <c r="G99" s="769"/>
      <c r="H99" s="772">
        <v>5</v>
      </c>
      <c r="I99" s="769"/>
      <c r="J99" s="769"/>
      <c r="K99" s="769"/>
      <c r="L99" s="769"/>
      <c r="M99" s="773"/>
      <c r="N99" s="774"/>
      <c r="O99" s="775"/>
      <c r="P99" s="775"/>
      <c r="Q99" s="775"/>
      <c r="R99" s="775"/>
      <c r="S99" s="775"/>
      <c r="T99" s="775"/>
      <c r="U99" s="775"/>
      <c r="V99" s="775"/>
      <c r="W99" s="775"/>
      <c r="X99" s="776"/>
      <c r="AT99" s="777" t="s">
        <v>1143</v>
      </c>
      <c r="AU99" s="777" t="s">
        <v>795</v>
      </c>
      <c r="AV99" s="767" t="s">
        <v>795</v>
      </c>
      <c r="AW99" s="767" t="s">
        <v>1145</v>
      </c>
      <c r="AX99" s="767" t="s">
        <v>788</v>
      </c>
      <c r="AY99" s="777" t="s">
        <v>1063</v>
      </c>
    </row>
    <row r="100" spans="1:65" s="756" customFormat="1" ht="11.25">
      <c r="B100" s="757"/>
      <c r="C100" s="758"/>
      <c r="D100" s="759" t="s">
        <v>1143</v>
      </c>
      <c r="E100" s="760" t="s">
        <v>1043</v>
      </c>
      <c r="F100" s="761" t="s">
        <v>1239</v>
      </c>
      <c r="G100" s="758"/>
      <c r="H100" s="760" t="s">
        <v>1043</v>
      </c>
      <c r="I100" s="758"/>
      <c r="J100" s="758"/>
      <c r="K100" s="758"/>
      <c r="L100" s="758"/>
      <c r="M100" s="762"/>
      <c r="N100" s="763"/>
      <c r="O100" s="764"/>
      <c r="P100" s="764"/>
      <c r="Q100" s="764"/>
      <c r="R100" s="764"/>
      <c r="S100" s="764"/>
      <c r="T100" s="764"/>
      <c r="U100" s="764"/>
      <c r="V100" s="764"/>
      <c r="W100" s="764"/>
      <c r="X100" s="765"/>
      <c r="AT100" s="766" t="s">
        <v>1143</v>
      </c>
      <c r="AU100" s="766" t="s">
        <v>795</v>
      </c>
      <c r="AV100" s="756" t="s">
        <v>791</v>
      </c>
      <c r="AW100" s="756" t="s">
        <v>1145</v>
      </c>
      <c r="AX100" s="756" t="s">
        <v>788</v>
      </c>
      <c r="AY100" s="766" t="s">
        <v>1063</v>
      </c>
    </row>
    <row r="101" spans="1:65" s="767" customFormat="1" ht="11.25">
      <c r="B101" s="768"/>
      <c r="C101" s="769"/>
      <c r="D101" s="759" t="s">
        <v>1143</v>
      </c>
      <c r="E101" s="770" t="s">
        <v>1043</v>
      </c>
      <c r="F101" s="771" t="s">
        <v>795</v>
      </c>
      <c r="G101" s="769"/>
      <c r="H101" s="772">
        <v>2</v>
      </c>
      <c r="I101" s="769"/>
      <c r="J101" s="769"/>
      <c r="K101" s="769"/>
      <c r="L101" s="769"/>
      <c r="M101" s="773"/>
      <c r="N101" s="774"/>
      <c r="O101" s="775"/>
      <c r="P101" s="775"/>
      <c r="Q101" s="775"/>
      <c r="R101" s="775"/>
      <c r="S101" s="775"/>
      <c r="T101" s="775"/>
      <c r="U101" s="775"/>
      <c r="V101" s="775"/>
      <c r="W101" s="775"/>
      <c r="X101" s="776"/>
      <c r="AT101" s="777" t="s">
        <v>1143</v>
      </c>
      <c r="AU101" s="777" t="s">
        <v>795</v>
      </c>
      <c r="AV101" s="767" t="s">
        <v>795</v>
      </c>
      <c r="AW101" s="767" t="s">
        <v>1145</v>
      </c>
      <c r="AX101" s="767" t="s">
        <v>788</v>
      </c>
      <c r="AY101" s="777" t="s">
        <v>1063</v>
      </c>
    </row>
    <row r="102" spans="1:65" s="778" customFormat="1" ht="11.25">
      <c r="B102" s="779"/>
      <c r="C102" s="780"/>
      <c r="D102" s="759" t="s">
        <v>1143</v>
      </c>
      <c r="E102" s="781" t="s">
        <v>1043</v>
      </c>
      <c r="F102" s="782" t="s">
        <v>1153</v>
      </c>
      <c r="G102" s="780"/>
      <c r="H102" s="783">
        <v>7</v>
      </c>
      <c r="I102" s="780"/>
      <c r="J102" s="780"/>
      <c r="K102" s="780"/>
      <c r="L102" s="780"/>
      <c r="M102" s="784"/>
      <c r="N102" s="785"/>
      <c r="O102" s="786"/>
      <c r="P102" s="786"/>
      <c r="Q102" s="786"/>
      <c r="R102" s="786"/>
      <c r="S102" s="786"/>
      <c r="T102" s="786"/>
      <c r="U102" s="786"/>
      <c r="V102" s="786"/>
      <c r="W102" s="786"/>
      <c r="X102" s="787"/>
      <c r="AT102" s="788" t="s">
        <v>1143</v>
      </c>
      <c r="AU102" s="788" t="s">
        <v>795</v>
      </c>
      <c r="AV102" s="778" t="s">
        <v>1065</v>
      </c>
      <c r="AW102" s="778" t="s">
        <v>1145</v>
      </c>
      <c r="AX102" s="778" t="s">
        <v>791</v>
      </c>
      <c r="AY102" s="788" t="s">
        <v>1063</v>
      </c>
    </row>
    <row r="103" spans="1:65" s="634" customFormat="1" ht="21.75" customHeight="1">
      <c r="A103" s="705"/>
      <c r="B103" s="706"/>
      <c r="C103" s="789" t="s">
        <v>1240</v>
      </c>
      <c r="D103" s="789" t="s">
        <v>83</v>
      </c>
      <c r="E103" s="790" t="s">
        <v>1241</v>
      </c>
      <c r="F103" s="791" t="s">
        <v>1242</v>
      </c>
      <c r="G103" s="792" t="s">
        <v>19</v>
      </c>
      <c r="H103" s="793">
        <v>2</v>
      </c>
      <c r="I103" s="794"/>
      <c r="J103" s="795"/>
      <c r="K103" s="794">
        <f>ROUND(P103*H103,2)</f>
        <v>0</v>
      </c>
      <c r="L103" s="795"/>
      <c r="M103" s="701"/>
      <c r="N103" s="796" t="s">
        <v>1043</v>
      </c>
      <c r="O103" s="752" t="s">
        <v>1129</v>
      </c>
      <c r="P103" s="753">
        <f>I103+J103</f>
        <v>0</v>
      </c>
      <c r="Q103" s="753">
        <f>ROUND(I103*H103,2)</f>
        <v>0</v>
      </c>
      <c r="R103" s="753">
        <f>ROUND(J103*H103,2)</f>
        <v>0</v>
      </c>
      <c r="S103" s="754">
        <v>0</v>
      </c>
      <c r="T103" s="754">
        <f>S103*H103</f>
        <v>0</v>
      </c>
      <c r="U103" s="754">
        <v>3.5E-4</v>
      </c>
      <c r="V103" s="754">
        <f>U103*H103</f>
        <v>6.9999999999999999E-4</v>
      </c>
      <c r="W103" s="754">
        <v>0</v>
      </c>
      <c r="X103" s="755">
        <f>W103*H103</f>
        <v>0</v>
      </c>
      <c r="Y103" s="705"/>
      <c r="Z103" s="705"/>
      <c r="AA103" s="705"/>
      <c r="AB103" s="705"/>
      <c r="AC103" s="705"/>
      <c r="AD103" s="705"/>
      <c r="AE103" s="705"/>
      <c r="AR103" s="686" t="s">
        <v>1190</v>
      </c>
      <c r="AT103" s="686" t="s">
        <v>83</v>
      </c>
      <c r="AU103" s="686" t="s">
        <v>795</v>
      </c>
      <c r="AY103" s="629" t="s">
        <v>1063</v>
      </c>
      <c r="BE103" s="687">
        <f>IF(O103="základná",K103,0)</f>
        <v>0</v>
      </c>
      <c r="BF103" s="687">
        <f>IF(O103="znížená",K103,0)</f>
        <v>0</v>
      </c>
      <c r="BG103" s="687">
        <f>IF(O103="zákl. prenesená",K103,0)</f>
        <v>0</v>
      </c>
      <c r="BH103" s="687">
        <f>IF(O103="zníž. prenesená",K103,0)</f>
        <v>0</v>
      </c>
      <c r="BI103" s="687">
        <f>IF(O103="nulová",K103,0)</f>
        <v>0</v>
      </c>
      <c r="BJ103" s="629" t="s">
        <v>795</v>
      </c>
      <c r="BK103" s="687">
        <f>ROUND(P103*H103,2)</f>
        <v>0</v>
      </c>
      <c r="BL103" s="629" t="s">
        <v>1185</v>
      </c>
      <c r="BM103" s="686" t="s">
        <v>1243</v>
      </c>
    </row>
    <row r="104" spans="1:65" s="756" customFormat="1" ht="11.25">
      <c r="B104" s="757"/>
      <c r="C104" s="758"/>
      <c r="D104" s="759" t="s">
        <v>1143</v>
      </c>
      <c r="E104" s="760" t="s">
        <v>1043</v>
      </c>
      <c r="F104" s="761" t="s">
        <v>1239</v>
      </c>
      <c r="G104" s="758"/>
      <c r="H104" s="760" t="s">
        <v>1043</v>
      </c>
      <c r="I104" s="758"/>
      <c r="J104" s="758"/>
      <c r="K104" s="758"/>
      <c r="L104" s="758"/>
      <c r="M104" s="762"/>
      <c r="N104" s="763"/>
      <c r="O104" s="764"/>
      <c r="P104" s="764"/>
      <c r="Q104" s="764"/>
      <c r="R104" s="764"/>
      <c r="S104" s="764"/>
      <c r="T104" s="764"/>
      <c r="U104" s="764"/>
      <c r="V104" s="764"/>
      <c r="W104" s="764"/>
      <c r="X104" s="765"/>
      <c r="AT104" s="766" t="s">
        <v>1143</v>
      </c>
      <c r="AU104" s="766" t="s">
        <v>795</v>
      </c>
      <c r="AV104" s="756" t="s">
        <v>791</v>
      </c>
      <c r="AW104" s="756" t="s">
        <v>1145</v>
      </c>
      <c r="AX104" s="756" t="s">
        <v>788</v>
      </c>
      <c r="AY104" s="766" t="s">
        <v>1063</v>
      </c>
    </row>
    <row r="105" spans="1:65" s="767" customFormat="1" ht="11.25">
      <c r="B105" s="768"/>
      <c r="C105" s="769"/>
      <c r="D105" s="759" t="s">
        <v>1143</v>
      </c>
      <c r="E105" s="770" t="s">
        <v>1043</v>
      </c>
      <c r="F105" s="771" t="s">
        <v>795</v>
      </c>
      <c r="G105" s="769"/>
      <c r="H105" s="772">
        <v>2</v>
      </c>
      <c r="I105" s="769"/>
      <c r="J105" s="769"/>
      <c r="K105" s="769"/>
      <c r="L105" s="769"/>
      <c r="M105" s="773"/>
      <c r="N105" s="774"/>
      <c r="O105" s="775"/>
      <c r="P105" s="775"/>
      <c r="Q105" s="775"/>
      <c r="R105" s="775"/>
      <c r="S105" s="775"/>
      <c r="T105" s="775"/>
      <c r="U105" s="775"/>
      <c r="V105" s="775"/>
      <c r="W105" s="775"/>
      <c r="X105" s="776"/>
      <c r="AT105" s="777" t="s">
        <v>1143</v>
      </c>
      <c r="AU105" s="777" t="s">
        <v>795</v>
      </c>
      <c r="AV105" s="767" t="s">
        <v>795</v>
      </c>
      <c r="AW105" s="767" t="s">
        <v>1145</v>
      </c>
      <c r="AX105" s="767" t="s">
        <v>788</v>
      </c>
      <c r="AY105" s="777" t="s">
        <v>1063</v>
      </c>
    </row>
    <row r="106" spans="1:65" s="778" customFormat="1" ht="11.25">
      <c r="B106" s="779"/>
      <c r="C106" s="780"/>
      <c r="D106" s="759" t="s">
        <v>1143</v>
      </c>
      <c r="E106" s="781" t="s">
        <v>1043</v>
      </c>
      <c r="F106" s="782" t="s">
        <v>1153</v>
      </c>
      <c r="G106" s="780"/>
      <c r="H106" s="783">
        <v>2</v>
      </c>
      <c r="I106" s="780"/>
      <c r="J106" s="780"/>
      <c r="K106" s="780"/>
      <c r="L106" s="780"/>
      <c r="M106" s="784"/>
      <c r="N106" s="785"/>
      <c r="O106" s="786"/>
      <c r="P106" s="786"/>
      <c r="Q106" s="786"/>
      <c r="R106" s="786"/>
      <c r="S106" s="786"/>
      <c r="T106" s="786"/>
      <c r="U106" s="786"/>
      <c r="V106" s="786"/>
      <c r="W106" s="786"/>
      <c r="X106" s="787"/>
      <c r="AT106" s="788" t="s">
        <v>1143</v>
      </c>
      <c r="AU106" s="788" t="s">
        <v>795</v>
      </c>
      <c r="AV106" s="778" t="s">
        <v>1065</v>
      </c>
      <c r="AW106" s="778" t="s">
        <v>1145</v>
      </c>
      <c r="AX106" s="778" t="s">
        <v>791</v>
      </c>
      <c r="AY106" s="788" t="s">
        <v>1063</v>
      </c>
    </row>
    <row r="107" spans="1:65" s="634" customFormat="1" ht="21.75" customHeight="1">
      <c r="A107" s="705"/>
      <c r="B107" s="706"/>
      <c r="C107" s="744" t="s">
        <v>1244</v>
      </c>
      <c r="D107" s="744" t="s">
        <v>29</v>
      </c>
      <c r="E107" s="745" t="s">
        <v>1245</v>
      </c>
      <c r="F107" s="746" t="s">
        <v>1246</v>
      </c>
      <c r="G107" s="747" t="s">
        <v>14</v>
      </c>
      <c r="H107" s="748">
        <v>3</v>
      </c>
      <c r="I107" s="749"/>
      <c r="J107" s="749"/>
      <c r="K107" s="749">
        <f>ROUND(P107*H107,2)</f>
        <v>0</v>
      </c>
      <c r="L107" s="750"/>
      <c r="M107" s="631"/>
      <c r="N107" s="751" t="s">
        <v>1043</v>
      </c>
      <c r="O107" s="752" t="s">
        <v>1129</v>
      </c>
      <c r="P107" s="753">
        <f>I107+J107</f>
        <v>0</v>
      </c>
      <c r="Q107" s="753">
        <f>ROUND(I107*H107,2)</f>
        <v>0</v>
      </c>
      <c r="R107" s="753">
        <f>ROUND(J107*H107,2)</f>
        <v>0</v>
      </c>
      <c r="S107" s="754">
        <v>0.55500000000000005</v>
      </c>
      <c r="T107" s="754">
        <f>S107*H107</f>
        <v>1.665</v>
      </c>
      <c r="U107" s="754">
        <v>1.2999999999999999E-4</v>
      </c>
      <c r="V107" s="754">
        <f>U107*H107</f>
        <v>3.8999999999999994E-4</v>
      </c>
      <c r="W107" s="754">
        <v>0</v>
      </c>
      <c r="X107" s="755">
        <f>W107*H107</f>
        <v>0</v>
      </c>
      <c r="Y107" s="705"/>
      <c r="Z107" s="705"/>
      <c r="AA107" s="705"/>
      <c r="AB107" s="705"/>
      <c r="AC107" s="705"/>
      <c r="AD107" s="705"/>
      <c r="AE107" s="705"/>
      <c r="AR107" s="686" t="s">
        <v>1185</v>
      </c>
      <c r="AT107" s="686" t="s">
        <v>29</v>
      </c>
      <c r="AU107" s="686" t="s">
        <v>795</v>
      </c>
      <c r="AY107" s="629" t="s">
        <v>1063</v>
      </c>
      <c r="BE107" s="687">
        <f>IF(O107="základná",K107,0)</f>
        <v>0</v>
      </c>
      <c r="BF107" s="687">
        <f>IF(O107="znížená",K107,0)</f>
        <v>0</v>
      </c>
      <c r="BG107" s="687">
        <f>IF(O107="zákl. prenesená",K107,0)</f>
        <v>0</v>
      </c>
      <c r="BH107" s="687">
        <f>IF(O107="zníž. prenesená",K107,0)</f>
        <v>0</v>
      </c>
      <c r="BI107" s="687">
        <f>IF(O107="nulová",K107,0)</f>
        <v>0</v>
      </c>
      <c r="BJ107" s="629" t="s">
        <v>795</v>
      </c>
      <c r="BK107" s="687">
        <f>ROUND(P107*H107,2)</f>
        <v>0</v>
      </c>
      <c r="BL107" s="629" t="s">
        <v>1185</v>
      </c>
      <c r="BM107" s="686" t="s">
        <v>1247</v>
      </c>
    </row>
    <row r="108" spans="1:65" s="756" customFormat="1" ht="11.25">
      <c r="B108" s="757"/>
      <c r="C108" s="758"/>
      <c r="D108" s="759" t="s">
        <v>1143</v>
      </c>
      <c r="E108" s="760" t="s">
        <v>1043</v>
      </c>
      <c r="F108" s="761" t="s">
        <v>1248</v>
      </c>
      <c r="G108" s="758"/>
      <c r="H108" s="760" t="s">
        <v>1043</v>
      </c>
      <c r="I108" s="758"/>
      <c r="J108" s="758"/>
      <c r="K108" s="758"/>
      <c r="L108" s="758"/>
      <c r="M108" s="762"/>
      <c r="N108" s="763"/>
      <c r="O108" s="764"/>
      <c r="P108" s="764"/>
      <c r="Q108" s="764"/>
      <c r="R108" s="764"/>
      <c r="S108" s="764"/>
      <c r="T108" s="764"/>
      <c r="U108" s="764"/>
      <c r="V108" s="764"/>
      <c r="W108" s="764"/>
      <c r="X108" s="765"/>
      <c r="AT108" s="766" t="s">
        <v>1143</v>
      </c>
      <c r="AU108" s="766" t="s">
        <v>795</v>
      </c>
      <c r="AV108" s="756" t="s">
        <v>791</v>
      </c>
      <c r="AW108" s="756" t="s">
        <v>1145</v>
      </c>
      <c r="AX108" s="756" t="s">
        <v>788</v>
      </c>
      <c r="AY108" s="766" t="s">
        <v>1063</v>
      </c>
    </row>
    <row r="109" spans="1:65" s="767" customFormat="1" ht="11.25">
      <c r="B109" s="768"/>
      <c r="C109" s="769"/>
      <c r="D109" s="759" t="s">
        <v>1143</v>
      </c>
      <c r="E109" s="770" t="s">
        <v>1043</v>
      </c>
      <c r="F109" s="771" t="s">
        <v>791</v>
      </c>
      <c r="G109" s="769"/>
      <c r="H109" s="772">
        <v>1</v>
      </c>
      <c r="I109" s="769"/>
      <c r="J109" s="769"/>
      <c r="K109" s="769"/>
      <c r="L109" s="769"/>
      <c r="M109" s="773"/>
      <c r="N109" s="774"/>
      <c r="O109" s="775"/>
      <c r="P109" s="775"/>
      <c r="Q109" s="775"/>
      <c r="R109" s="775"/>
      <c r="S109" s="775"/>
      <c r="T109" s="775"/>
      <c r="U109" s="775"/>
      <c r="V109" s="775"/>
      <c r="W109" s="775"/>
      <c r="X109" s="776"/>
      <c r="AT109" s="777" t="s">
        <v>1143</v>
      </c>
      <c r="AU109" s="777" t="s">
        <v>795</v>
      </c>
      <c r="AV109" s="767" t="s">
        <v>795</v>
      </c>
      <c r="AW109" s="767" t="s">
        <v>1145</v>
      </c>
      <c r="AX109" s="767" t="s">
        <v>788</v>
      </c>
      <c r="AY109" s="777" t="s">
        <v>1063</v>
      </c>
    </row>
    <row r="110" spans="1:65" s="756" customFormat="1" ht="11.25">
      <c r="B110" s="757"/>
      <c r="C110" s="758"/>
      <c r="D110" s="759" t="s">
        <v>1143</v>
      </c>
      <c r="E110" s="760" t="s">
        <v>1043</v>
      </c>
      <c r="F110" s="761" t="s">
        <v>1249</v>
      </c>
      <c r="G110" s="758"/>
      <c r="H110" s="760" t="s">
        <v>1043</v>
      </c>
      <c r="I110" s="758"/>
      <c r="J110" s="758"/>
      <c r="K110" s="758"/>
      <c r="L110" s="758"/>
      <c r="M110" s="762"/>
      <c r="N110" s="763"/>
      <c r="O110" s="764"/>
      <c r="P110" s="764"/>
      <c r="Q110" s="764"/>
      <c r="R110" s="764"/>
      <c r="S110" s="764"/>
      <c r="T110" s="764"/>
      <c r="U110" s="764"/>
      <c r="V110" s="764"/>
      <c r="W110" s="764"/>
      <c r="X110" s="765"/>
      <c r="AT110" s="766" t="s">
        <v>1143</v>
      </c>
      <c r="AU110" s="766" t="s">
        <v>795</v>
      </c>
      <c r="AV110" s="756" t="s">
        <v>791</v>
      </c>
      <c r="AW110" s="756" t="s">
        <v>1145</v>
      </c>
      <c r="AX110" s="756" t="s">
        <v>788</v>
      </c>
      <c r="AY110" s="766" t="s">
        <v>1063</v>
      </c>
    </row>
    <row r="111" spans="1:65" s="767" customFormat="1" ht="11.25">
      <c r="B111" s="768"/>
      <c r="C111" s="769"/>
      <c r="D111" s="759" t="s">
        <v>1143</v>
      </c>
      <c r="E111" s="770" t="s">
        <v>1043</v>
      </c>
      <c r="F111" s="771" t="s">
        <v>791</v>
      </c>
      <c r="G111" s="769"/>
      <c r="H111" s="772">
        <v>1</v>
      </c>
      <c r="I111" s="769"/>
      <c r="J111" s="769"/>
      <c r="K111" s="769"/>
      <c r="L111" s="769"/>
      <c r="M111" s="773"/>
      <c r="N111" s="774"/>
      <c r="O111" s="775"/>
      <c r="P111" s="775"/>
      <c r="Q111" s="775"/>
      <c r="R111" s="775"/>
      <c r="S111" s="775"/>
      <c r="T111" s="775"/>
      <c r="U111" s="775"/>
      <c r="V111" s="775"/>
      <c r="W111" s="775"/>
      <c r="X111" s="776"/>
      <c r="AT111" s="777" t="s">
        <v>1143</v>
      </c>
      <c r="AU111" s="777" t="s">
        <v>795</v>
      </c>
      <c r="AV111" s="767" t="s">
        <v>795</v>
      </c>
      <c r="AW111" s="767" t="s">
        <v>1145</v>
      </c>
      <c r="AX111" s="767" t="s">
        <v>788</v>
      </c>
      <c r="AY111" s="777" t="s">
        <v>1063</v>
      </c>
    </row>
    <row r="112" spans="1:65" s="756" customFormat="1" ht="11.25">
      <c r="B112" s="757"/>
      <c r="C112" s="758"/>
      <c r="D112" s="759" t="s">
        <v>1143</v>
      </c>
      <c r="E112" s="760" t="s">
        <v>1043</v>
      </c>
      <c r="F112" s="761" t="s">
        <v>1250</v>
      </c>
      <c r="G112" s="758"/>
      <c r="H112" s="760" t="s">
        <v>1043</v>
      </c>
      <c r="I112" s="758"/>
      <c r="J112" s="758"/>
      <c r="K112" s="758"/>
      <c r="L112" s="758"/>
      <c r="M112" s="762"/>
      <c r="N112" s="763"/>
      <c r="O112" s="764"/>
      <c r="P112" s="764"/>
      <c r="Q112" s="764"/>
      <c r="R112" s="764"/>
      <c r="S112" s="764"/>
      <c r="T112" s="764"/>
      <c r="U112" s="764"/>
      <c r="V112" s="764"/>
      <c r="W112" s="764"/>
      <c r="X112" s="765"/>
      <c r="AT112" s="766" t="s">
        <v>1143</v>
      </c>
      <c r="AU112" s="766" t="s">
        <v>795</v>
      </c>
      <c r="AV112" s="756" t="s">
        <v>791</v>
      </c>
      <c r="AW112" s="756" t="s">
        <v>1145</v>
      </c>
      <c r="AX112" s="756" t="s">
        <v>788</v>
      </c>
      <c r="AY112" s="766" t="s">
        <v>1063</v>
      </c>
    </row>
    <row r="113" spans="1:65" s="767" customFormat="1" ht="11.25">
      <c r="B113" s="768"/>
      <c r="C113" s="769"/>
      <c r="D113" s="759" t="s">
        <v>1143</v>
      </c>
      <c r="E113" s="770" t="s">
        <v>1043</v>
      </c>
      <c r="F113" s="771" t="s">
        <v>791</v>
      </c>
      <c r="G113" s="769"/>
      <c r="H113" s="772">
        <v>1</v>
      </c>
      <c r="I113" s="769"/>
      <c r="J113" s="769"/>
      <c r="K113" s="769"/>
      <c r="L113" s="769"/>
      <c r="M113" s="773"/>
      <c r="N113" s="774"/>
      <c r="O113" s="775"/>
      <c r="P113" s="775"/>
      <c r="Q113" s="775"/>
      <c r="R113" s="775"/>
      <c r="S113" s="775"/>
      <c r="T113" s="775"/>
      <c r="U113" s="775"/>
      <c r="V113" s="775"/>
      <c r="W113" s="775"/>
      <c r="X113" s="776"/>
      <c r="AT113" s="777" t="s">
        <v>1143</v>
      </c>
      <c r="AU113" s="777" t="s">
        <v>795</v>
      </c>
      <c r="AV113" s="767" t="s">
        <v>795</v>
      </c>
      <c r="AW113" s="767" t="s">
        <v>1145</v>
      </c>
      <c r="AX113" s="767" t="s">
        <v>788</v>
      </c>
      <c r="AY113" s="777" t="s">
        <v>1063</v>
      </c>
    </row>
    <row r="114" spans="1:65" s="778" customFormat="1" ht="11.25">
      <c r="B114" s="779"/>
      <c r="C114" s="780"/>
      <c r="D114" s="759" t="s">
        <v>1143</v>
      </c>
      <c r="E114" s="781" t="s">
        <v>1043</v>
      </c>
      <c r="F114" s="782" t="s">
        <v>1153</v>
      </c>
      <c r="G114" s="780"/>
      <c r="H114" s="783">
        <v>3</v>
      </c>
      <c r="I114" s="780"/>
      <c r="J114" s="780"/>
      <c r="K114" s="780"/>
      <c r="L114" s="780"/>
      <c r="M114" s="784"/>
      <c r="N114" s="785"/>
      <c r="O114" s="786"/>
      <c r="P114" s="786"/>
      <c r="Q114" s="786"/>
      <c r="R114" s="786"/>
      <c r="S114" s="786"/>
      <c r="T114" s="786"/>
      <c r="U114" s="786"/>
      <c r="V114" s="786"/>
      <c r="W114" s="786"/>
      <c r="X114" s="787"/>
      <c r="AT114" s="788" t="s">
        <v>1143</v>
      </c>
      <c r="AU114" s="788" t="s">
        <v>795</v>
      </c>
      <c r="AV114" s="778" t="s">
        <v>1065</v>
      </c>
      <c r="AW114" s="778" t="s">
        <v>1145</v>
      </c>
      <c r="AX114" s="778" t="s">
        <v>791</v>
      </c>
      <c r="AY114" s="788" t="s">
        <v>1063</v>
      </c>
    </row>
    <row r="115" spans="1:65" s="634" customFormat="1" ht="21.75" customHeight="1">
      <c r="A115" s="705"/>
      <c r="B115" s="706"/>
      <c r="C115" s="744" t="s">
        <v>1251</v>
      </c>
      <c r="D115" s="744" t="s">
        <v>29</v>
      </c>
      <c r="E115" s="745" t="s">
        <v>1252</v>
      </c>
      <c r="F115" s="746" t="s">
        <v>1253</v>
      </c>
      <c r="G115" s="747" t="s">
        <v>14</v>
      </c>
      <c r="H115" s="748">
        <v>11</v>
      </c>
      <c r="I115" s="749"/>
      <c r="J115" s="749"/>
      <c r="K115" s="749">
        <f>ROUND(P115*H115,2)</f>
        <v>0</v>
      </c>
      <c r="L115" s="750"/>
      <c r="M115" s="631"/>
      <c r="N115" s="751" t="s">
        <v>1043</v>
      </c>
      <c r="O115" s="752" t="s">
        <v>1129</v>
      </c>
      <c r="P115" s="753">
        <f>I115+J115</f>
        <v>0</v>
      </c>
      <c r="Q115" s="753">
        <f>ROUND(I115*H115,2)</f>
        <v>0</v>
      </c>
      <c r="R115" s="753">
        <f>ROUND(J115*H115,2)</f>
        <v>0</v>
      </c>
      <c r="S115" s="754">
        <v>0.56599999999999995</v>
      </c>
      <c r="T115" s="754">
        <f>S115*H115</f>
        <v>6.2259999999999991</v>
      </c>
      <c r="U115" s="754">
        <v>1E-4</v>
      </c>
      <c r="V115" s="754">
        <f>U115*H115</f>
        <v>1.1000000000000001E-3</v>
      </c>
      <c r="W115" s="754">
        <v>0</v>
      </c>
      <c r="X115" s="755">
        <f>W115*H115</f>
        <v>0</v>
      </c>
      <c r="Y115" s="705"/>
      <c r="Z115" s="705"/>
      <c r="AA115" s="705"/>
      <c r="AB115" s="705"/>
      <c r="AC115" s="705"/>
      <c r="AD115" s="705"/>
      <c r="AE115" s="705"/>
      <c r="AR115" s="686" t="s">
        <v>1185</v>
      </c>
      <c r="AT115" s="686" t="s">
        <v>29</v>
      </c>
      <c r="AU115" s="686" t="s">
        <v>795</v>
      </c>
      <c r="AY115" s="629" t="s">
        <v>1063</v>
      </c>
      <c r="BE115" s="687">
        <f>IF(O115="základná",K115,0)</f>
        <v>0</v>
      </c>
      <c r="BF115" s="687">
        <f>IF(O115="znížená",K115,0)</f>
        <v>0</v>
      </c>
      <c r="BG115" s="687">
        <f>IF(O115="zákl. prenesená",K115,0)</f>
        <v>0</v>
      </c>
      <c r="BH115" s="687">
        <f>IF(O115="zníž. prenesená",K115,0)</f>
        <v>0</v>
      </c>
      <c r="BI115" s="687">
        <f>IF(O115="nulová",K115,0)</f>
        <v>0</v>
      </c>
      <c r="BJ115" s="629" t="s">
        <v>795</v>
      </c>
      <c r="BK115" s="687">
        <f>ROUND(P115*H115,2)</f>
        <v>0</v>
      </c>
      <c r="BL115" s="629" t="s">
        <v>1185</v>
      </c>
      <c r="BM115" s="686" t="s">
        <v>1254</v>
      </c>
    </row>
    <row r="116" spans="1:65" s="756" customFormat="1" ht="11.25">
      <c r="B116" s="757"/>
      <c r="C116" s="758"/>
      <c r="D116" s="759" t="s">
        <v>1143</v>
      </c>
      <c r="E116" s="760" t="s">
        <v>1043</v>
      </c>
      <c r="F116" s="761" t="s">
        <v>1248</v>
      </c>
      <c r="G116" s="758"/>
      <c r="H116" s="760" t="s">
        <v>1043</v>
      </c>
      <c r="I116" s="758"/>
      <c r="J116" s="758"/>
      <c r="K116" s="758"/>
      <c r="L116" s="758"/>
      <c r="M116" s="762"/>
      <c r="N116" s="763"/>
      <c r="O116" s="764"/>
      <c r="P116" s="764"/>
      <c r="Q116" s="764"/>
      <c r="R116" s="764"/>
      <c r="S116" s="764"/>
      <c r="T116" s="764"/>
      <c r="U116" s="764"/>
      <c r="V116" s="764"/>
      <c r="W116" s="764"/>
      <c r="X116" s="765"/>
      <c r="AT116" s="766" t="s">
        <v>1143</v>
      </c>
      <c r="AU116" s="766" t="s">
        <v>795</v>
      </c>
      <c r="AV116" s="756" t="s">
        <v>791</v>
      </c>
      <c r="AW116" s="756" t="s">
        <v>1145</v>
      </c>
      <c r="AX116" s="756" t="s">
        <v>788</v>
      </c>
      <c r="AY116" s="766" t="s">
        <v>1063</v>
      </c>
    </row>
    <row r="117" spans="1:65" s="767" customFormat="1" ht="11.25">
      <c r="B117" s="768"/>
      <c r="C117" s="769"/>
      <c r="D117" s="759" t="s">
        <v>1143</v>
      </c>
      <c r="E117" s="770" t="s">
        <v>1043</v>
      </c>
      <c r="F117" s="771" t="s">
        <v>791</v>
      </c>
      <c r="G117" s="769"/>
      <c r="H117" s="772">
        <v>1</v>
      </c>
      <c r="I117" s="769"/>
      <c r="J117" s="769"/>
      <c r="K117" s="769"/>
      <c r="L117" s="769"/>
      <c r="M117" s="773"/>
      <c r="N117" s="774"/>
      <c r="O117" s="775"/>
      <c r="P117" s="775"/>
      <c r="Q117" s="775"/>
      <c r="R117" s="775"/>
      <c r="S117" s="775"/>
      <c r="T117" s="775"/>
      <c r="U117" s="775"/>
      <c r="V117" s="775"/>
      <c r="W117" s="775"/>
      <c r="X117" s="776"/>
      <c r="AT117" s="777" t="s">
        <v>1143</v>
      </c>
      <c r="AU117" s="777" t="s">
        <v>795</v>
      </c>
      <c r="AV117" s="767" t="s">
        <v>795</v>
      </c>
      <c r="AW117" s="767" t="s">
        <v>1145</v>
      </c>
      <c r="AX117" s="767" t="s">
        <v>788</v>
      </c>
      <c r="AY117" s="777" t="s">
        <v>1063</v>
      </c>
    </row>
    <row r="118" spans="1:65" s="756" customFormat="1" ht="11.25">
      <c r="B118" s="757"/>
      <c r="C118" s="758"/>
      <c r="D118" s="759" t="s">
        <v>1143</v>
      </c>
      <c r="E118" s="760" t="s">
        <v>1043</v>
      </c>
      <c r="F118" s="761" t="s">
        <v>1249</v>
      </c>
      <c r="G118" s="758"/>
      <c r="H118" s="760" t="s">
        <v>1043</v>
      </c>
      <c r="I118" s="758"/>
      <c r="J118" s="758"/>
      <c r="K118" s="758"/>
      <c r="L118" s="758"/>
      <c r="M118" s="762"/>
      <c r="N118" s="763"/>
      <c r="O118" s="764"/>
      <c r="P118" s="764"/>
      <c r="Q118" s="764"/>
      <c r="R118" s="764"/>
      <c r="S118" s="764"/>
      <c r="T118" s="764"/>
      <c r="U118" s="764"/>
      <c r="V118" s="764"/>
      <c r="W118" s="764"/>
      <c r="X118" s="765"/>
      <c r="AT118" s="766" t="s">
        <v>1143</v>
      </c>
      <c r="AU118" s="766" t="s">
        <v>795</v>
      </c>
      <c r="AV118" s="756" t="s">
        <v>791</v>
      </c>
      <c r="AW118" s="756" t="s">
        <v>1145</v>
      </c>
      <c r="AX118" s="756" t="s">
        <v>788</v>
      </c>
      <c r="AY118" s="766" t="s">
        <v>1063</v>
      </c>
    </row>
    <row r="119" spans="1:65" s="767" customFormat="1" ht="11.25">
      <c r="B119" s="768"/>
      <c r="C119" s="769"/>
      <c r="D119" s="759" t="s">
        <v>1143</v>
      </c>
      <c r="E119" s="770" t="s">
        <v>1043</v>
      </c>
      <c r="F119" s="771" t="s">
        <v>791</v>
      </c>
      <c r="G119" s="769"/>
      <c r="H119" s="772">
        <v>1</v>
      </c>
      <c r="I119" s="769"/>
      <c r="J119" s="769"/>
      <c r="K119" s="769"/>
      <c r="L119" s="769"/>
      <c r="M119" s="773"/>
      <c r="N119" s="774"/>
      <c r="O119" s="775"/>
      <c r="P119" s="775"/>
      <c r="Q119" s="775"/>
      <c r="R119" s="775"/>
      <c r="S119" s="775"/>
      <c r="T119" s="775"/>
      <c r="U119" s="775"/>
      <c r="V119" s="775"/>
      <c r="W119" s="775"/>
      <c r="X119" s="776"/>
      <c r="AT119" s="777" t="s">
        <v>1143</v>
      </c>
      <c r="AU119" s="777" t="s">
        <v>795</v>
      </c>
      <c r="AV119" s="767" t="s">
        <v>795</v>
      </c>
      <c r="AW119" s="767" t="s">
        <v>1145</v>
      </c>
      <c r="AX119" s="767" t="s">
        <v>788</v>
      </c>
      <c r="AY119" s="777" t="s">
        <v>1063</v>
      </c>
    </row>
    <row r="120" spans="1:65" s="756" customFormat="1" ht="11.25">
      <c r="B120" s="757"/>
      <c r="C120" s="758"/>
      <c r="D120" s="759" t="s">
        <v>1143</v>
      </c>
      <c r="E120" s="760" t="s">
        <v>1043</v>
      </c>
      <c r="F120" s="761" t="s">
        <v>1250</v>
      </c>
      <c r="G120" s="758"/>
      <c r="H120" s="760" t="s">
        <v>1043</v>
      </c>
      <c r="I120" s="758"/>
      <c r="J120" s="758"/>
      <c r="K120" s="758"/>
      <c r="L120" s="758"/>
      <c r="M120" s="762"/>
      <c r="N120" s="763"/>
      <c r="O120" s="764"/>
      <c r="P120" s="764"/>
      <c r="Q120" s="764"/>
      <c r="R120" s="764"/>
      <c r="S120" s="764"/>
      <c r="T120" s="764"/>
      <c r="U120" s="764"/>
      <c r="V120" s="764"/>
      <c r="W120" s="764"/>
      <c r="X120" s="765"/>
      <c r="AT120" s="766" t="s">
        <v>1143</v>
      </c>
      <c r="AU120" s="766" t="s">
        <v>795</v>
      </c>
      <c r="AV120" s="756" t="s">
        <v>791</v>
      </c>
      <c r="AW120" s="756" t="s">
        <v>1145</v>
      </c>
      <c r="AX120" s="756" t="s">
        <v>788</v>
      </c>
      <c r="AY120" s="766" t="s">
        <v>1063</v>
      </c>
    </row>
    <row r="121" spans="1:65" s="767" customFormat="1" ht="11.25">
      <c r="B121" s="768"/>
      <c r="C121" s="769"/>
      <c r="D121" s="759" t="s">
        <v>1143</v>
      </c>
      <c r="E121" s="770" t="s">
        <v>1043</v>
      </c>
      <c r="F121" s="771" t="s">
        <v>791</v>
      </c>
      <c r="G121" s="769"/>
      <c r="H121" s="772">
        <v>1</v>
      </c>
      <c r="I121" s="769"/>
      <c r="J121" s="769"/>
      <c r="K121" s="769"/>
      <c r="L121" s="769"/>
      <c r="M121" s="773"/>
      <c r="N121" s="774"/>
      <c r="O121" s="775"/>
      <c r="P121" s="775"/>
      <c r="Q121" s="775"/>
      <c r="R121" s="775"/>
      <c r="S121" s="775"/>
      <c r="T121" s="775"/>
      <c r="U121" s="775"/>
      <c r="V121" s="775"/>
      <c r="W121" s="775"/>
      <c r="X121" s="776"/>
      <c r="AT121" s="777" t="s">
        <v>1143</v>
      </c>
      <c r="AU121" s="777" t="s">
        <v>795</v>
      </c>
      <c r="AV121" s="767" t="s">
        <v>795</v>
      </c>
      <c r="AW121" s="767" t="s">
        <v>1145</v>
      </c>
      <c r="AX121" s="767" t="s">
        <v>788</v>
      </c>
      <c r="AY121" s="777" t="s">
        <v>1063</v>
      </c>
    </row>
    <row r="122" spans="1:65" s="756" customFormat="1" ht="11.25">
      <c r="B122" s="757"/>
      <c r="C122" s="758"/>
      <c r="D122" s="759" t="s">
        <v>1143</v>
      </c>
      <c r="E122" s="760" t="s">
        <v>1043</v>
      </c>
      <c r="F122" s="761" t="s">
        <v>1148</v>
      </c>
      <c r="G122" s="758"/>
      <c r="H122" s="760" t="s">
        <v>1043</v>
      </c>
      <c r="I122" s="758"/>
      <c r="J122" s="758"/>
      <c r="K122" s="758"/>
      <c r="L122" s="758"/>
      <c r="M122" s="762"/>
      <c r="N122" s="763"/>
      <c r="O122" s="764"/>
      <c r="P122" s="764"/>
      <c r="Q122" s="764"/>
      <c r="R122" s="764"/>
      <c r="S122" s="764"/>
      <c r="T122" s="764"/>
      <c r="U122" s="764"/>
      <c r="V122" s="764"/>
      <c r="W122" s="764"/>
      <c r="X122" s="765"/>
      <c r="AT122" s="766" t="s">
        <v>1143</v>
      </c>
      <c r="AU122" s="766" t="s">
        <v>795</v>
      </c>
      <c r="AV122" s="756" t="s">
        <v>791</v>
      </c>
      <c r="AW122" s="756" t="s">
        <v>1145</v>
      </c>
      <c r="AX122" s="756" t="s">
        <v>788</v>
      </c>
      <c r="AY122" s="766" t="s">
        <v>1063</v>
      </c>
    </row>
    <row r="123" spans="1:65" s="767" customFormat="1" ht="11.25">
      <c r="B123" s="768"/>
      <c r="C123" s="769"/>
      <c r="D123" s="759" t="s">
        <v>1143</v>
      </c>
      <c r="E123" s="770" t="s">
        <v>1043</v>
      </c>
      <c r="F123" s="771" t="s">
        <v>1255</v>
      </c>
      <c r="G123" s="769"/>
      <c r="H123" s="772">
        <v>8</v>
      </c>
      <c r="I123" s="769"/>
      <c r="J123" s="769"/>
      <c r="K123" s="769"/>
      <c r="L123" s="769"/>
      <c r="M123" s="773"/>
      <c r="N123" s="774"/>
      <c r="O123" s="775"/>
      <c r="P123" s="775"/>
      <c r="Q123" s="775"/>
      <c r="R123" s="775"/>
      <c r="S123" s="775"/>
      <c r="T123" s="775"/>
      <c r="U123" s="775"/>
      <c r="V123" s="775"/>
      <c r="W123" s="775"/>
      <c r="X123" s="776"/>
      <c r="AT123" s="777" t="s">
        <v>1143</v>
      </c>
      <c r="AU123" s="777" t="s">
        <v>795</v>
      </c>
      <c r="AV123" s="767" t="s">
        <v>795</v>
      </c>
      <c r="AW123" s="767" t="s">
        <v>1145</v>
      </c>
      <c r="AX123" s="767" t="s">
        <v>788</v>
      </c>
      <c r="AY123" s="777" t="s">
        <v>1063</v>
      </c>
    </row>
    <row r="124" spans="1:65" s="778" customFormat="1" ht="11.25">
      <c r="B124" s="779"/>
      <c r="C124" s="780"/>
      <c r="D124" s="759" t="s">
        <v>1143</v>
      </c>
      <c r="E124" s="781" t="s">
        <v>1043</v>
      </c>
      <c r="F124" s="782" t="s">
        <v>1153</v>
      </c>
      <c r="G124" s="780"/>
      <c r="H124" s="783">
        <v>11</v>
      </c>
      <c r="I124" s="780"/>
      <c r="J124" s="780"/>
      <c r="K124" s="780"/>
      <c r="L124" s="780"/>
      <c r="M124" s="784"/>
      <c r="N124" s="785"/>
      <c r="O124" s="786"/>
      <c r="P124" s="786"/>
      <c r="Q124" s="786"/>
      <c r="R124" s="786"/>
      <c r="S124" s="786"/>
      <c r="T124" s="786"/>
      <c r="U124" s="786"/>
      <c r="V124" s="786"/>
      <c r="W124" s="786"/>
      <c r="X124" s="787"/>
      <c r="AT124" s="788" t="s">
        <v>1143</v>
      </c>
      <c r="AU124" s="788" t="s">
        <v>795</v>
      </c>
      <c r="AV124" s="778" t="s">
        <v>1065</v>
      </c>
      <c r="AW124" s="778" t="s">
        <v>1145</v>
      </c>
      <c r="AX124" s="778" t="s">
        <v>791</v>
      </c>
      <c r="AY124" s="788" t="s">
        <v>1063</v>
      </c>
    </row>
    <row r="125" spans="1:65" s="634" customFormat="1" ht="21.75" customHeight="1">
      <c r="A125" s="705"/>
      <c r="B125" s="706"/>
      <c r="C125" s="789" t="s">
        <v>1256</v>
      </c>
      <c r="D125" s="789" t="s">
        <v>83</v>
      </c>
      <c r="E125" s="790" t="s">
        <v>1257</v>
      </c>
      <c r="F125" s="791" t="s">
        <v>1258</v>
      </c>
      <c r="G125" s="792" t="s">
        <v>19</v>
      </c>
      <c r="H125" s="793">
        <v>14</v>
      </c>
      <c r="I125" s="794"/>
      <c r="J125" s="795"/>
      <c r="K125" s="794">
        <f>ROUND(P125*H125,2)</f>
        <v>0</v>
      </c>
      <c r="L125" s="795"/>
      <c r="M125" s="701"/>
      <c r="N125" s="796" t="s">
        <v>1043</v>
      </c>
      <c r="O125" s="752" t="s">
        <v>1129</v>
      </c>
      <c r="P125" s="753">
        <f>I125+J125</f>
        <v>0</v>
      </c>
      <c r="Q125" s="753">
        <f>ROUND(I125*H125,2)</f>
        <v>0</v>
      </c>
      <c r="R125" s="753">
        <f>ROUND(J125*H125,2)</f>
        <v>0</v>
      </c>
      <c r="S125" s="754">
        <v>0</v>
      </c>
      <c r="T125" s="754">
        <f>S125*H125</f>
        <v>0</v>
      </c>
      <c r="U125" s="754">
        <v>1.34E-3</v>
      </c>
      <c r="V125" s="754">
        <f>U125*H125</f>
        <v>1.8759999999999999E-2</v>
      </c>
      <c r="W125" s="754">
        <v>0</v>
      </c>
      <c r="X125" s="755">
        <f>W125*H125</f>
        <v>0</v>
      </c>
      <c r="Y125" s="705"/>
      <c r="Z125" s="705"/>
      <c r="AA125" s="705"/>
      <c r="AB125" s="705"/>
      <c r="AC125" s="705"/>
      <c r="AD125" s="705"/>
      <c r="AE125" s="705"/>
      <c r="AR125" s="686" t="s">
        <v>1190</v>
      </c>
      <c r="AT125" s="686" t="s">
        <v>83</v>
      </c>
      <c r="AU125" s="686" t="s">
        <v>795</v>
      </c>
      <c r="AY125" s="629" t="s">
        <v>1063</v>
      </c>
      <c r="BE125" s="687">
        <f>IF(O125="základná",K125,0)</f>
        <v>0</v>
      </c>
      <c r="BF125" s="687">
        <f>IF(O125="znížená",K125,0)</f>
        <v>0</v>
      </c>
      <c r="BG125" s="687">
        <f>IF(O125="zákl. prenesená",K125,0)</f>
        <v>0</v>
      </c>
      <c r="BH125" s="687">
        <f>IF(O125="zníž. prenesená",K125,0)</f>
        <v>0</v>
      </c>
      <c r="BI125" s="687">
        <f>IF(O125="nulová",K125,0)</f>
        <v>0</v>
      </c>
      <c r="BJ125" s="629" t="s">
        <v>795</v>
      </c>
      <c r="BK125" s="687">
        <f>ROUND(P125*H125,2)</f>
        <v>0</v>
      </c>
      <c r="BL125" s="629" t="s">
        <v>1185</v>
      </c>
      <c r="BM125" s="686" t="s">
        <v>1259</v>
      </c>
    </row>
    <row r="126" spans="1:65" s="756" customFormat="1" ht="11.25">
      <c r="B126" s="757"/>
      <c r="C126" s="758"/>
      <c r="D126" s="759" t="s">
        <v>1143</v>
      </c>
      <c r="E126" s="760" t="s">
        <v>1043</v>
      </c>
      <c r="F126" s="761" t="s">
        <v>1248</v>
      </c>
      <c r="G126" s="758"/>
      <c r="H126" s="760" t="s">
        <v>1043</v>
      </c>
      <c r="I126" s="758"/>
      <c r="J126" s="758"/>
      <c r="K126" s="758"/>
      <c r="L126" s="758"/>
      <c r="M126" s="762"/>
      <c r="N126" s="763"/>
      <c r="O126" s="764"/>
      <c r="P126" s="764"/>
      <c r="Q126" s="764"/>
      <c r="R126" s="764"/>
      <c r="S126" s="764"/>
      <c r="T126" s="764"/>
      <c r="U126" s="764"/>
      <c r="V126" s="764"/>
      <c r="W126" s="764"/>
      <c r="X126" s="765"/>
      <c r="AT126" s="766" t="s">
        <v>1143</v>
      </c>
      <c r="AU126" s="766" t="s">
        <v>795</v>
      </c>
      <c r="AV126" s="756" t="s">
        <v>791</v>
      </c>
      <c r="AW126" s="756" t="s">
        <v>1145</v>
      </c>
      <c r="AX126" s="756" t="s">
        <v>788</v>
      </c>
      <c r="AY126" s="766" t="s">
        <v>1063</v>
      </c>
    </row>
    <row r="127" spans="1:65" s="767" customFormat="1" ht="11.25">
      <c r="B127" s="768"/>
      <c r="C127" s="769"/>
      <c r="D127" s="759" t="s">
        <v>1143</v>
      </c>
      <c r="E127" s="770" t="s">
        <v>1043</v>
      </c>
      <c r="F127" s="771" t="s">
        <v>795</v>
      </c>
      <c r="G127" s="769"/>
      <c r="H127" s="772">
        <v>2</v>
      </c>
      <c r="I127" s="769"/>
      <c r="J127" s="769"/>
      <c r="K127" s="769"/>
      <c r="L127" s="769"/>
      <c r="M127" s="773"/>
      <c r="N127" s="774"/>
      <c r="O127" s="775"/>
      <c r="P127" s="775"/>
      <c r="Q127" s="775"/>
      <c r="R127" s="775"/>
      <c r="S127" s="775"/>
      <c r="T127" s="775"/>
      <c r="U127" s="775"/>
      <c r="V127" s="775"/>
      <c r="W127" s="775"/>
      <c r="X127" s="776"/>
      <c r="AT127" s="777" t="s">
        <v>1143</v>
      </c>
      <c r="AU127" s="777" t="s">
        <v>795</v>
      </c>
      <c r="AV127" s="767" t="s">
        <v>795</v>
      </c>
      <c r="AW127" s="767" t="s">
        <v>1145</v>
      </c>
      <c r="AX127" s="767" t="s">
        <v>788</v>
      </c>
      <c r="AY127" s="777" t="s">
        <v>1063</v>
      </c>
    </row>
    <row r="128" spans="1:65" s="756" customFormat="1" ht="11.25">
      <c r="B128" s="757"/>
      <c r="C128" s="758"/>
      <c r="D128" s="759" t="s">
        <v>1143</v>
      </c>
      <c r="E128" s="760" t="s">
        <v>1043</v>
      </c>
      <c r="F128" s="761" t="s">
        <v>1249</v>
      </c>
      <c r="G128" s="758"/>
      <c r="H128" s="760" t="s">
        <v>1043</v>
      </c>
      <c r="I128" s="758"/>
      <c r="J128" s="758"/>
      <c r="K128" s="758"/>
      <c r="L128" s="758"/>
      <c r="M128" s="762"/>
      <c r="N128" s="763"/>
      <c r="O128" s="764"/>
      <c r="P128" s="764"/>
      <c r="Q128" s="764"/>
      <c r="R128" s="764"/>
      <c r="S128" s="764"/>
      <c r="T128" s="764"/>
      <c r="U128" s="764"/>
      <c r="V128" s="764"/>
      <c r="W128" s="764"/>
      <c r="X128" s="765"/>
      <c r="AT128" s="766" t="s">
        <v>1143</v>
      </c>
      <c r="AU128" s="766" t="s">
        <v>795</v>
      </c>
      <c r="AV128" s="756" t="s">
        <v>791</v>
      </c>
      <c r="AW128" s="756" t="s">
        <v>1145</v>
      </c>
      <c r="AX128" s="756" t="s">
        <v>788</v>
      </c>
      <c r="AY128" s="766" t="s">
        <v>1063</v>
      </c>
    </row>
    <row r="129" spans="1:65" s="767" customFormat="1" ht="11.25">
      <c r="B129" s="768"/>
      <c r="C129" s="769"/>
      <c r="D129" s="759" t="s">
        <v>1143</v>
      </c>
      <c r="E129" s="770" t="s">
        <v>1043</v>
      </c>
      <c r="F129" s="771" t="s">
        <v>795</v>
      </c>
      <c r="G129" s="769"/>
      <c r="H129" s="772">
        <v>2</v>
      </c>
      <c r="I129" s="769"/>
      <c r="J129" s="769"/>
      <c r="K129" s="769"/>
      <c r="L129" s="769"/>
      <c r="M129" s="773"/>
      <c r="N129" s="774"/>
      <c r="O129" s="775"/>
      <c r="P129" s="775"/>
      <c r="Q129" s="775"/>
      <c r="R129" s="775"/>
      <c r="S129" s="775"/>
      <c r="T129" s="775"/>
      <c r="U129" s="775"/>
      <c r="V129" s="775"/>
      <c r="W129" s="775"/>
      <c r="X129" s="776"/>
      <c r="AT129" s="777" t="s">
        <v>1143</v>
      </c>
      <c r="AU129" s="777" t="s">
        <v>795</v>
      </c>
      <c r="AV129" s="767" t="s">
        <v>795</v>
      </c>
      <c r="AW129" s="767" t="s">
        <v>1145</v>
      </c>
      <c r="AX129" s="767" t="s">
        <v>788</v>
      </c>
      <c r="AY129" s="777" t="s">
        <v>1063</v>
      </c>
    </row>
    <row r="130" spans="1:65" s="756" customFormat="1" ht="11.25">
      <c r="B130" s="757"/>
      <c r="C130" s="758"/>
      <c r="D130" s="759" t="s">
        <v>1143</v>
      </c>
      <c r="E130" s="760" t="s">
        <v>1043</v>
      </c>
      <c r="F130" s="761" t="s">
        <v>1250</v>
      </c>
      <c r="G130" s="758"/>
      <c r="H130" s="760" t="s">
        <v>1043</v>
      </c>
      <c r="I130" s="758"/>
      <c r="J130" s="758"/>
      <c r="K130" s="758"/>
      <c r="L130" s="758"/>
      <c r="M130" s="762"/>
      <c r="N130" s="763"/>
      <c r="O130" s="764"/>
      <c r="P130" s="764"/>
      <c r="Q130" s="764"/>
      <c r="R130" s="764"/>
      <c r="S130" s="764"/>
      <c r="T130" s="764"/>
      <c r="U130" s="764"/>
      <c r="V130" s="764"/>
      <c r="W130" s="764"/>
      <c r="X130" s="765"/>
      <c r="AT130" s="766" t="s">
        <v>1143</v>
      </c>
      <c r="AU130" s="766" t="s">
        <v>795</v>
      </c>
      <c r="AV130" s="756" t="s">
        <v>791</v>
      </c>
      <c r="AW130" s="756" t="s">
        <v>1145</v>
      </c>
      <c r="AX130" s="756" t="s">
        <v>788</v>
      </c>
      <c r="AY130" s="766" t="s">
        <v>1063</v>
      </c>
    </row>
    <row r="131" spans="1:65" s="767" customFormat="1" ht="11.25">
      <c r="B131" s="768"/>
      <c r="C131" s="769"/>
      <c r="D131" s="759" t="s">
        <v>1143</v>
      </c>
      <c r="E131" s="770" t="s">
        <v>1043</v>
      </c>
      <c r="F131" s="771" t="s">
        <v>795</v>
      </c>
      <c r="G131" s="769"/>
      <c r="H131" s="772">
        <v>2</v>
      </c>
      <c r="I131" s="769"/>
      <c r="J131" s="769"/>
      <c r="K131" s="769"/>
      <c r="L131" s="769"/>
      <c r="M131" s="773"/>
      <c r="N131" s="774"/>
      <c r="O131" s="775"/>
      <c r="P131" s="775"/>
      <c r="Q131" s="775"/>
      <c r="R131" s="775"/>
      <c r="S131" s="775"/>
      <c r="T131" s="775"/>
      <c r="U131" s="775"/>
      <c r="V131" s="775"/>
      <c r="W131" s="775"/>
      <c r="X131" s="776"/>
      <c r="AT131" s="777" t="s">
        <v>1143</v>
      </c>
      <c r="AU131" s="777" t="s">
        <v>795</v>
      </c>
      <c r="AV131" s="767" t="s">
        <v>795</v>
      </c>
      <c r="AW131" s="767" t="s">
        <v>1145</v>
      </c>
      <c r="AX131" s="767" t="s">
        <v>788</v>
      </c>
      <c r="AY131" s="777" t="s">
        <v>1063</v>
      </c>
    </row>
    <row r="132" spans="1:65" s="756" customFormat="1" ht="11.25">
      <c r="B132" s="757"/>
      <c r="C132" s="758"/>
      <c r="D132" s="759" t="s">
        <v>1143</v>
      </c>
      <c r="E132" s="760" t="s">
        <v>1043</v>
      </c>
      <c r="F132" s="761" t="s">
        <v>1148</v>
      </c>
      <c r="G132" s="758"/>
      <c r="H132" s="760" t="s">
        <v>1043</v>
      </c>
      <c r="I132" s="758"/>
      <c r="J132" s="758"/>
      <c r="K132" s="758"/>
      <c r="L132" s="758"/>
      <c r="M132" s="762"/>
      <c r="N132" s="763"/>
      <c r="O132" s="764"/>
      <c r="P132" s="764"/>
      <c r="Q132" s="764"/>
      <c r="R132" s="764"/>
      <c r="S132" s="764"/>
      <c r="T132" s="764"/>
      <c r="U132" s="764"/>
      <c r="V132" s="764"/>
      <c r="W132" s="764"/>
      <c r="X132" s="765"/>
      <c r="AT132" s="766" t="s">
        <v>1143</v>
      </c>
      <c r="AU132" s="766" t="s">
        <v>795</v>
      </c>
      <c r="AV132" s="756" t="s">
        <v>791</v>
      </c>
      <c r="AW132" s="756" t="s">
        <v>1145</v>
      </c>
      <c r="AX132" s="756" t="s">
        <v>788</v>
      </c>
      <c r="AY132" s="766" t="s">
        <v>1063</v>
      </c>
    </row>
    <row r="133" spans="1:65" s="767" customFormat="1" ht="11.25">
      <c r="B133" s="768"/>
      <c r="C133" s="769"/>
      <c r="D133" s="759" t="s">
        <v>1143</v>
      </c>
      <c r="E133" s="770" t="s">
        <v>1043</v>
      </c>
      <c r="F133" s="771" t="s">
        <v>1255</v>
      </c>
      <c r="G133" s="769"/>
      <c r="H133" s="772">
        <v>8</v>
      </c>
      <c r="I133" s="769"/>
      <c r="J133" s="769"/>
      <c r="K133" s="769"/>
      <c r="L133" s="769"/>
      <c r="M133" s="773"/>
      <c r="N133" s="774"/>
      <c r="O133" s="775"/>
      <c r="P133" s="775"/>
      <c r="Q133" s="775"/>
      <c r="R133" s="775"/>
      <c r="S133" s="775"/>
      <c r="T133" s="775"/>
      <c r="U133" s="775"/>
      <c r="V133" s="775"/>
      <c r="W133" s="775"/>
      <c r="X133" s="776"/>
      <c r="AT133" s="777" t="s">
        <v>1143</v>
      </c>
      <c r="AU133" s="777" t="s">
        <v>795</v>
      </c>
      <c r="AV133" s="767" t="s">
        <v>795</v>
      </c>
      <c r="AW133" s="767" t="s">
        <v>1145</v>
      </c>
      <c r="AX133" s="767" t="s">
        <v>788</v>
      </c>
      <c r="AY133" s="777" t="s">
        <v>1063</v>
      </c>
    </row>
    <row r="134" spans="1:65" s="778" customFormat="1" ht="11.25">
      <c r="B134" s="779"/>
      <c r="C134" s="780"/>
      <c r="D134" s="759" t="s">
        <v>1143</v>
      </c>
      <c r="E134" s="781" t="s">
        <v>1043</v>
      </c>
      <c r="F134" s="782" t="s">
        <v>1153</v>
      </c>
      <c r="G134" s="780"/>
      <c r="H134" s="783">
        <v>14</v>
      </c>
      <c r="I134" s="780"/>
      <c r="J134" s="780"/>
      <c r="K134" s="780"/>
      <c r="L134" s="780"/>
      <c r="M134" s="784"/>
      <c r="N134" s="785"/>
      <c r="O134" s="786"/>
      <c r="P134" s="786"/>
      <c r="Q134" s="786"/>
      <c r="R134" s="786"/>
      <c r="S134" s="786"/>
      <c r="T134" s="786"/>
      <c r="U134" s="786"/>
      <c r="V134" s="786"/>
      <c r="W134" s="786"/>
      <c r="X134" s="787"/>
      <c r="AT134" s="788" t="s">
        <v>1143</v>
      </c>
      <c r="AU134" s="788" t="s">
        <v>795</v>
      </c>
      <c r="AV134" s="778" t="s">
        <v>1065</v>
      </c>
      <c r="AW134" s="778" t="s">
        <v>1145</v>
      </c>
      <c r="AX134" s="778" t="s">
        <v>791</v>
      </c>
      <c r="AY134" s="788" t="s">
        <v>1063</v>
      </c>
    </row>
    <row r="135" spans="1:65" s="634" customFormat="1" ht="16.5" customHeight="1">
      <c r="A135" s="705"/>
      <c r="B135" s="706"/>
      <c r="C135" s="744" t="s">
        <v>1260</v>
      </c>
      <c r="D135" s="744" t="s">
        <v>29</v>
      </c>
      <c r="E135" s="745" t="s">
        <v>1261</v>
      </c>
      <c r="F135" s="746" t="s">
        <v>1262</v>
      </c>
      <c r="G135" s="747" t="s">
        <v>19</v>
      </c>
      <c r="H135" s="748">
        <v>9</v>
      </c>
      <c r="I135" s="749"/>
      <c r="J135" s="749"/>
      <c r="K135" s="749">
        <f>ROUND(P135*H135,2)</f>
        <v>0</v>
      </c>
      <c r="L135" s="750"/>
      <c r="M135" s="631"/>
      <c r="N135" s="751" t="s">
        <v>1043</v>
      </c>
      <c r="O135" s="752" t="s">
        <v>1129</v>
      </c>
      <c r="P135" s="753">
        <f>I135+J135</f>
        <v>0</v>
      </c>
      <c r="Q135" s="753">
        <f>ROUND(I135*H135,2)</f>
        <v>0</v>
      </c>
      <c r="R135" s="753">
        <f>ROUND(J135*H135,2)</f>
        <v>0</v>
      </c>
      <c r="S135" s="754">
        <v>0.31900000000000001</v>
      </c>
      <c r="T135" s="754">
        <f>S135*H135</f>
        <v>2.871</v>
      </c>
      <c r="U135" s="754">
        <v>1.9000000000000001E-4</v>
      </c>
      <c r="V135" s="754">
        <f>U135*H135</f>
        <v>1.7100000000000001E-3</v>
      </c>
      <c r="W135" s="754">
        <v>0</v>
      </c>
      <c r="X135" s="755">
        <f>W135*H135</f>
        <v>0</v>
      </c>
      <c r="Y135" s="705"/>
      <c r="Z135" s="705"/>
      <c r="AA135" s="705"/>
      <c r="AB135" s="705"/>
      <c r="AC135" s="705"/>
      <c r="AD135" s="705"/>
      <c r="AE135" s="705"/>
      <c r="AR135" s="686" t="s">
        <v>1185</v>
      </c>
      <c r="AT135" s="686" t="s">
        <v>29</v>
      </c>
      <c r="AU135" s="686" t="s">
        <v>795</v>
      </c>
      <c r="AY135" s="629" t="s">
        <v>1063</v>
      </c>
      <c r="BE135" s="687">
        <f>IF(O135="základná",K135,0)</f>
        <v>0</v>
      </c>
      <c r="BF135" s="687">
        <f>IF(O135="znížená",K135,0)</f>
        <v>0</v>
      </c>
      <c r="BG135" s="687">
        <f>IF(O135="zákl. prenesená",K135,0)</f>
        <v>0</v>
      </c>
      <c r="BH135" s="687">
        <f>IF(O135="zníž. prenesená",K135,0)</f>
        <v>0</v>
      </c>
      <c r="BI135" s="687">
        <f>IF(O135="nulová",K135,0)</f>
        <v>0</v>
      </c>
      <c r="BJ135" s="629" t="s">
        <v>795</v>
      </c>
      <c r="BK135" s="687">
        <f>ROUND(P135*H135,2)</f>
        <v>0</v>
      </c>
      <c r="BL135" s="629" t="s">
        <v>1185</v>
      </c>
      <c r="BM135" s="686" t="s">
        <v>1263</v>
      </c>
    </row>
    <row r="136" spans="1:65" s="756" customFormat="1" ht="11.25">
      <c r="B136" s="757"/>
      <c r="C136" s="758"/>
      <c r="D136" s="759" t="s">
        <v>1143</v>
      </c>
      <c r="E136" s="760" t="s">
        <v>1043</v>
      </c>
      <c r="F136" s="761" t="s">
        <v>1248</v>
      </c>
      <c r="G136" s="758"/>
      <c r="H136" s="760" t="s">
        <v>1043</v>
      </c>
      <c r="I136" s="758"/>
      <c r="J136" s="758"/>
      <c r="K136" s="758"/>
      <c r="L136" s="758"/>
      <c r="M136" s="762"/>
      <c r="N136" s="763"/>
      <c r="O136" s="764"/>
      <c r="P136" s="764"/>
      <c r="Q136" s="764"/>
      <c r="R136" s="764"/>
      <c r="S136" s="764"/>
      <c r="T136" s="764"/>
      <c r="U136" s="764"/>
      <c r="V136" s="764"/>
      <c r="W136" s="764"/>
      <c r="X136" s="765"/>
      <c r="AT136" s="766" t="s">
        <v>1143</v>
      </c>
      <c r="AU136" s="766" t="s">
        <v>795</v>
      </c>
      <c r="AV136" s="756" t="s">
        <v>791</v>
      </c>
      <c r="AW136" s="756" t="s">
        <v>1145</v>
      </c>
      <c r="AX136" s="756" t="s">
        <v>788</v>
      </c>
      <c r="AY136" s="766" t="s">
        <v>1063</v>
      </c>
    </row>
    <row r="137" spans="1:65" s="767" customFormat="1" ht="11.25">
      <c r="B137" s="768"/>
      <c r="C137" s="769"/>
      <c r="D137" s="759" t="s">
        <v>1143</v>
      </c>
      <c r="E137" s="770" t="s">
        <v>1043</v>
      </c>
      <c r="F137" s="771" t="s">
        <v>987</v>
      </c>
      <c r="G137" s="769"/>
      <c r="H137" s="772">
        <v>3</v>
      </c>
      <c r="I137" s="769"/>
      <c r="J137" s="769"/>
      <c r="K137" s="769"/>
      <c r="L137" s="769"/>
      <c r="M137" s="773"/>
      <c r="N137" s="774"/>
      <c r="O137" s="775"/>
      <c r="P137" s="775"/>
      <c r="Q137" s="775"/>
      <c r="R137" s="775"/>
      <c r="S137" s="775"/>
      <c r="T137" s="775"/>
      <c r="U137" s="775"/>
      <c r="V137" s="775"/>
      <c r="W137" s="775"/>
      <c r="X137" s="776"/>
      <c r="AT137" s="777" t="s">
        <v>1143</v>
      </c>
      <c r="AU137" s="777" t="s">
        <v>795</v>
      </c>
      <c r="AV137" s="767" t="s">
        <v>795</v>
      </c>
      <c r="AW137" s="767" t="s">
        <v>1145</v>
      </c>
      <c r="AX137" s="767" t="s">
        <v>788</v>
      </c>
      <c r="AY137" s="777" t="s">
        <v>1063</v>
      </c>
    </row>
    <row r="138" spans="1:65" s="756" customFormat="1" ht="11.25">
      <c r="B138" s="757"/>
      <c r="C138" s="758"/>
      <c r="D138" s="759" t="s">
        <v>1143</v>
      </c>
      <c r="E138" s="760" t="s">
        <v>1043</v>
      </c>
      <c r="F138" s="761" t="s">
        <v>1249</v>
      </c>
      <c r="G138" s="758"/>
      <c r="H138" s="760" t="s">
        <v>1043</v>
      </c>
      <c r="I138" s="758"/>
      <c r="J138" s="758"/>
      <c r="K138" s="758"/>
      <c r="L138" s="758"/>
      <c r="M138" s="762"/>
      <c r="N138" s="763"/>
      <c r="O138" s="764"/>
      <c r="P138" s="764"/>
      <c r="Q138" s="764"/>
      <c r="R138" s="764"/>
      <c r="S138" s="764"/>
      <c r="T138" s="764"/>
      <c r="U138" s="764"/>
      <c r="V138" s="764"/>
      <c r="W138" s="764"/>
      <c r="X138" s="765"/>
      <c r="AT138" s="766" t="s">
        <v>1143</v>
      </c>
      <c r="AU138" s="766" t="s">
        <v>795</v>
      </c>
      <c r="AV138" s="756" t="s">
        <v>791</v>
      </c>
      <c r="AW138" s="756" t="s">
        <v>1145</v>
      </c>
      <c r="AX138" s="756" t="s">
        <v>788</v>
      </c>
      <c r="AY138" s="766" t="s">
        <v>1063</v>
      </c>
    </row>
    <row r="139" spans="1:65" s="767" customFormat="1" ht="11.25">
      <c r="B139" s="768"/>
      <c r="C139" s="769"/>
      <c r="D139" s="759" t="s">
        <v>1143</v>
      </c>
      <c r="E139" s="770" t="s">
        <v>1043</v>
      </c>
      <c r="F139" s="771" t="s">
        <v>1065</v>
      </c>
      <c r="G139" s="769"/>
      <c r="H139" s="772">
        <v>4</v>
      </c>
      <c r="I139" s="769"/>
      <c r="J139" s="769"/>
      <c r="K139" s="769"/>
      <c r="L139" s="769"/>
      <c r="M139" s="773"/>
      <c r="N139" s="774"/>
      <c r="O139" s="775"/>
      <c r="P139" s="775"/>
      <c r="Q139" s="775"/>
      <c r="R139" s="775"/>
      <c r="S139" s="775"/>
      <c r="T139" s="775"/>
      <c r="U139" s="775"/>
      <c r="V139" s="775"/>
      <c r="W139" s="775"/>
      <c r="X139" s="776"/>
      <c r="AT139" s="777" t="s">
        <v>1143</v>
      </c>
      <c r="AU139" s="777" t="s">
        <v>795</v>
      </c>
      <c r="AV139" s="767" t="s">
        <v>795</v>
      </c>
      <c r="AW139" s="767" t="s">
        <v>1145</v>
      </c>
      <c r="AX139" s="767" t="s">
        <v>788</v>
      </c>
      <c r="AY139" s="777" t="s">
        <v>1063</v>
      </c>
    </row>
    <row r="140" spans="1:65" s="756" customFormat="1" ht="11.25">
      <c r="B140" s="757"/>
      <c r="C140" s="758"/>
      <c r="D140" s="759" t="s">
        <v>1143</v>
      </c>
      <c r="E140" s="760" t="s">
        <v>1043</v>
      </c>
      <c r="F140" s="761" t="s">
        <v>1250</v>
      </c>
      <c r="G140" s="758"/>
      <c r="H140" s="760" t="s">
        <v>1043</v>
      </c>
      <c r="I140" s="758"/>
      <c r="J140" s="758"/>
      <c r="K140" s="758"/>
      <c r="L140" s="758"/>
      <c r="M140" s="762"/>
      <c r="N140" s="763"/>
      <c r="O140" s="764"/>
      <c r="P140" s="764"/>
      <c r="Q140" s="764"/>
      <c r="R140" s="764"/>
      <c r="S140" s="764"/>
      <c r="T140" s="764"/>
      <c r="U140" s="764"/>
      <c r="V140" s="764"/>
      <c r="W140" s="764"/>
      <c r="X140" s="765"/>
      <c r="AT140" s="766" t="s">
        <v>1143</v>
      </c>
      <c r="AU140" s="766" t="s">
        <v>795</v>
      </c>
      <c r="AV140" s="756" t="s">
        <v>791</v>
      </c>
      <c r="AW140" s="756" t="s">
        <v>1145</v>
      </c>
      <c r="AX140" s="756" t="s">
        <v>788</v>
      </c>
      <c r="AY140" s="766" t="s">
        <v>1063</v>
      </c>
    </row>
    <row r="141" spans="1:65" s="767" customFormat="1" ht="11.25">
      <c r="B141" s="768"/>
      <c r="C141" s="769"/>
      <c r="D141" s="759" t="s">
        <v>1143</v>
      </c>
      <c r="E141" s="770" t="s">
        <v>1043</v>
      </c>
      <c r="F141" s="771" t="s">
        <v>795</v>
      </c>
      <c r="G141" s="769"/>
      <c r="H141" s="772">
        <v>2</v>
      </c>
      <c r="I141" s="769"/>
      <c r="J141" s="769"/>
      <c r="K141" s="769"/>
      <c r="L141" s="769"/>
      <c r="M141" s="773"/>
      <c r="N141" s="774"/>
      <c r="O141" s="775"/>
      <c r="P141" s="775"/>
      <c r="Q141" s="775"/>
      <c r="R141" s="775"/>
      <c r="S141" s="775"/>
      <c r="T141" s="775"/>
      <c r="U141" s="775"/>
      <c r="V141" s="775"/>
      <c r="W141" s="775"/>
      <c r="X141" s="776"/>
      <c r="AT141" s="777" t="s">
        <v>1143</v>
      </c>
      <c r="AU141" s="777" t="s">
        <v>795</v>
      </c>
      <c r="AV141" s="767" t="s">
        <v>795</v>
      </c>
      <c r="AW141" s="767" t="s">
        <v>1145</v>
      </c>
      <c r="AX141" s="767" t="s">
        <v>788</v>
      </c>
      <c r="AY141" s="777" t="s">
        <v>1063</v>
      </c>
    </row>
    <row r="142" spans="1:65" s="778" customFormat="1" ht="11.25">
      <c r="B142" s="779"/>
      <c r="C142" s="780"/>
      <c r="D142" s="759" t="s">
        <v>1143</v>
      </c>
      <c r="E142" s="781" t="s">
        <v>1043</v>
      </c>
      <c r="F142" s="782" t="s">
        <v>1153</v>
      </c>
      <c r="G142" s="780"/>
      <c r="H142" s="783">
        <v>9</v>
      </c>
      <c r="I142" s="780"/>
      <c r="J142" s="780"/>
      <c r="K142" s="780"/>
      <c r="L142" s="780"/>
      <c r="M142" s="784"/>
      <c r="N142" s="785"/>
      <c r="O142" s="786"/>
      <c r="P142" s="786"/>
      <c r="Q142" s="786"/>
      <c r="R142" s="786"/>
      <c r="S142" s="786"/>
      <c r="T142" s="786"/>
      <c r="U142" s="786"/>
      <c r="V142" s="786"/>
      <c r="W142" s="786"/>
      <c r="X142" s="787"/>
      <c r="AT142" s="788" t="s">
        <v>1143</v>
      </c>
      <c r="AU142" s="788" t="s">
        <v>795</v>
      </c>
      <c r="AV142" s="778" t="s">
        <v>1065</v>
      </c>
      <c r="AW142" s="778" t="s">
        <v>1145</v>
      </c>
      <c r="AX142" s="778" t="s">
        <v>791</v>
      </c>
      <c r="AY142" s="788" t="s">
        <v>1063</v>
      </c>
    </row>
    <row r="143" spans="1:65" s="634" customFormat="1" ht="21.75" customHeight="1">
      <c r="A143" s="705"/>
      <c r="B143" s="706"/>
      <c r="C143" s="789" t="s">
        <v>1192</v>
      </c>
      <c r="D143" s="789" t="s">
        <v>83</v>
      </c>
      <c r="E143" s="790" t="s">
        <v>1264</v>
      </c>
      <c r="F143" s="791" t="s">
        <v>1265</v>
      </c>
      <c r="G143" s="792" t="s">
        <v>19</v>
      </c>
      <c r="H143" s="793">
        <v>9</v>
      </c>
      <c r="I143" s="794"/>
      <c r="J143" s="795"/>
      <c r="K143" s="794">
        <f>ROUND(P143*H143,2)</f>
        <v>0</v>
      </c>
      <c r="L143" s="795"/>
      <c r="M143" s="701"/>
      <c r="N143" s="796" t="s">
        <v>1043</v>
      </c>
      <c r="O143" s="752" t="s">
        <v>1129</v>
      </c>
      <c r="P143" s="753">
        <f>I143+J143</f>
        <v>0</v>
      </c>
      <c r="Q143" s="753">
        <f>ROUND(I143*H143,2)</f>
        <v>0</v>
      </c>
      <c r="R143" s="753">
        <f>ROUND(J143*H143,2)</f>
        <v>0</v>
      </c>
      <c r="S143" s="754">
        <v>0</v>
      </c>
      <c r="T143" s="754">
        <f>S143*H143</f>
        <v>0</v>
      </c>
      <c r="U143" s="754">
        <v>1.4999999999999999E-4</v>
      </c>
      <c r="V143" s="754">
        <f>U143*H143</f>
        <v>1.3499999999999999E-3</v>
      </c>
      <c r="W143" s="754">
        <v>0</v>
      </c>
      <c r="X143" s="755">
        <f>W143*H143</f>
        <v>0</v>
      </c>
      <c r="Y143" s="705"/>
      <c r="Z143" s="705"/>
      <c r="AA143" s="705"/>
      <c r="AB143" s="705"/>
      <c r="AC143" s="705"/>
      <c r="AD143" s="705"/>
      <c r="AE143" s="705"/>
      <c r="AR143" s="686" t="s">
        <v>1190</v>
      </c>
      <c r="AT143" s="686" t="s">
        <v>83</v>
      </c>
      <c r="AU143" s="686" t="s">
        <v>795</v>
      </c>
      <c r="AY143" s="629" t="s">
        <v>1063</v>
      </c>
      <c r="BE143" s="687">
        <f>IF(O143="základná",K143,0)</f>
        <v>0</v>
      </c>
      <c r="BF143" s="687">
        <f>IF(O143="znížená",K143,0)</f>
        <v>0</v>
      </c>
      <c r="BG143" s="687">
        <f>IF(O143="zákl. prenesená",K143,0)</f>
        <v>0</v>
      </c>
      <c r="BH143" s="687">
        <f>IF(O143="zníž. prenesená",K143,0)</f>
        <v>0</v>
      </c>
      <c r="BI143" s="687">
        <f>IF(O143="nulová",K143,0)</f>
        <v>0</v>
      </c>
      <c r="BJ143" s="629" t="s">
        <v>795</v>
      </c>
      <c r="BK143" s="687">
        <f>ROUND(P143*H143,2)</f>
        <v>0</v>
      </c>
      <c r="BL143" s="629" t="s">
        <v>1185</v>
      </c>
      <c r="BM143" s="686" t="s">
        <v>1266</v>
      </c>
    </row>
    <row r="144" spans="1:65" s="756" customFormat="1" ht="11.25">
      <c r="B144" s="757"/>
      <c r="C144" s="758"/>
      <c r="D144" s="759" t="s">
        <v>1143</v>
      </c>
      <c r="E144" s="760" t="s">
        <v>1043</v>
      </c>
      <c r="F144" s="761" t="s">
        <v>1248</v>
      </c>
      <c r="G144" s="758"/>
      <c r="H144" s="760" t="s">
        <v>1043</v>
      </c>
      <c r="I144" s="758"/>
      <c r="J144" s="758"/>
      <c r="K144" s="758"/>
      <c r="L144" s="758"/>
      <c r="M144" s="762"/>
      <c r="N144" s="763"/>
      <c r="O144" s="764"/>
      <c r="P144" s="764"/>
      <c r="Q144" s="764"/>
      <c r="R144" s="764"/>
      <c r="S144" s="764"/>
      <c r="T144" s="764"/>
      <c r="U144" s="764"/>
      <c r="V144" s="764"/>
      <c r="W144" s="764"/>
      <c r="X144" s="765"/>
      <c r="AT144" s="766" t="s">
        <v>1143</v>
      </c>
      <c r="AU144" s="766" t="s">
        <v>795</v>
      </c>
      <c r="AV144" s="756" t="s">
        <v>791</v>
      </c>
      <c r="AW144" s="756" t="s">
        <v>1145</v>
      </c>
      <c r="AX144" s="756" t="s">
        <v>788</v>
      </c>
      <c r="AY144" s="766" t="s">
        <v>1063</v>
      </c>
    </row>
    <row r="145" spans="1:65" s="767" customFormat="1" ht="11.25">
      <c r="B145" s="768"/>
      <c r="C145" s="769"/>
      <c r="D145" s="759" t="s">
        <v>1143</v>
      </c>
      <c r="E145" s="770" t="s">
        <v>1043</v>
      </c>
      <c r="F145" s="771" t="s">
        <v>987</v>
      </c>
      <c r="G145" s="769"/>
      <c r="H145" s="772">
        <v>3</v>
      </c>
      <c r="I145" s="769"/>
      <c r="J145" s="769"/>
      <c r="K145" s="769"/>
      <c r="L145" s="769"/>
      <c r="M145" s="773"/>
      <c r="N145" s="774"/>
      <c r="O145" s="775"/>
      <c r="P145" s="775"/>
      <c r="Q145" s="775"/>
      <c r="R145" s="775"/>
      <c r="S145" s="775"/>
      <c r="T145" s="775"/>
      <c r="U145" s="775"/>
      <c r="V145" s="775"/>
      <c r="W145" s="775"/>
      <c r="X145" s="776"/>
      <c r="AT145" s="777" t="s">
        <v>1143</v>
      </c>
      <c r="AU145" s="777" t="s">
        <v>795</v>
      </c>
      <c r="AV145" s="767" t="s">
        <v>795</v>
      </c>
      <c r="AW145" s="767" t="s">
        <v>1145</v>
      </c>
      <c r="AX145" s="767" t="s">
        <v>788</v>
      </c>
      <c r="AY145" s="777" t="s">
        <v>1063</v>
      </c>
    </row>
    <row r="146" spans="1:65" s="756" customFormat="1" ht="11.25">
      <c r="B146" s="757"/>
      <c r="C146" s="758"/>
      <c r="D146" s="759" t="s">
        <v>1143</v>
      </c>
      <c r="E146" s="760" t="s">
        <v>1043</v>
      </c>
      <c r="F146" s="761" t="s">
        <v>1249</v>
      </c>
      <c r="G146" s="758"/>
      <c r="H146" s="760" t="s">
        <v>1043</v>
      </c>
      <c r="I146" s="758"/>
      <c r="J146" s="758"/>
      <c r="K146" s="758"/>
      <c r="L146" s="758"/>
      <c r="M146" s="762"/>
      <c r="N146" s="763"/>
      <c r="O146" s="764"/>
      <c r="P146" s="764"/>
      <c r="Q146" s="764"/>
      <c r="R146" s="764"/>
      <c r="S146" s="764"/>
      <c r="T146" s="764"/>
      <c r="U146" s="764"/>
      <c r="V146" s="764"/>
      <c r="W146" s="764"/>
      <c r="X146" s="765"/>
      <c r="AT146" s="766" t="s">
        <v>1143</v>
      </c>
      <c r="AU146" s="766" t="s">
        <v>795</v>
      </c>
      <c r="AV146" s="756" t="s">
        <v>791</v>
      </c>
      <c r="AW146" s="756" t="s">
        <v>1145</v>
      </c>
      <c r="AX146" s="756" t="s">
        <v>788</v>
      </c>
      <c r="AY146" s="766" t="s">
        <v>1063</v>
      </c>
    </row>
    <row r="147" spans="1:65" s="767" customFormat="1" ht="11.25">
      <c r="B147" s="768"/>
      <c r="C147" s="769"/>
      <c r="D147" s="759" t="s">
        <v>1143</v>
      </c>
      <c r="E147" s="770" t="s">
        <v>1043</v>
      </c>
      <c r="F147" s="771" t="s">
        <v>1065</v>
      </c>
      <c r="G147" s="769"/>
      <c r="H147" s="772">
        <v>4</v>
      </c>
      <c r="I147" s="769"/>
      <c r="J147" s="769"/>
      <c r="K147" s="769"/>
      <c r="L147" s="769"/>
      <c r="M147" s="773"/>
      <c r="N147" s="774"/>
      <c r="O147" s="775"/>
      <c r="P147" s="775"/>
      <c r="Q147" s="775"/>
      <c r="R147" s="775"/>
      <c r="S147" s="775"/>
      <c r="T147" s="775"/>
      <c r="U147" s="775"/>
      <c r="V147" s="775"/>
      <c r="W147" s="775"/>
      <c r="X147" s="776"/>
      <c r="AT147" s="777" t="s">
        <v>1143</v>
      </c>
      <c r="AU147" s="777" t="s">
        <v>795</v>
      </c>
      <c r="AV147" s="767" t="s">
        <v>795</v>
      </c>
      <c r="AW147" s="767" t="s">
        <v>1145</v>
      </c>
      <c r="AX147" s="767" t="s">
        <v>788</v>
      </c>
      <c r="AY147" s="777" t="s">
        <v>1063</v>
      </c>
    </row>
    <row r="148" spans="1:65" s="756" customFormat="1" ht="11.25">
      <c r="B148" s="757"/>
      <c r="C148" s="758"/>
      <c r="D148" s="759" t="s">
        <v>1143</v>
      </c>
      <c r="E148" s="760" t="s">
        <v>1043</v>
      </c>
      <c r="F148" s="761" t="s">
        <v>1250</v>
      </c>
      <c r="G148" s="758"/>
      <c r="H148" s="760" t="s">
        <v>1043</v>
      </c>
      <c r="I148" s="758"/>
      <c r="J148" s="758"/>
      <c r="K148" s="758"/>
      <c r="L148" s="758"/>
      <c r="M148" s="762"/>
      <c r="N148" s="763"/>
      <c r="O148" s="764"/>
      <c r="P148" s="764"/>
      <c r="Q148" s="764"/>
      <c r="R148" s="764"/>
      <c r="S148" s="764"/>
      <c r="T148" s="764"/>
      <c r="U148" s="764"/>
      <c r="V148" s="764"/>
      <c r="W148" s="764"/>
      <c r="X148" s="765"/>
      <c r="AT148" s="766" t="s">
        <v>1143</v>
      </c>
      <c r="AU148" s="766" t="s">
        <v>795</v>
      </c>
      <c r="AV148" s="756" t="s">
        <v>791</v>
      </c>
      <c r="AW148" s="756" t="s">
        <v>1145</v>
      </c>
      <c r="AX148" s="756" t="s">
        <v>788</v>
      </c>
      <c r="AY148" s="766" t="s">
        <v>1063</v>
      </c>
    </row>
    <row r="149" spans="1:65" s="767" customFormat="1" ht="11.25">
      <c r="B149" s="768"/>
      <c r="C149" s="769"/>
      <c r="D149" s="759" t="s">
        <v>1143</v>
      </c>
      <c r="E149" s="770" t="s">
        <v>1043</v>
      </c>
      <c r="F149" s="771" t="s">
        <v>795</v>
      </c>
      <c r="G149" s="769"/>
      <c r="H149" s="772">
        <v>2</v>
      </c>
      <c r="I149" s="769"/>
      <c r="J149" s="769"/>
      <c r="K149" s="769"/>
      <c r="L149" s="769"/>
      <c r="M149" s="773"/>
      <c r="N149" s="774"/>
      <c r="O149" s="775"/>
      <c r="P149" s="775"/>
      <c r="Q149" s="775"/>
      <c r="R149" s="775"/>
      <c r="S149" s="775"/>
      <c r="T149" s="775"/>
      <c r="U149" s="775"/>
      <c r="V149" s="775"/>
      <c r="W149" s="775"/>
      <c r="X149" s="776"/>
      <c r="AT149" s="777" t="s">
        <v>1143</v>
      </c>
      <c r="AU149" s="777" t="s">
        <v>795</v>
      </c>
      <c r="AV149" s="767" t="s">
        <v>795</v>
      </c>
      <c r="AW149" s="767" t="s">
        <v>1145</v>
      </c>
      <c r="AX149" s="767" t="s">
        <v>788</v>
      </c>
      <c r="AY149" s="777" t="s">
        <v>1063</v>
      </c>
    </row>
    <row r="150" spans="1:65" s="778" customFormat="1" ht="11.25">
      <c r="B150" s="779"/>
      <c r="C150" s="780"/>
      <c r="D150" s="759" t="s">
        <v>1143</v>
      </c>
      <c r="E150" s="781" t="s">
        <v>1043</v>
      </c>
      <c r="F150" s="782" t="s">
        <v>1153</v>
      </c>
      <c r="G150" s="780"/>
      <c r="H150" s="783">
        <v>9</v>
      </c>
      <c r="I150" s="780"/>
      <c r="J150" s="780"/>
      <c r="K150" s="780"/>
      <c r="L150" s="780"/>
      <c r="M150" s="784"/>
      <c r="N150" s="785"/>
      <c r="O150" s="786"/>
      <c r="P150" s="786"/>
      <c r="Q150" s="786"/>
      <c r="R150" s="786"/>
      <c r="S150" s="786"/>
      <c r="T150" s="786"/>
      <c r="U150" s="786"/>
      <c r="V150" s="786"/>
      <c r="W150" s="786"/>
      <c r="X150" s="787"/>
      <c r="AT150" s="788" t="s">
        <v>1143</v>
      </c>
      <c r="AU150" s="788" t="s">
        <v>795</v>
      </c>
      <c r="AV150" s="778" t="s">
        <v>1065</v>
      </c>
      <c r="AW150" s="778" t="s">
        <v>1145</v>
      </c>
      <c r="AX150" s="778" t="s">
        <v>791</v>
      </c>
      <c r="AY150" s="788" t="s">
        <v>1063</v>
      </c>
    </row>
    <row r="151" spans="1:65" s="634" customFormat="1" ht="21.75" customHeight="1">
      <c r="A151" s="705"/>
      <c r="B151" s="706"/>
      <c r="C151" s="744" t="s">
        <v>1267</v>
      </c>
      <c r="D151" s="744" t="s">
        <v>29</v>
      </c>
      <c r="E151" s="745" t="s">
        <v>1268</v>
      </c>
      <c r="F151" s="746" t="s">
        <v>1269</v>
      </c>
      <c r="G151" s="747" t="s">
        <v>19</v>
      </c>
      <c r="H151" s="748">
        <v>7</v>
      </c>
      <c r="I151" s="749"/>
      <c r="J151" s="749"/>
      <c r="K151" s="749">
        <f>ROUND(P151*H151,2)</f>
        <v>0</v>
      </c>
      <c r="L151" s="750"/>
      <c r="M151" s="631"/>
      <c r="N151" s="751" t="s">
        <v>1043</v>
      </c>
      <c r="O151" s="752" t="s">
        <v>1129</v>
      </c>
      <c r="P151" s="753">
        <f>I151+J151</f>
        <v>0</v>
      </c>
      <c r="Q151" s="753">
        <f>ROUND(I151*H151,2)</f>
        <v>0</v>
      </c>
      <c r="R151" s="753">
        <f>ROUND(J151*H151,2)</f>
        <v>0</v>
      </c>
      <c r="S151" s="754">
        <v>0.31900000000000001</v>
      </c>
      <c r="T151" s="754">
        <f>S151*H151</f>
        <v>2.2330000000000001</v>
      </c>
      <c r="U151" s="754">
        <v>1.9000000000000001E-4</v>
      </c>
      <c r="V151" s="754">
        <f>U151*H151</f>
        <v>1.33E-3</v>
      </c>
      <c r="W151" s="754">
        <v>0</v>
      </c>
      <c r="X151" s="755">
        <f>W151*H151</f>
        <v>0</v>
      </c>
      <c r="Y151" s="705"/>
      <c r="Z151" s="705"/>
      <c r="AA151" s="705"/>
      <c r="AB151" s="705"/>
      <c r="AC151" s="705"/>
      <c r="AD151" s="705"/>
      <c r="AE151" s="705"/>
      <c r="AR151" s="686" t="s">
        <v>1185</v>
      </c>
      <c r="AT151" s="686" t="s">
        <v>29</v>
      </c>
      <c r="AU151" s="686" t="s">
        <v>795</v>
      </c>
      <c r="AY151" s="629" t="s">
        <v>1063</v>
      </c>
      <c r="BE151" s="687">
        <f>IF(O151="základná",K151,0)</f>
        <v>0</v>
      </c>
      <c r="BF151" s="687">
        <f>IF(O151="znížená",K151,0)</f>
        <v>0</v>
      </c>
      <c r="BG151" s="687">
        <f>IF(O151="zákl. prenesená",K151,0)</f>
        <v>0</v>
      </c>
      <c r="BH151" s="687">
        <f>IF(O151="zníž. prenesená",K151,0)</f>
        <v>0</v>
      </c>
      <c r="BI151" s="687">
        <f>IF(O151="nulová",K151,0)</f>
        <v>0</v>
      </c>
      <c r="BJ151" s="629" t="s">
        <v>795</v>
      </c>
      <c r="BK151" s="687">
        <f>ROUND(P151*H151,2)</f>
        <v>0</v>
      </c>
      <c r="BL151" s="629" t="s">
        <v>1185</v>
      </c>
      <c r="BM151" s="686" t="s">
        <v>1270</v>
      </c>
    </row>
    <row r="152" spans="1:65" s="756" customFormat="1" ht="11.25">
      <c r="B152" s="757"/>
      <c r="C152" s="758"/>
      <c r="D152" s="759" t="s">
        <v>1143</v>
      </c>
      <c r="E152" s="760" t="s">
        <v>1043</v>
      </c>
      <c r="F152" s="761" t="s">
        <v>1248</v>
      </c>
      <c r="G152" s="758"/>
      <c r="H152" s="760" t="s">
        <v>1043</v>
      </c>
      <c r="I152" s="758"/>
      <c r="J152" s="758"/>
      <c r="K152" s="758"/>
      <c r="L152" s="758"/>
      <c r="M152" s="762"/>
      <c r="N152" s="763"/>
      <c r="O152" s="764"/>
      <c r="P152" s="764"/>
      <c r="Q152" s="764"/>
      <c r="R152" s="764"/>
      <c r="S152" s="764"/>
      <c r="T152" s="764"/>
      <c r="U152" s="764"/>
      <c r="V152" s="764"/>
      <c r="W152" s="764"/>
      <c r="X152" s="765"/>
      <c r="AT152" s="766" t="s">
        <v>1143</v>
      </c>
      <c r="AU152" s="766" t="s">
        <v>795</v>
      </c>
      <c r="AV152" s="756" t="s">
        <v>791</v>
      </c>
      <c r="AW152" s="756" t="s">
        <v>1145</v>
      </c>
      <c r="AX152" s="756" t="s">
        <v>788</v>
      </c>
      <c r="AY152" s="766" t="s">
        <v>1063</v>
      </c>
    </row>
    <row r="153" spans="1:65" s="767" customFormat="1" ht="11.25">
      <c r="B153" s="768"/>
      <c r="C153" s="769"/>
      <c r="D153" s="759" t="s">
        <v>1143</v>
      </c>
      <c r="E153" s="770" t="s">
        <v>1043</v>
      </c>
      <c r="F153" s="771" t="s">
        <v>1271</v>
      </c>
      <c r="G153" s="769"/>
      <c r="H153" s="772">
        <v>3</v>
      </c>
      <c r="I153" s="769"/>
      <c r="J153" s="769"/>
      <c r="K153" s="769"/>
      <c r="L153" s="769"/>
      <c r="M153" s="773"/>
      <c r="N153" s="774"/>
      <c r="O153" s="775"/>
      <c r="P153" s="775"/>
      <c r="Q153" s="775"/>
      <c r="R153" s="775"/>
      <c r="S153" s="775"/>
      <c r="T153" s="775"/>
      <c r="U153" s="775"/>
      <c r="V153" s="775"/>
      <c r="W153" s="775"/>
      <c r="X153" s="776"/>
      <c r="AT153" s="777" t="s">
        <v>1143</v>
      </c>
      <c r="AU153" s="777" t="s">
        <v>795</v>
      </c>
      <c r="AV153" s="767" t="s">
        <v>795</v>
      </c>
      <c r="AW153" s="767" t="s">
        <v>1145</v>
      </c>
      <c r="AX153" s="767" t="s">
        <v>788</v>
      </c>
      <c r="AY153" s="777" t="s">
        <v>1063</v>
      </c>
    </row>
    <row r="154" spans="1:65" s="756" customFormat="1" ht="11.25">
      <c r="B154" s="757"/>
      <c r="C154" s="758"/>
      <c r="D154" s="759" t="s">
        <v>1143</v>
      </c>
      <c r="E154" s="760" t="s">
        <v>1043</v>
      </c>
      <c r="F154" s="761" t="s">
        <v>1249</v>
      </c>
      <c r="G154" s="758"/>
      <c r="H154" s="760" t="s">
        <v>1043</v>
      </c>
      <c r="I154" s="758"/>
      <c r="J154" s="758"/>
      <c r="K154" s="758"/>
      <c r="L154" s="758"/>
      <c r="M154" s="762"/>
      <c r="N154" s="763"/>
      <c r="O154" s="764"/>
      <c r="P154" s="764"/>
      <c r="Q154" s="764"/>
      <c r="R154" s="764"/>
      <c r="S154" s="764"/>
      <c r="T154" s="764"/>
      <c r="U154" s="764"/>
      <c r="V154" s="764"/>
      <c r="W154" s="764"/>
      <c r="X154" s="765"/>
      <c r="AT154" s="766" t="s">
        <v>1143</v>
      </c>
      <c r="AU154" s="766" t="s">
        <v>795</v>
      </c>
      <c r="AV154" s="756" t="s">
        <v>791</v>
      </c>
      <c r="AW154" s="756" t="s">
        <v>1145</v>
      </c>
      <c r="AX154" s="756" t="s">
        <v>788</v>
      </c>
      <c r="AY154" s="766" t="s">
        <v>1063</v>
      </c>
    </row>
    <row r="155" spans="1:65" s="767" customFormat="1" ht="11.25">
      <c r="B155" s="768"/>
      <c r="C155" s="769"/>
      <c r="D155" s="759" t="s">
        <v>1143</v>
      </c>
      <c r="E155" s="770" t="s">
        <v>1043</v>
      </c>
      <c r="F155" s="771" t="s">
        <v>1271</v>
      </c>
      <c r="G155" s="769"/>
      <c r="H155" s="772">
        <v>3</v>
      </c>
      <c r="I155" s="769"/>
      <c r="J155" s="769"/>
      <c r="K155" s="769"/>
      <c r="L155" s="769"/>
      <c r="M155" s="773"/>
      <c r="N155" s="774"/>
      <c r="O155" s="775"/>
      <c r="P155" s="775"/>
      <c r="Q155" s="775"/>
      <c r="R155" s="775"/>
      <c r="S155" s="775"/>
      <c r="T155" s="775"/>
      <c r="U155" s="775"/>
      <c r="V155" s="775"/>
      <c r="W155" s="775"/>
      <c r="X155" s="776"/>
      <c r="AT155" s="777" t="s">
        <v>1143</v>
      </c>
      <c r="AU155" s="777" t="s">
        <v>795</v>
      </c>
      <c r="AV155" s="767" t="s">
        <v>795</v>
      </c>
      <c r="AW155" s="767" t="s">
        <v>1145</v>
      </c>
      <c r="AX155" s="767" t="s">
        <v>788</v>
      </c>
      <c r="AY155" s="777" t="s">
        <v>1063</v>
      </c>
    </row>
    <row r="156" spans="1:65" s="756" customFormat="1" ht="11.25">
      <c r="B156" s="757"/>
      <c r="C156" s="758"/>
      <c r="D156" s="759" t="s">
        <v>1143</v>
      </c>
      <c r="E156" s="760" t="s">
        <v>1043</v>
      </c>
      <c r="F156" s="761" t="s">
        <v>1250</v>
      </c>
      <c r="G156" s="758"/>
      <c r="H156" s="760" t="s">
        <v>1043</v>
      </c>
      <c r="I156" s="758"/>
      <c r="J156" s="758"/>
      <c r="K156" s="758"/>
      <c r="L156" s="758"/>
      <c r="M156" s="762"/>
      <c r="N156" s="763"/>
      <c r="O156" s="764"/>
      <c r="P156" s="764"/>
      <c r="Q156" s="764"/>
      <c r="R156" s="764"/>
      <c r="S156" s="764"/>
      <c r="T156" s="764"/>
      <c r="U156" s="764"/>
      <c r="V156" s="764"/>
      <c r="W156" s="764"/>
      <c r="X156" s="765"/>
      <c r="AT156" s="766" t="s">
        <v>1143</v>
      </c>
      <c r="AU156" s="766" t="s">
        <v>795</v>
      </c>
      <c r="AV156" s="756" t="s">
        <v>791</v>
      </c>
      <c r="AW156" s="756" t="s">
        <v>1145</v>
      </c>
      <c r="AX156" s="756" t="s">
        <v>788</v>
      </c>
      <c r="AY156" s="766" t="s">
        <v>1063</v>
      </c>
    </row>
    <row r="157" spans="1:65" s="767" customFormat="1" ht="11.25">
      <c r="B157" s="768"/>
      <c r="C157" s="769"/>
      <c r="D157" s="759" t="s">
        <v>1143</v>
      </c>
      <c r="E157" s="770" t="s">
        <v>1043</v>
      </c>
      <c r="F157" s="771" t="s">
        <v>791</v>
      </c>
      <c r="G157" s="769"/>
      <c r="H157" s="772">
        <v>1</v>
      </c>
      <c r="I157" s="769"/>
      <c r="J157" s="769"/>
      <c r="K157" s="769"/>
      <c r="L157" s="769"/>
      <c r="M157" s="773"/>
      <c r="N157" s="774"/>
      <c r="O157" s="775"/>
      <c r="P157" s="775"/>
      <c r="Q157" s="775"/>
      <c r="R157" s="775"/>
      <c r="S157" s="775"/>
      <c r="T157" s="775"/>
      <c r="U157" s="775"/>
      <c r="V157" s="775"/>
      <c r="W157" s="775"/>
      <c r="X157" s="776"/>
      <c r="AT157" s="777" t="s">
        <v>1143</v>
      </c>
      <c r="AU157" s="777" t="s">
        <v>795</v>
      </c>
      <c r="AV157" s="767" t="s">
        <v>795</v>
      </c>
      <c r="AW157" s="767" t="s">
        <v>1145</v>
      </c>
      <c r="AX157" s="767" t="s">
        <v>788</v>
      </c>
      <c r="AY157" s="777" t="s">
        <v>1063</v>
      </c>
    </row>
    <row r="158" spans="1:65" s="778" customFormat="1" ht="11.25">
      <c r="B158" s="779"/>
      <c r="C158" s="780"/>
      <c r="D158" s="759" t="s">
        <v>1143</v>
      </c>
      <c r="E158" s="781" t="s">
        <v>1043</v>
      </c>
      <c r="F158" s="782" t="s">
        <v>1153</v>
      </c>
      <c r="G158" s="780"/>
      <c r="H158" s="783">
        <v>7</v>
      </c>
      <c r="I158" s="780"/>
      <c r="J158" s="780"/>
      <c r="K158" s="780"/>
      <c r="L158" s="780"/>
      <c r="M158" s="784"/>
      <c r="N158" s="785"/>
      <c r="O158" s="786"/>
      <c r="P158" s="786"/>
      <c r="Q158" s="786"/>
      <c r="R158" s="786"/>
      <c r="S158" s="786"/>
      <c r="T158" s="786"/>
      <c r="U158" s="786"/>
      <c r="V158" s="786"/>
      <c r="W158" s="786"/>
      <c r="X158" s="787"/>
      <c r="AT158" s="788" t="s">
        <v>1143</v>
      </c>
      <c r="AU158" s="788" t="s">
        <v>795</v>
      </c>
      <c r="AV158" s="778" t="s">
        <v>1065</v>
      </c>
      <c r="AW158" s="778" t="s">
        <v>1145</v>
      </c>
      <c r="AX158" s="778" t="s">
        <v>791</v>
      </c>
      <c r="AY158" s="788" t="s">
        <v>1063</v>
      </c>
    </row>
    <row r="159" spans="1:65" s="634" customFormat="1" ht="21.75" customHeight="1">
      <c r="A159" s="705"/>
      <c r="B159" s="706"/>
      <c r="C159" s="789" t="s">
        <v>1272</v>
      </c>
      <c r="D159" s="789" t="s">
        <v>83</v>
      </c>
      <c r="E159" s="790" t="s">
        <v>1273</v>
      </c>
      <c r="F159" s="791" t="s">
        <v>1274</v>
      </c>
      <c r="G159" s="792" t="s">
        <v>19</v>
      </c>
      <c r="H159" s="793">
        <v>7</v>
      </c>
      <c r="I159" s="794"/>
      <c r="J159" s="795"/>
      <c r="K159" s="794">
        <f>ROUND(P159*H159,2)</f>
        <v>0</v>
      </c>
      <c r="L159" s="795"/>
      <c r="M159" s="701"/>
      <c r="N159" s="796" t="s">
        <v>1043</v>
      </c>
      <c r="O159" s="752" t="s">
        <v>1129</v>
      </c>
      <c r="P159" s="753">
        <f>I159+J159</f>
        <v>0</v>
      </c>
      <c r="Q159" s="753">
        <f>ROUND(I159*H159,2)</f>
        <v>0</v>
      </c>
      <c r="R159" s="753">
        <f>ROUND(J159*H159,2)</f>
        <v>0</v>
      </c>
      <c r="S159" s="754">
        <v>0</v>
      </c>
      <c r="T159" s="754">
        <f>S159*H159</f>
        <v>0</v>
      </c>
      <c r="U159" s="754">
        <v>3.4000000000000002E-4</v>
      </c>
      <c r="V159" s="754">
        <f>U159*H159</f>
        <v>2.3800000000000002E-3</v>
      </c>
      <c r="W159" s="754">
        <v>0</v>
      </c>
      <c r="X159" s="755">
        <f>W159*H159</f>
        <v>0</v>
      </c>
      <c r="Y159" s="705"/>
      <c r="Z159" s="705"/>
      <c r="AA159" s="705"/>
      <c r="AB159" s="705"/>
      <c r="AC159" s="705"/>
      <c r="AD159" s="705"/>
      <c r="AE159" s="705"/>
      <c r="AR159" s="686" t="s">
        <v>1190</v>
      </c>
      <c r="AT159" s="686" t="s">
        <v>83</v>
      </c>
      <c r="AU159" s="686" t="s">
        <v>795</v>
      </c>
      <c r="AY159" s="629" t="s">
        <v>1063</v>
      </c>
      <c r="BE159" s="687">
        <f>IF(O159="základná",K159,0)</f>
        <v>0</v>
      </c>
      <c r="BF159" s="687">
        <f>IF(O159="znížená",K159,0)</f>
        <v>0</v>
      </c>
      <c r="BG159" s="687">
        <f>IF(O159="zákl. prenesená",K159,0)</f>
        <v>0</v>
      </c>
      <c r="BH159" s="687">
        <f>IF(O159="zníž. prenesená",K159,0)</f>
        <v>0</v>
      </c>
      <c r="BI159" s="687">
        <f>IF(O159="nulová",K159,0)</f>
        <v>0</v>
      </c>
      <c r="BJ159" s="629" t="s">
        <v>795</v>
      </c>
      <c r="BK159" s="687">
        <f>ROUND(P159*H159,2)</f>
        <v>0</v>
      </c>
      <c r="BL159" s="629" t="s">
        <v>1185</v>
      </c>
      <c r="BM159" s="686" t="s">
        <v>1275</v>
      </c>
    </row>
    <row r="160" spans="1:65" s="756" customFormat="1" ht="11.25">
      <c r="B160" s="757"/>
      <c r="C160" s="758"/>
      <c r="D160" s="759" t="s">
        <v>1143</v>
      </c>
      <c r="E160" s="760" t="s">
        <v>1043</v>
      </c>
      <c r="F160" s="761" t="s">
        <v>1248</v>
      </c>
      <c r="G160" s="758"/>
      <c r="H160" s="760" t="s">
        <v>1043</v>
      </c>
      <c r="I160" s="758"/>
      <c r="J160" s="758"/>
      <c r="K160" s="758"/>
      <c r="L160" s="758"/>
      <c r="M160" s="762"/>
      <c r="N160" s="763"/>
      <c r="O160" s="764"/>
      <c r="P160" s="764"/>
      <c r="Q160" s="764"/>
      <c r="R160" s="764"/>
      <c r="S160" s="764"/>
      <c r="T160" s="764"/>
      <c r="U160" s="764"/>
      <c r="V160" s="764"/>
      <c r="W160" s="764"/>
      <c r="X160" s="765"/>
      <c r="AT160" s="766" t="s">
        <v>1143</v>
      </c>
      <c r="AU160" s="766" t="s">
        <v>795</v>
      </c>
      <c r="AV160" s="756" t="s">
        <v>791</v>
      </c>
      <c r="AW160" s="756" t="s">
        <v>1145</v>
      </c>
      <c r="AX160" s="756" t="s">
        <v>788</v>
      </c>
      <c r="AY160" s="766" t="s">
        <v>1063</v>
      </c>
    </row>
    <row r="161" spans="1:65" s="767" customFormat="1" ht="11.25">
      <c r="B161" s="768"/>
      <c r="C161" s="769"/>
      <c r="D161" s="759" t="s">
        <v>1143</v>
      </c>
      <c r="E161" s="770" t="s">
        <v>1043</v>
      </c>
      <c r="F161" s="771" t="s">
        <v>1271</v>
      </c>
      <c r="G161" s="769"/>
      <c r="H161" s="772">
        <v>3</v>
      </c>
      <c r="I161" s="769"/>
      <c r="J161" s="769"/>
      <c r="K161" s="769"/>
      <c r="L161" s="769"/>
      <c r="M161" s="773"/>
      <c r="N161" s="774"/>
      <c r="O161" s="775"/>
      <c r="P161" s="775"/>
      <c r="Q161" s="775"/>
      <c r="R161" s="775"/>
      <c r="S161" s="775"/>
      <c r="T161" s="775"/>
      <c r="U161" s="775"/>
      <c r="V161" s="775"/>
      <c r="W161" s="775"/>
      <c r="X161" s="776"/>
      <c r="AT161" s="777" t="s">
        <v>1143</v>
      </c>
      <c r="AU161" s="777" t="s">
        <v>795</v>
      </c>
      <c r="AV161" s="767" t="s">
        <v>795</v>
      </c>
      <c r="AW161" s="767" t="s">
        <v>1145</v>
      </c>
      <c r="AX161" s="767" t="s">
        <v>788</v>
      </c>
      <c r="AY161" s="777" t="s">
        <v>1063</v>
      </c>
    </row>
    <row r="162" spans="1:65" s="756" customFormat="1" ht="11.25">
      <c r="B162" s="757"/>
      <c r="C162" s="758"/>
      <c r="D162" s="759" t="s">
        <v>1143</v>
      </c>
      <c r="E162" s="760" t="s">
        <v>1043</v>
      </c>
      <c r="F162" s="761" t="s">
        <v>1249</v>
      </c>
      <c r="G162" s="758"/>
      <c r="H162" s="760" t="s">
        <v>1043</v>
      </c>
      <c r="I162" s="758"/>
      <c r="J162" s="758"/>
      <c r="K162" s="758"/>
      <c r="L162" s="758"/>
      <c r="M162" s="762"/>
      <c r="N162" s="763"/>
      <c r="O162" s="764"/>
      <c r="P162" s="764"/>
      <c r="Q162" s="764"/>
      <c r="R162" s="764"/>
      <c r="S162" s="764"/>
      <c r="T162" s="764"/>
      <c r="U162" s="764"/>
      <c r="V162" s="764"/>
      <c r="W162" s="764"/>
      <c r="X162" s="765"/>
      <c r="AT162" s="766" t="s">
        <v>1143</v>
      </c>
      <c r="AU162" s="766" t="s">
        <v>795</v>
      </c>
      <c r="AV162" s="756" t="s">
        <v>791</v>
      </c>
      <c r="AW162" s="756" t="s">
        <v>1145</v>
      </c>
      <c r="AX162" s="756" t="s">
        <v>788</v>
      </c>
      <c r="AY162" s="766" t="s">
        <v>1063</v>
      </c>
    </row>
    <row r="163" spans="1:65" s="767" customFormat="1" ht="11.25">
      <c r="B163" s="768"/>
      <c r="C163" s="769"/>
      <c r="D163" s="759" t="s">
        <v>1143</v>
      </c>
      <c r="E163" s="770" t="s">
        <v>1043</v>
      </c>
      <c r="F163" s="771" t="s">
        <v>1271</v>
      </c>
      <c r="G163" s="769"/>
      <c r="H163" s="772">
        <v>3</v>
      </c>
      <c r="I163" s="769"/>
      <c r="J163" s="769"/>
      <c r="K163" s="769"/>
      <c r="L163" s="769"/>
      <c r="M163" s="773"/>
      <c r="N163" s="774"/>
      <c r="O163" s="775"/>
      <c r="P163" s="775"/>
      <c r="Q163" s="775"/>
      <c r="R163" s="775"/>
      <c r="S163" s="775"/>
      <c r="T163" s="775"/>
      <c r="U163" s="775"/>
      <c r="V163" s="775"/>
      <c r="W163" s="775"/>
      <c r="X163" s="776"/>
      <c r="AT163" s="777" t="s">
        <v>1143</v>
      </c>
      <c r="AU163" s="777" t="s">
        <v>795</v>
      </c>
      <c r="AV163" s="767" t="s">
        <v>795</v>
      </c>
      <c r="AW163" s="767" t="s">
        <v>1145</v>
      </c>
      <c r="AX163" s="767" t="s">
        <v>788</v>
      </c>
      <c r="AY163" s="777" t="s">
        <v>1063</v>
      </c>
    </row>
    <row r="164" spans="1:65" s="756" customFormat="1" ht="11.25">
      <c r="B164" s="757"/>
      <c r="C164" s="758"/>
      <c r="D164" s="759" t="s">
        <v>1143</v>
      </c>
      <c r="E164" s="760" t="s">
        <v>1043</v>
      </c>
      <c r="F164" s="761" t="s">
        <v>1250</v>
      </c>
      <c r="G164" s="758"/>
      <c r="H164" s="760" t="s">
        <v>1043</v>
      </c>
      <c r="I164" s="758"/>
      <c r="J164" s="758"/>
      <c r="K164" s="758"/>
      <c r="L164" s="758"/>
      <c r="M164" s="762"/>
      <c r="N164" s="763"/>
      <c r="O164" s="764"/>
      <c r="P164" s="764"/>
      <c r="Q164" s="764"/>
      <c r="R164" s="764"/>
      <c r="S164" s="764"/>
      <c r="T164" s="764"/>
      <c r="U164" s="764"/>
      <c r="V164" s="764"/>
      <c r="W164" s="764"/>
      <c r="X164" s="765"/>
      <c r="AT164" s="766" t="s">
        <v>1143</v>
      </c>
      <c r="AU164" s="766" t="s">
        <v>795</v>
      </c>
      <c r="AV164" s="756" t="s">
        <v>791</v>
      </c>
      <c r="AW164" s="756" t="s">
        <v>1145</v>
      </c>
      <c r="AX164" s="756" t="s">
        <v>788</v>
      </c>
      <c r="AY164" s="766" t="s">
        <v>1063</v>
      </c>
    </row>
    <row r="165" spans="1:65" s="767" customFormat="1" ht="11.25">
      <c r="B165" s="768"/>
      <c r="C165" s="769"/>
      <c r="D165" s="759" t="s">
        <v>1143</v>
      </c>
      <c r="E165" s="770" t="s">
        <v>1043</v>
      </c>
      <c r="F165" s="771" t="s">
        <v>791</v>
      </c>
      <c r="G165" s="769"/>
      <c r="H165" s="772">
        <v>1</v>
      </c>
      <c r="I165" s="769"/>
      <c r="J165" s="769"/>
      <c r="K165" s="769"/>
      <c r="L165" s="769"/>
      <c r="M165" s="773"/>
      <c r="N165" s="774"/>
      <c r="O165" s="775"/>
      <c r="P165" s="775"/>
      <c r="Q165" s="775"/>
      <c r="R165" s="775"/>
      <c r="S165" s="775"/>
      <c r="T165" s="775"/>
      <c r="U165" s="775"/>
      <c r="V165" s="775"/>
      <c r="W165" s="775"/>
      <c r="X165" s="776"/>
      <c r="AT165" s="777" t="s">
        <v>1143</v>
      </c>
      <c r="AU165" s="777" t="s">
        <v>795</v>
      </c>
      <c r="AV165" s="767" t="s">
        <v>795</v>
      </c>
      <c r="AW165" s="767" t="s">
        <v>1145</v>
      </c>
      <c r="AX165" s="767" t="s">
        <v>788</v>
      </c>
      <c r="AY165" s="777" t="s">
        <v>1063</v>
      </c>
    </row>
    <row r="166" spans="1:65" s="778" customFormat="1" ht="11.25">
      <c r="B166" s="779"/>
      <c r="C166" s="780"/>
      <c r="D166" s="759" t="s">
        <v>1143</v>
      </c>
      <c r="E166" s="781" t="s">
        <v>1043</v>
      </c>
      <c r="F166" s="782" t="s">
        <v>1153</v>
      </c>
      <c r="G166" s="780"/>
      <c r="H166" s="783">
        <v>7</v>
      </c>
      <c r="I166" s="780"/>
      <c r="J166" s="780"/>
      <c r="K166" s="780"/>
      <c r="L166" s="780"/>
      <c r="M166" s="784"/>
      <c r="N166" s="785"/>
      <c r="O166" s="786"/>
      <c r="P166" s="786"/>
      <c r="Q166" s="786"/>
      <c r="R166" s="786"/>
      <c r="S166" s="786"/>
      <c r="T166" s="786"/>
      <c r="U166" s="786"/>
      <c r="V166" s="786"/>
      <c r="W166" s="786"/>
      <c r="X166" s="787"/>
      <c r="AT166" s="788" t="s">
        <v>1143</v>
      </c>
      <c r="AU166" s="788" t="s">
        <v>795</v>
      </c>
      <c r="AV166" s="778" t="s">
        <v>1065</v>
      </c>
      <c r="AW166" s="778" t="s">
        <v>1145</v>
      </c>
      <c r="AX166" s="778" t="s">
        <v>791</v>
      </c>
      <c r="AY166" s="788" t="s">
        <v>1063</v>
      </c>
    </row>
    <row r="167" spans="1:65" s="634" customFormat="1" ht="16.5" customHeight="1">
      <c r="A167" s="705"/>
      <c r="B167" s="706"/>
      <c r="C167" s="744" t="s">
        <v>1276</v>
      </c>
      <c r="D167" s="744" t="s">
        <v>29</v>
      </c>
      <c r="E167" s="745" t="s">
        <v>1277</v>
      </c>
      <c r="F167" s="746" t="s">
        <v>1278</v>
      </c>
      <c r="G167" s="747" t="s">
        <v>19</v>
      </c>
      <c r="H167" s="748">
        <v>2</v>
      </c>
      <c r="I167" s="749"/>
      <c r="J167" s="749"/>
      <c r="K167" s="749">
        <f>ROUND(P167*H167,2)</f>
        <v>0</v>
      </c>
      <c r="L167" s="750"/>
      <c r="M167" s="631"/>
      <c r="N167" s="751" t="s">
        <v>1043</v>
      </c>
      <c r="O167" s="752" t="s">
        <v>1129</v>
      </c>
      <c r="P167" s="753">
        <f>I167+J167</f>
        <v>0</v>
      </c>
      <c r="Q167" s="753">
        <f>ROUND(I167*H167,2)</f>
        <v>0</v>
      </c>
      <c r="R167" s="753">
        <f>ROUND(J167*H167,2)</f>
        <v>0</v>
      </c>
      <c r="S167" s="754">
        <v>0.247</v>
      </c>
      <c r="T167" s="754">
        <f>S167*H167</f>
        <v>0.49399999999999999</v>
      </c>
      <c r="U167" s="754">
        <v>1.3999999999999999E-4</v>
      </c>
      <c r="V167" s="754">
        <f>U167*H167</f>
        <v>2.7999999999999998E-4</v>
      </c>
      <c r="W167" s="754">
        <v>0</v>
      </c>
      <c r="X167" s="755">
        <f>W167*H167</f>
        <v>0</v>
      </c>
      <c r="Y167" s="705"/>
      <c r="Z167" s="705"/>
      <c r="AA167" s="705"/>
      <c r="AB167" s="705"/>
      <c r="AC167" s="705"/>
      <c r="AD167" s="705"/>
      <c r="AE167" s="705"/>
      <c r="AR167" s="686" t="s">
        <v>1185</v>
      </c>
      <c r="AT167" s="686" t="s">
        <v>29</v>
      </c>
      <c r="AU167" s="686" t="s">
        <v>795</v>
      </c>
      <c r="AY167" s="629" t="s">
        <v>1063</v>
      </c>
      <c r="BE167" s="687">
        <f>IF(O167="základná",K167,0)</f>
        <v>0</v>
      </c>
      <c r="BF167" s="687">
        <f>IF(O167="znížená",K167,0)</f>
        <v>0</v>
      </c>
      <c r="BG167" s="687">
        <f>IF(O167="zákl. prenesená",K167,0)</f>
        <v>0</v>
      </c>
      <c r="BH167" s="687">
        <f>IF(O167="zníž. prenesená",K167,0)</f>
        <v>0</v>
      </c>
      <c r="BI167" s="687">
        <f>IF(O167="nulová",K167,0)</f>
        <v>0</v>
      </c>
      <c r="BJ167" s="629" t="s">
        <v>795</v>
      </c>
      <c r="BK167" s="687">
        <f>ROUND(P167*H167,2)</f>
        <v>0</v>
      </c>
      <c r="BL167" s="629" t="s">
        <v>1185</v>
      </c>
      <c r="BM167" s="686" t="s">
        <v>1279</v>
      </c>
    </row>
    <row r="168" spans="1:65" s="756" customFormat="1" ht="11.25">
      <c r="B168" s="757"/>
      <c r="C168" s="758"/>
      <c r="D168" s="759" t="s">
        <v>1143</v>
      </c>
      <c r="E168" s="760" t="s">
        <v>1043</v>
      </c>
      <c r="F168" s="761" t="s">
        <v>1280</v>
      </c>
      <c r="G168" s="758"/>
      <c r="H168" s="760" t="s">
        <v>1043</v>
      </c>
      <c r="I168" s="758"/>
      <c r="J168" s="758"/>
      <c r="K168" s="758"/>
      <c r="L168" s="758"/>
      <c r="M168" s="762"/>
      <c r="N168" s="763"/>
      <c r="O168" s="764"/>
      <c r="P168" s="764"/>
      <c r="Q168" s="764"/>
      <c r="R168" s="764"/>
      <c r="S168" s="764"/>
      <c r="T168" s="764"/>
      <c r="U168" s="764"/>
      <c r="V168" s="764"/>
      <c r="W168" s="764"/>
      <c r="X168" s="765"/>
      <c r="AT168" s="766" t="s">
        <v>1143</v>
      </c>
      <c r="AU168" s="766" t="s">
        <v>795</v>
      </c>
      <c r="AV168" s="756" t="s">
        <v>791</v>
      </c>
      <c r="AW168" s="756" t="s">
        <v>1145</v>
      </c>
      <c r="AX168" s="756" t="s">
        <v>788</v>
      </c>
      <c r="AY168" s="766" t="s">
        <v>1063</v>
      </c>
    </row>
    <row r="169" spans="1:65" s="767" customFormat="1" ht="11.25">
      <c r="B169" s="768"/>
      <c r="C169" s="769"/>
      <c r="D169" s="759" t="s">
        <v>1143</v>
      </c>
      <c r="E169" s="770" t="s">
        <v>1043</v>
      </c>
      <c r="F169" s="771" t="s">
        <v>795</v>
      </c>
      <c r="G169" s="769"/>
      <c r="H169" s="772">
        <v>2</v>
      </c>
      <c r="I169" s="769"/>
      <c r="J169" s="769"/>
      <c r="K169" s="769"/>
      <c r="L169" s="769"/>
      <c r="M169" s="773"/>
      <c r="N169" s="774"/>
      <c r="O169" s="775"/>
      <c r="P169" s="775"/>
      <c r="Q169" s="775"/>
      <c r="R169" s="775"/>
      <c r="S169" s="775"/>
      <c r="T169" s="775"/>
      <c r="U169" s="775"/>
      <c r="V169" s="775"/>
      <c r="W169" s="775"/>
      <c r="X169" s="776"/>
      <c r="AT169" s="777" t="s">
        <v>1143</v>
      </c>
      <c r="AU169" s="777" t="s">
        <v>795</v>
      </c>
      <c r="AV169" s="767" t="s">
        <v>795</v>
      </c>
      <c r="AW169" s="767" t="s">
        <v>1145</v>
      </c>
      <c r="AX169" s="767" t="s">
        <v>788</v>
      </c>
      <c r="AY169" s="777" t="s">
        <v>1063</v>
      </c>
    </row>
    <row r="170" spans="1:65" s="778" customFormat="1" ht="11.25">
      <c r="B170" s="779"/>
      <c r="C170" s="780"/>
      <c r="D170" s="759" t="s">
        <v>1143</v>
      </c>
      <c r="E170" s="781" t="s">
        <v>1043</v>
      </c>
      <c r="F170" s="782" t="s">
        <v>1153</v>
      </c>
      <c r="G170" s="780"/>
      <c r="H170" s="783">
        <v>2</v>
      </c>
      <c r="I170" s="780"/>
      <c r="J170" s="780"/>
      <c r="K170" s="780"/>
      <c r="L170" s="780"/>
      <c r="M170" s="784"/>
      <c r="N170" s="785"/>
      <c r="O170" s="786"/>
      <c r="P170" s="786"/>
      <c r="Q170" s="786"/>
      <c r="R170" s="786"/>
      <c r="S170" s="786"/>
      <c r="T170" s="786"/>
      <c r="U170" s="786"/>
      <c r="V170" s="786"/>
      <c r="W170" s="786"/>
      <c r="X170" s="787"/>
      <c r="AT170" s="788" t="s">
        <v>1143</v>
      </c>
      <c r="AU170" s="788" t="s">
        <v>795</v>
      </c>
      <c r="AV170" s="778" t="s">
        <v>1065</v>
      </c>
      <c r="AW170" s="778" t="s">
        <v>1145</v>
      </c>
      <c r="AX170" s="778" t="s">
        <v>791</v>
      </c>
      <c r="AY170" s="788" t="s">
        <v>1063</v>
      </c>
    </row>
    <row r="171" spans="1:65" s="634" customFormat="1" ht="21.75" customHeight="1">
      <c r="A171" s="705"/>
      <c r="B171" s="706"/>
      <c r="C171" s="789" t="s">
        <v>1281</v>
      </c>
      <c r="D171" s="789" t="s">
        <v>83</v>
      </c>
      <c r="E171" s="790" t="s">
        <v>1282</v>
      </c>
      <c r="F171" s="791" t="s">
        <v>1283</v>
      </c>
      <c r="G171" s="792" t="s">
        <v>19</v>
      </c>
      <c r="H171" s="793">
        <v>2</v>
      </c>
      <c r="I171" s="794"/>
      <c r="J171" s="795"/>
      <c r="K171" s="794">
        <f>ROUND(P171*H171,2)</f>
        <v>0</v>
      </c>
      <c r="L171" s="795"/>
      <c r="M171" s="701"/>
      <c r="N171" s="796" t="s">
        <v>1043</v>
      </c>
      <c r="O171" s="752" t="s">
        <v>1129</v>
      </c>
      <c r="P171" s="753">
        <f>I171+J171</f>
        <v>0</v>
      </c>
      <c r="Q171" s="753">
        <f>ROUND(I171*H171,2)</f>
        <v>0</v>
      </c>
      <c r="R171" s="753">
        <f>ROUND(J171*H171,2)</f>
        <v>0</v>
      </c>
      <c r="S171" s="754">
        <v>0</v>
      </c>
      <c r="T171" s="754">
        <f>S171*H171</f>
        <v>0</v>
      </c>
      <c r="U171" s="754">
        <v>5.0000000000000002E-5</v>
      </c>
      <c r="V171" s="754">
        <f>U171*H171</f>
        <v>1E-4</v>
      </c>
      <c r="W171" s="754">
        <v>0</v>
      </c>
      <c r="X171" s="755">
        <f>W171*H171</f>
        <v>0</v>
      </c>
      <c r="Y171" s="705"/>
      <c r="Z171" s="705"/>
      <c r="AA171" s="705"/>
      <c r="AB171" s="705"/>
      <c r="AC171" s="705"/>
      <c r="AD171" s="705"/>
      <c r="AE171" s="705"/>
      <c r="AR171" s="686" t="s">
        <v>1190</v>
      </c>
      <c r="AT171" s="686" t="s">
        <v>83</v>
      </c>
      <c r="AU171" s="686" t="s">
        <v>795</v>
      </c>
      <c r="AY171" s="629" t="s">
        <v>1063</v>
      </c>
      <c r="BE171" s="687">
        <f>IF(O171="základná",K171,0)</f>
        <v>0</v>
      </c>
      <c r="BF171" s="687">
        <f>IF(O171="znížená",K171,0)</f>
        <v>0</v>
      </c>
      <c r="BG171" s="687">
        <f>IF(O171="zákl. prenesená",K171,0)</f>
        <v>0</v>
      </c>
      <c r="BH171" s="687">
        <f>IF(O171="zníž. prenesená",K171,0)</f>
        <v>0</v>
      </c>
      <c r="BI171" s="687">
        <f>IF(O171="nulová",K171,0)</f>
        <v>0</v>
      </c>
      <c r="BJ171" s="629" t="s">
        <v>795</v>
      </c>
      <c r="BK171" s="687">
        <f>ROUND(P171*H171,2)</f>
        <v>0</v>
      </c>
      <c r="BL171" s="629" t="s">
        <v>1185</v>
      </c>
      <c r="BM171" s="686" t="s">
        <v>1284</v>
      </c>
    </row>
    <row r="172" spans="1:65" s="756" customFormat="1" ht="11.25">
      <c r="B172" s="757"/>
      <c r="C172" s="758"/>
      <c r="D172" s="759" t="s">
        <v>1143</v>
      </c>
      <c r="E172" s="760" t="s">
        <v>1043</v>
      </c>
      <c r="F172" s="761" t="s">
        <v>1280</v>
      </c>
      <c r="G172" s="758"/>
      <c r="H172" s="760" t="s">
        <v>1043</v>
      </c>
      <c r="I172" s="758"/>
      <c r="J172" s="758"/>
      <c r="K172" s="758"/>
      <c r="L172" s="758"/>
      <c r="M172" s="762"/>
      <c r="N172" s="763"/>
      <c r="O172" s="764"/>
      <c r="P172" s="764"/>
      <c r="Q172" s="764"/>
      <c r="R172" s="764"/>
      <c r="S172" s="764"/>
      <c r="T172" s="764"/>
      <c r="U172" s="764"/>
      <c r="V172" s="764"/>
      <c r="W172" s="764"/>
      <c r="X172" s="765"/>
      <c r="AT172" s="766" t="s">
        <v>1143</v>
      </c>
      <c r="AU172" s="766" t="s">
        <v>795</v>
      </c>
      <c r="AV172" s="756" t="s">
        <v>791</v>
      </c>
      <c r="AW172" s="756" t="s">
        <v>1145</v>
      </c>
      <c r="AX172" s="756" t="s">
        <v>788</v>
      </c>
      <c r="AY172" s="766" t="s">
        <v>1063</v>
      </c>
    </row>
    <row r="173" spans="1:65" s="767" customFormat="1" ht="11.25">
      <c r="B173" s="768"/>
      <c r="C173" s="769"/>
      <c r="D173" s="759" t="s">
        <v>1143</v>
      </c>
      <c r="E173" s="770" t="s">
        <v>1043</v>
      </c>
      <c r="F173" s="771" t="s">
        <v>795</v>
      </c>
      <c r="G173" s="769"/>
      <c r="H173" s="772">
        <v>2</v>
      </c>
      <c r="I173" s="769"/>
      <c r="J173" s="769"/>
      <c r="K173" s="769"/>
      <c r="L173" s="769"/>
      <c r="M173" s="773"/>
      <c r="N173" s="774"/>
      <c r="O173" s="775"/>
      <c r="P173" s="775"/>
      <c r="Q173" s="775"/>
      <c r="R173" s="775"/>
      <c r="S173" s="775"/>
      <c r="T173" s="775"/>
      <c r="U173" s="775"/>
      <c r="V173" s="775"/>
      <c r="W173" s="775"/>
      <c r="X173" s="776"/>
      <c r="AT173" s="777" t="s">
        <v>1143</v>
      </c>
      <c r="AU173" s="777" t="s">
        <v>795</v>
      </c>
      <c r="AV173" s="767" t="s">
        <v>795</v>
      </c>
      <c r="AW173" s="767" t="s">
        <v>1145</v>
      </c>
      <c r="AX173" s="767" t="s">
        <v>788</v>
      </c>
      <c r="AY173" s="777" t="s">
        <v>1063</v>
      </c>
    </row>
    <row r="174" spans="1:65" s="778" customFormat="1" ht="11.25">
      <c r="B174" s="779"/>
      <c r="C174" s="780"/>
      <c r="D174" s="759" t="s">
        <v>1143</v>
      </c>
      <c r="E174" s="781" t="s">
        <v>1043</v>
      </c>
      <c r="F174" s="782" t="s">
        <v>1153</v>
      </c>
      <c r="G174" s="780"/>
      <c r="H174" s="783">
        <v>2</v>
      </c>
      <c r="I174" s="780"/>
      <c r="J174" s="780"/>
      <c r="K174" s="780"/>
      <c r="L174" s="780"/>
      <c r="M174" s="784"/>
      <c r="N174" s="785"/>
      <c r="O174" s="786"/>
      <c r="P174" s="786"/>
      <c r="Q174" s="786"/>
      <c r="R174" s="786"/>
      <c r="S174" s="786"/>
      <c r="T174" s="786"/>
      <c r="U174" s="786"/>
      <c r="V174" s="786"/>
      <c r="W174" s="786"/>
      <c r="X174" s="787"/>
      <c r="AT174" s="788" t="s">
        <v>1143</v>
      </c>
      <c r="AU174" s="788" t="s">
        <v>795</v>
      </c>
      <c r="AV174" s="778" t="s">
        <v>1065</v>
      </c>
      <c r="AW174" s="778" t="s">
        <v>1145</v>
      </c>
      <c r="AX174" s="778" t="s">
        <v>791</v>
      </c>
      <c r="AY174" s="788" t="s">
        <v>1063</v>
      </c>
    </row>
    <row r="175" spans="1:65" s="634" customFormat="1" ht="21.75" customHeight="1">
      <c r="A175" s="705"/>
      <c r="B175" s="706"/>
      <c r="C175" s="744" t="s">
        <v>1285</v>
      </c>
      <c r="D175" s="744" t="s">
        <v>29</v>
      </c>
      <c r="E175" s="745" t="s">
        <v>1286</v>
      </c>
      <c r="F175" s="746" t="s">
        <v>1287</v>
      </c>
      <c r="G175" s="747" t="s">
        <v>19</v>
      </c>
      <c r="H175" s="748">
        <v>4</v>
      </c>
      <c r="I175" s="749"/>
      <c r="J175" s="749"/>
      <c r="K175" s="749">
        <f>ROUND(P175*H175,2)</f>
        <v>0</v>
      </c>
      <c r="L175" s="750"/>
      <c r="M175" s="631"/>
      <c r="N175" s="751" t="s">
        <v>1043</v>
      </c>
      <c r="O175" s="752" t="s">
        <v>1129</v>
      </c>
      <c r="P175" s="753">
        <f>I175+J175</f>
        <v>0</v>
      </c>
      <c r="Q175" s="753">
        <f>ROUND(I175*H175,2)</f>
        <v>0</v>
      </c>
      <c r="R175" s="753">
        <f>ROUND(J175*H175,2)</f>
        <v>0</v>
      </c>
      <c r="S175" s="754">
        <v>0.31900000000000001</v>
      </c>
      <c r="T175" s="754">
        <f>S175*H175</f>
        <v>1.276</v>
      </c>
      <c r="U175" s="754">
        <v>1.9000000000000001E-4</v>
      </c>
      <c r="V175" s="754">
        <f>U175*H175</f>
        <v>7.6000000000000004E-4</v>
      </c>
      <c r="W175" s="754">
        <v>0</v>
      </c>
      <c r="X175" s="755">
        <f>W175*H175</f>
        <v>0</v>
      </c>
      <c r="Y175" s="705"/>
      <c r="Z175" s="705"/>
      <c r="AA175" s="705"/>
      <c r="AB175" s="705"/>
      <c r="AC175" s="705"/>
      <c r="AD175" s="705"/>
      <c r="AE175" s="705"/>
      <c r="AR175" s="686" t="s">
        <v>1185</v>
      </c>
      <c r="AT175" s="686" t="s">
        <v>29</v>
      </c>
      <c r="AU175" s="686" t="s">
        <v>795</v>
      </c>
      <c r="AY175" s="629" t="s">
        <v>1063</v>
      </c>
      <c r="BE175" s="687">
        <f>IF(O175="základná",K175,0)</f>
        <v>0</v>
      </c>
      <c r="BF175" s="687">
        <f>IF(O175="znížená",K175,0)</f>
        <v>0</v>
      </c>
      <c r="BG175" s="687">
        <f>IF(O175="zákl. prenesená",K175,0)</f>
        <v>0</v>
      </c>
      <c r="BH175" s="687">
        <f>IF(O175="zníž. prenesená",K175,0)</f>
        <v>0</v>
      </c>
      <c r="BI175" s="687">
        <f>IF(O175="nulová",K175,0)</f>
        <v>0</v>
      </c>
      <c r="BJ175" s="629" t="s">
        <v>795</v>
      </c>
      <c r="BK175" s="687">
        <f>ROUND(P175*H175,2)</f>
        <v>0</v>
      </c>
      <c r="BL175" s="629" t="s">
        <v>1185</v>
      </c>
      <c r="BM175" s="686" t="s">
        <v>1288</v>
      </c>
    </row>
    <row r="176" spans="1:65" s="756" customFormat="1" ht="11.25">
      <c r="B176" s="757"/>
      <c r="C176" s="758"/>
      <c r="D176" s="759" t="s">
        <v>1143</v>
      </c>
      <c r="E176" s="760" t="s">
        <v>1043</v>
      </c>
      <c r="F176" s="761" t="s">
        <v>1215</v>
      </c>
      <c r="G176" s="758"/>
      <c r="H176" s="760" t="s">
        <v>1043</v>
      </c>
      <c r="I176" s="758"/>
      <c r="J176" s="758"/>
      <c r="K176" s="758"/>
      <c r="L176" s="758"/>
      <c r="M176" s="762"/>
      <c r="N176" s="763"/>
      <c r="O176" s="764"/>
      <c r="P176" s="764"/>
      <c r="Q176" s="764"/>
      <c r="R176" s="764"/>
      <c r="S176" s="764"/>
      <c r="T176" s="764"/>
      <c r="U176" s="764"/>
      <c r="V176" s="764"/>
      <c r="W176" s="764"/>
      <c r="X176" s="765"/>
      <c r="AT176" s="766" t="s">
        <v>1143</v>
      </c>
      <c r="AU176" s="766" t="s">
        <v>795</v>
      </c>
      <c r="AV176" s="756" t="s">
        <v>791</v>
      </c>
      <c r="AW176" s="756" t="s">
        <v>1145</v>
      </c>
      <c r="AX176" s="756" t="s">
        <v>788</v>
      </c>
      <c r="AY176" s="766" t="s">
        <v>1063</v>
      </c>
    </row>
    <row r="177" spans="1:65" s="767" customFormat="1" ht="11.25">
      <c r="B177" s="768"/>
      <c r="C177" s="769"/>
      <c r="D177" s="759" t="s">
        <v>1143</v>
      </c>
      <c r="E177" s="770" t="s">
        <v>1043</v>
      </c>
      <c r="F177" s="771" t="s">
        <v>1065</v>
      </c>
      <c r="G177" s="769"/>
      <c r="H177" s="772">
        <v>4</v>
      </c>
      <c r="I177" s="769"/>
      <c r="J177" s="769"/>
      <c r="K177" s="769"/>
      <c r="L177" s="769"/>
      <c r="M177" s="773"/>
      <c r="N177" s="774"/>
      <c r="O177" s="775"/>
      <c r="P177" s="775"/>
      <c r="Q177" s="775"/>
      <c r="R177" s="775"/>
      <c r="S177" s="775"/>
      <c r="T177" s="775"/>
      <c r="U177" s="775"/>
      <c r="V177" s="775"/>
      <c r="W177" s="775"/>
      <c r="X177" s="776"/>
      <c r="AT177" s="777" t="s">
        <v>1143</v>
      </c>
      <c r="AU177" s="777" t="s">
        <v>795</v>
      </c>
      <c r="AV177" s="767" t="s">
        <v>795</v>
      </c>
      <c r="AW177" s="767" t="s">
        <v>1145</v>
      </c>
      <c r="AX177" s="767" t="s">
        <v>788</v>
      </c>
      <c r="AY177" s="777" t="s">
        <v>1063</v>
      </c>
    </row>
    <row r="178" spans="1:65" s="778" customFormat="1" ht="11.25">
      <c r="B178" s="779"/>
      <c r="C178" s="780"/>
      <c r="D178" s="759" t="s">
        <v>1143</v>
      </c>
      <c r="E178" s="781" t="s">
        <v>1043</v>
      </c>
      <c r="F178" s="782" t="s">
        <v>1153</v>
      </c>
      <c r="G178" s="780"/>
      <c r="H178" s="783">
        <v>4</v>
      </c>
      <c r="I178" s="780"/>
      <c r="J178" s="780"/>
      <c r="K178" s="780"/>
      <c r="L178" s="780"/>
      <c r="M178" s="784"/>
      <c r="N178" s="785"/>
      <c r="O178" s="786"/>
      <c r="P178" s="786"/>
      <c r="Q178" s="786"/>
      <c r="R178" s="786"/>
      <c r="S178" s="786"/>
      <c r="T178" s="786"/>
      <c r="U178" s="786"/>
      <c r="V178" s="786"/>
      <c r="W178" s="786"/>
      <c r="X178" s="787"/>
      <c r="AT178" s="788" t="s">
        <v>1143</v>
      </c>
      <c r="AU178" s="788" t="s">
        <v>795</v>
      </c>
      <c r="AV178" s="778" t="s">
        <v>1065</v>
      </c>
      <c r="AW178" s="778" t="s">
        <v>1145</v>
      </c>
      <c r="AX178" s="778" t="s">
        <v>791</v>
      </c>
      <c r="AY178" s="788" t="s">
        <v>1063</v>
      </c>
    </row>
    <row r="179" spans="1:65" s="634" customFormat="1" ht="21.75" customHeight="1">
      <c r="A179" s="705"/>
      <c r="B179" s="706"/>
      <c r="C179" s="789" t="s">
        <v>1289</v>
      </c>
      <c r="D179" s="789" t="s">
        <v>83</v>
      </c>
      <c r="E179" s="790" t="s">
        <v>1290</v>
      </c>
      <c r="F179" s="791" t="s">
        <v>1291</v>
      </c>
      <c r="G179" s="792" t="s">
        <v>19</v>
      </c>
      <c r="H179" s="793">
        <v>2</v>
      </c>
      <c r="I179" s="794"/>
      <c r="J179" s="795"/>
      <c r="K179" s="794">
        <f>ROUND(P179*H179,2)</f>
        <v>0</v>
      </c>
      <c r="L179" s="795"/>
      <c r="M179" s="701"/>
      <c r="N179" s="796" t="s">
        <v>1043</v>
      </c>
      <c r="O179" s="752" t="s">
        <v>1129</v>
      </c>
      <c r="P179" s="753">
        <f>I179+J179</f>
        <v>0</v>
      </c>
      <c r="Q179" s="753">
        <f>ROUND(I179*H179,2)</f>
        <v>0</v>
      </c>
      <c r="R179" s="753">
        <f>ROUND(J179*H179,2)</f>
        <v>0</v>
      </c>
      <c r="S179" s="754">
        <v>0</v>
      </c>
      <c r="T179" s="754">
        <f>S179*H179</f>
        <v>0</v>
      </c>
      <c r="U179" s="754">
        <v>1.1E-4</v>
      </c>
      <c r="V179" s="754">
        <f>U179*H179</f>
        <v>2.2000000000000001E-4</v>
      </c>
      <c r="W179" s="754">
        <v>0</v>
      </c>
      <c r="X179" s="755">
        <f>W179*H179</f>
        <v>0</v>
      </c>
      <c r="Y179" s="705"/>
      <c r="Z179" s="705"/>
      <c r="AA179" s="705"/>
      <c r="AB179" s="705"/>
      <c r="AC179" s="705"/>
      <c r="AD179" s="705"/>
      <c r="AE179" s="705"/>
      <c r="AR179" s="686" t="s">
        <v>1190</v>
      </c>
      <c r="AT179" s="686" t="s">
        <v>83</v>
      </c>
      <c r="AU179" s="686" t="s">
        <v>795</v>
      </c>
      <c r="AY179" s="629" t="s">
        <v>1063</v>
      </c>
      <c r="BE179" s="687">
        <f>IF(O179="základná",K179,0)</f>
        <v>0</v>
      </c>
      <c r="BF179" s="687">
        <f>IF(O179="znížená",K179,0)</f>
        <v>0</v>
      </c>
      <c r="BG179" s="687">
        <f>IF(O179="zákl. prenesená",K179,0)</f>
        <v>0</v>
      </c>
      <c r="BH179" s="687">
        <f>IF(O179="zníž. prenesená",K179,0)</f>
        <v>0</v>
      </c>
      <c r="BI179" s="687">
        <f>IF(O179="nulová",K179,0)</f>
        <v>0</v>
      </c>
      <c r="BJ179" s="629" t="s">
        <v>795</v>
      </c>
      <c r="BK179" s="687">
        <f>ROUND(P179*H179,2)</f>
        <v>0</v>
      </c>
      <c r="BL179" s="629" t="s">
        <v>1185</v>
      </c>
      <c r="BM179" s="686" t="s">
        <v>1292</v>
      </c>
    </row>
    <row r="180" spans="1:65" s="756" customFormat="1" ht="11.25">
      <c r="B180" s="757"/>
      <c r="C180" s="758"/>
      <c r="D180" s="759" t="s">
        <v>1143</v>
      </c>
      <c r="E180" s="760" t="s">
        <v>1043</v>
      </c>
      <c r="F180" s="761" t="s">
        <v>1239</v>
      </c>
      <c r="G180" s="758"/>
      <c r="H180" s="760" t="s">
        <v>1043</v>
      </c>
      <c r="I180" s="758"/>
      <c r="J180" s="758"/>
      <c r="K180" s="758"/>
      <c r="L180" s="758"/>
      <c r="M180" s="762"/>
      <c r="N180" s="763"/>
      <c r="O180" s="764"/>
      <c r="P180" s="764"/>
      <c r="Q180" s="764"/>
      <c r="R180" s="764"/>
      <c r="S180" s="764"/>
      <c r="T180" s="764"/>
      <c r="U180" s="764"/>
      <c r="V180" s="764"/>
      <c r="W180" s="764"/>
      <c r="X180" s="765"/>
      <c r="AT180" s="766" t="s">
        <v>1143</v>
      </c>
      <c r="AU180" s="766" t="s">
        <v>795</v>
      </c>
      <c r="AV180" s="756" t="s">
        <v>791</v>
      </c>
      <c r="AW180" s="756" t="s">
        <v>1145</v>
      </c>
      <c r="AX180" s="756" t="s">
        <v>788</v>
      </c>
      <c r="AY180" s="766" t="s">
        <v>1063</v>
      </c>
    </row>
    <row r="181" spans="1:65" s="767" customFormat="1" ht="11.25">
      <c r="B181" s="768"/>
      <c r="C181" s="769"/>
      <c r="D181" s="759" t="s">
        <v>1143</v>
      </c>
      <c r="E181" s="770" t="s">
        <v>1043</v>
      </c>
      <c r="F181" s="771" t="s">
        <v>795</v>
      </c>
      <c r="G181" s="769"/>
      <c r="H181" s="772">
        <v>2</v>
      </c>
      <c r="I181" s="769"/>
      <c r="J181" s="769"/>
      <c r="K181" s="769"/>
      <c r="L181" s="769"/>
      <c r="M181" s="773"/>
      <c r="N181" s="774"/>
      <c r="O181" s="775"/>
      <c r="P181" s="775"/>
      <c r="Q181" s="775"/>
      <c r="R181" s="775"/>
      <c r="S181" s="775"/>
      <c r="T181" s="775"/>
      <c r="U181" s="775"/>
      <c r="V181" s="775"/>
      <c r="W181" s="775"/>
      <c r="X181" s="776"/>
      <c r="AT181" s="777" t="s">
        <v>1143</v>
      </c>
      <c r="AU181" s="777" t="s">
        <v>795</v>
      </c>
      <c r="AV181" s="767" t="s">
        <v>795</v>
      </c>
      <c r="AW181" s="767" t="s">
        <v>1145</v>
      </c>
      <c r="AX181" s="767" t="s">
        <v>788</v>
      </c>
      <c r="AY181" s="777" t="s">
        <v>1063</v>
      </c>
    </row>
    <row r="182" spans="1:65" s="778" customFormat="1" ht="11.25">
      <c r="B182" s="779"/>
      <c r="C182" s="780"/>
      <c r="D182" s="759" t="s">
        <v>1143</v>
      </c>
      <c r="E182" s="781" t="s">
        <v>1043</v>
      </c>
      <c r="F182" s="782" t="s">
        <v>1153</v>
      </c>
      <c r="G182" s="780"/>
      <c r="H182" s="783">
        <v>2</v>
      </c>
      <c r="I182" s="780"/>
      <c r="J182" s="780"/>
      <c r="K182" s="780"/>
      <c r="L182" s="780"/>
      <c r="M182" s="784"/>
      <c r="N182" s="785"/>
      <c r="O182" s="786"/>
      <c r="P182" s="786"/>
      <c r="Q182" s="786"/>
      <c r="R182" s="786"/>
      <c r="S182" s="786"/>
      <c r="T182" s="786"/>
      <c r="U182" s="786"/>
      <c r="V182" s="786"/>
      <c r="W182" s="786"/>
      <c r="X182" s="787"/>
      <c r="AT182" s="788" t="s">
        <v>1143</v>
      </c>
      <c r="AU182" s="788" t="s">
        <v>795</v>
      </c>
      <c r="AV182" s="778" t="s">
        <v>1065</v>
      </c>
      <c r="AW182" s="778" t="s">
        <v>1145</v>
      </c>
      <c r="AX182" s="778" t="s">
        <v>791</v>
      </c>
      <c r="AY182" s="788" t="s">
        <v>1063</v>
      </c>
    </row>
    <row r="183" spans="1:65" s="634" customFormat="1" ht="21.75" customHeight="1">
      <c r="A183" s="705"/>
      <c r="B183" s="706"/>
      <c r="C183" s="789" t="s">
        <v>1293</v>
      </c>
      <c r="D183" s="789" t="s">
        <v>83</v>
      </c>
      <c r="E183" s="790" t="s">
        <v>1294</v>
      </c>
      <c r="F183" s="791" t="s">
        <v>1295</v>
      </c>
      <c r="G183" s="792" t="s">
        <v>19</v>
      </c>
      <c r="H183" s="793">
        <v>2</v>
      </c>
      <c r="I183" s="794"/>
      <c r="J183" s="795"/>
      <c r="K183" s="794">
        <f>ROUND(P183*H183,2)</f>
        <v>0</v>
      </c>
      <c r="L183" s="795"/>
      <c r="M183" s="701"/>
      <c r="N183" s="796" t="s">
        <v>1043</v>
      </c>
      <c r="O183" s="752" t="s">
        <v>1129</v>
      </c>
      <c r="P183" s="753">
        <f>I183+J183</f>
        <v>0</v>
      </c>
      <c r="Q183" s="753">
        <f>ROUND(I183*H183,2)</f>
        <v>0</v>
      </c>
      <c r="R183" s="753">
        <f>ROUND(J183*H183,2)</f>
        <v>0</v>
      </c>
      <c r="S183" s="754">
        <v>0</v>
      </c>
      <c r="T183" s="754">
        <f>S183*H183</f>
        <v>0</v>
      </c>
      <c r="U183" s="754">
        <v>1.2E-4</v>
      </c>
      <c r="V183" s="754">
        <f>U183*H183</f>
        <v>2.4000000000000001E-4</v>
      </c>
      <c r="W183" s="754">
        <v>0</v>
      </c>
      <c r="X183" s="755">
        <f>W183*H183</f>
        <v>0</v>
      </c>
      <c r="Y183" s="705"/>
      <c r="Z183" s="705"/>
      <c r="AA183" s="705"/>
      <c r="AB183" s="705"/>
      <c r="AC183" s="705"/>
      <c r="AD183" s="705"/>
      <c r="AE183" s="705"/>
      <c r="AR183" s="686" t="s">
        <v>1190</v>
      </c>
      <c r="AT183" s="686" t="s">
        <v>83</v>
      </c>
      <c r="AU183" s="686" t="s">
        <v>795</v>
      </c>
      <c r="AY183" s="629" t="s">
        <v>1063</v>
      </c>
      <c r="BE183" s="687">
        <f>IF(O183="základná",K183,0)</f>
        <v>0</v>
      </c>
      <c r="BF183" s="687">
        <f>IF(O183="znížená",K183,0)</f>
        <v>0</v>
      </c>
      <c r="BG183" s="687">
        <f>IF(O183="zákl. prenesená",K183,0)</f>
        <v>0</v>
      </c>
      <c r="BH183" s="687">
        <f>IF(O183="zníž. prenesená",K183,0)</f>
        <v>0</v>
      </c>
      <c r="BI183" s="687">
        <f>IF(O183="nulová",K183,0)</f>
        <v>0</v>
      </c>
      <c r="BJ183" s="629" t="s">
        <v>795</v>
      </c>
      <c r="BK183" s="687">
        <f>ROUND(P183*H183,2)</f>
        <v>0</v>
      </c>
      <c r="BL183" s="629" t="s">
        <v>1185</v>
      </c>
      <c r="BM183" s="686" t="s">
        <v>1296</v>
      </c>
    </row>
    <row r="184" spans="1:65" s="756" customFormat="1" ht="11.25">
      <c r="B184" s="757"/>
      <c r="C184" s="758"/>
      <c r="D184" s="759" t="s">
        <v>1143</v>
      </c>
      <c r="E184" s="760" t="s">
        <v>1043</v>
      </c>
      <c r="F184" s="761" t="s">
        <v>1280</v>
      </c>
      <c r="G184" s="758"/>
      <c r="H184" s="760" t="s">
        <v>1043</v>
      </c>
      <c r="I184" s="758"/>
      <c r="J184" s="758"/>
      <c r="K184" s="758"/>
      <c r="L184" s="758"/>
      <c r="M184" s="762"/>
      <c r="N184" s="763"/>
      <c r="O184" s="764"/>
      <c r="P184" s="764"/>
      <c r="Q184" s="764"/>
      <c r="R184" s="764"/>
      <c r="S184" s="764"/>
      <c r="T184" s="764"/>
      <c r="U184" s="764"/>
      <c r="V184" s="764"/>
      <c r="W184" s="764"/>
      <c r="X184" s="765"/>
      <c r="AT184" s="766" t="s">
        <v>1143</v>
      </c>
      <c r="AU184" s="766" t="s">
        <v>795</v>
      </c>
      <c r="AV184" s="756" t="s">
        <v>791</v>
      </c>
      <c r="AW184" s="756" t="s">
        <v>1145</v>
      </c>
      <c r="AX184" s="756" t="s">
        <v>788</v>
      </c>
      <c r="AY184" s="766" t="s">
        <v>1063</v>
      </c>
    </row>
    <row r="185" spans="1:65" s="767" customFormat="1" ht="11.25">
      <c r="B185" s="768"/>
      <c r="C185" s="769"/>
      <c r="D185" s="759" t="s">
        <v>1143</v>
      </c>
      <c r="E185" s="770" t="s">
        <v>1043</v>
      </c>
      <c r="F185" s="771" t="s">
        <v>795</v>
      </c>
      <c r="G185" s="769"/>
      <c r="H185" s="772">
        <v>2</v>
      </c>
      <c r="I185" s="769"/>
      <c r="J185" s="769"/>
      <c r="K185" s="769"/>
      <c r="L185" s="769"/>
      <c r="M185" s="773"/>
      <c r="N185" s="774"/>
      <c r="O185" s="775"/>
      <c r="P185" s="775"/>
      <c r="Q185" s="775"/>
      <c r="R185" s="775"/>
      <c r="S185" s="775"/>
      <c r="T185" s="775"/>
      <c r="U185" s="775"/>
      <c r="V185" s="775"/>
      <c r="W185" s="775"/>
      <c r="X185" s="776"/>
      <c r="AT185" s="777" t="s">
        <v>1143</v>
      </c>
      <c r="AU185" s="777" t="s">
        <v>795</v>
      </c>
      <c r="AV185" s="767" t="s">
        <v>795</v>
      </c>
      <c r="AW185" s="767" t="s">
        <v>1145</v>
      </c>
      <c r="AX185" s="767" t="s">
        <v>788</v>
      </c>
      <c r="AY185" s="777" t="s">
        <v>1063</v>
      </c>
    </row>
    <row r="186" spans="1:65" s="778" customFormat="1" ht="11.25">
      <c r="B186" s="779"/>
      <c r="C186" s="780"/>
      <c r="D186" s="759" t="s">
        <v>1143</v>
      </c>
      <c r="E186" s="781" t="s">
        <v>1043</v>
      </c>
      <c r="F186" s="782" t="s">
        <v>1153</v>
      </c>
      <c r="G186" s="780"/>
      <c r="H186" s="783">
        <v>2</v>
      </c>
      <c r="I186" s="780"/>
      <c r="J186" s="780"/>
      <c r="K186" s="780"/>
      <c r="L186" s="780"/>
      <c r="M186" s="784"/>
      <c r="N186" s="785"/>
      <c r="O186" s="786"/>
      <c r="P186" s="786"/>
      <c r="Q186" s="786"/>
      <c r="R186" s="786"/>
      <c r="S186" s="786"/>
      <c r="T186" s="786"/>
      <c r="U186" s="786"/>
      <c r="V186" s="786"/>
      <c r="W186" s="786"/>
      <c r="X186" s="787"/>
      <c r="AT186" s="788" t="s">
        <v>1143</v>
      </c>
      <c r="AU186" s="788" t="s">
        <v>795</v>
      </c>
      <c r="AV186" s="778" t="s">
        <v>1065</v>
      </c>
      <c r="AW186" s="778" t="s">
        <v>1145</v>
      </c>
      <c r="AX186" s="778" t="s">
        <v>791</v>
      </c>
      <c r="AY186" s="788" t="s">
        <v>1063</v>
      </c>
    </row>
    <row r="187" spans="1:65" s="634" customFormat="1" ht="21.75" customHeight="1">
      <c r="A187" s="705"/>
      <c r="B187" s="706"/>
      <c r="C187" s="744" t="s">
        <v>1297</v>
      </c>
      <c r="D187" s="744" t="s">
        <v>29</v>
      </c>
      <c r="E187" s="745" t="s">
        <v>1298</v>
      </c>
      <c r="F187" s="746" t="s">
        <v>1299</v>
      </c>
      <c r="G187" s="747" t="s">
        <v>19</v>
      </c>
      <c r="H187" s="748">
        <v>5</v>
      </c>
      <c r="I187" s="749"/>
      <c r="J187" s="749"/>
      <c r="K187" s="749">
        <f>ROUND(P187*H187,2)</f>
        <v>0</v>
      </c>
      <c r="L187" s="750"/>
      <c r="M187" s="631"/>
      <c r="N187" s="751" t="s">
        <v>1043</v>
      </c>
      <c r="O187" s="752" t="s">
        <v>1129</v>
      </c>
      <c r="P187" s="753">
        <f>I187+J187</f>
        <v>0</v>
      </c>
      <c r="Q187" s="753">
        <f>ROUND(I187*H187,2)</f>
        <v>0</v>
      </c>
      <c r="R187" s="753">
        <f>ROUND(J187*H187,2)</f>
        <v>0</v>
      </c>
      <c r="S187" s="754">
        <v>0.36699999999999999</v>
      </c>
      <c r="T187" s="754">
        <f>S187*H187</f>
        <v>1.835</v>
      </c>
      <c r="U187" s="754">
        <v>2.5000000000000001E-4</v>
      </c>
      <c r="V187" s="754">
        <f>U187*H187</f>
        <v>1.25E-3</v>
      </c>
      <c r="W187" s="754">
        <v>0</v>
      </c>
      <c r="X187" s="755">
        <f>W187*H187</f>
        <v>0</v>
      </c>
      <c r="Y187" s="705"/>
      <c r="Z187" s="705"/>
      <c r="AA187" s="705"/>
      <c r="AB187" s="705"/>
      <c r="AC187" s="705"/>
      <c r="AD187" s="705"/>
      <c r="AE187" s="705"/>
      <c r="AR187" s="686" t="s">
        <v>1185</v>
      </c>
      <c r="AT187" s="686" t="s">
        <v>29</v>
      </c>
      <c r="AU187" s="686" t="s">
        <v>795</v>
      </c>
      <c r="AY187" s="629" t="s">
        <v>1063</v>
      </c>
      <c r="BE187" s="687">
        <f>IF(O187="základná",K187,0)</f>
        <v>0</v>
      </c>
      <c r="BF187" s="687">
        <f>IF(O187="znížená",K187,0)</f>
        <v>0</v>
      </c>
      <c r="BG187" s="687">
        <f>IF(O187="zákl. prenesená",K187,0)</f>
        <v>0</v>
      </c>
      <c r="BH187" s="687">
        <f>IF(O187="zníž. prenesená",K187,0)</f>
        <v>0</v>
      </c>
      <c r="BI187" s="687">
        <f>IF(O187="nulová",K187,0)</f>
        <v>0</v>
      </c>
      <c r="BJ187" s="629" t="s">
        <v>795</v>
      </c>
      <c r="BK187" s="687">
        <f>ROUND(P187*H187,2)</f>
        <v>0</v>
      </c>
      <c r="BL187" s="629" t="s">
        <v>1185</v>
      </c>
      <c r="BM187" s="686" t="s">
        <v>1300</v>
      </c>
    </row>
    <row r="188" spans="1:65" s="756" customFormat="1" ht="11.25">
      <c r="B188" s="757"/>
      <c r="C188" s="758"/>
      <c r="D188" s="759" t="s">
        <v>1143</v>
      </c>
      <c r="E188" s="760" t="s">
        <v>1043</v>
      </c>
      <c r="F188" s="761" t="s">
        <v>1301</v>
      </c>
      <c r="G188" s="758"/>
      <c r="H188" s="760" t="s">
        <v>1043</v>
      </c>
      <c r="I188" s="758"/>
      <c r="J188" s="758"/>
      <c r="K188" s="758"/>
      <c r="L188" s="758"/>
      <c r="M188" s="762"/>
      <c r="N188" s="763"/>
      <c r="O188" s="764"/>
      <c r="P188" s="764"/>
      <c r="Q188" s="764"/>
      <c r="R188" s="764"/>
      <c r="S188" s="764"/>
      <c r="T188" s="764"/>
      <c r="U188" s="764"/>
      <c r="V188" s="764"/>
      <c r="W188" s="764"/>
      <c r="X188" s="765"/>
      <c r="AT188" s="766" t="s">
        <v>1143</v>
      </c>
      <c r="AU188" s="766" t="s">
        <v>795</v>
      </c>
      <c r="AV188" s="756" t="s">
        <v>791</v>
      </c>
      <c r="AW188" s="756" t="s">
        <v>1145</v>
      </c>
      <c r="AX188" s="756" t="s">
        <v>788</v>
      </c>
      <c r="AY188" s="766" t="s">
        <v>1063</v>
      </c>
    </row>
    <row r="189" spans="1:65" s="767" customFormat="1" ht="11.25">
      <c r="B189" s="768"/>
      <c r="C189" s="769"/>
      <c r="D189" s="759" t="s">
        <v>1143</v>
      </c>
      <c r="E189" s="770" t="s">
        <v>1043</v>
      </c>
      <c r="F189" s="771" t="s">
        <v>1271</v>
      </c>
      <c r="G189" s="769"/>
      <c r="H189" s="772">
        <v>3</v>
      </c>
      <c r="I189" s="769"/>
      <c r="J189" s="769"/>
      <c r="K189" s="769"/>
      <c r="L189" s="769"/>
      <c r="M189" s="773"/>
      <c r="N189" s="774"/>
      <c r="O189" s="775"/>
      <c r="P189" s="775"/>
      <c r="Q189" s="775"/>
      <c r="R189" s="775"/>
      <c r="S189" s="775"/>
      <c r="T189" s="775"/>
      <c r="U189" s="775"/>
      <c r="V189" s="775"/>
      <c r="W189" s="775"/>
      <c r="X189" s="776"/>
      <c r="AT189" s="777" t="s">
        <v>1143</v>
      </c>
      <c r="AU189" s="777" t="s">
        <v>795</v>
      </c>
      <c r="AV189" s="767" t="s">
        <v>795</v>
      </c>
      <c r="AW189" s="767" t="s">
        <v>1145</v>
      </c>
      <c r="AX189" s="767" t="s">
        <v>788</v>
      </c>
      <c r="AY189" s="777" t="s">
        <v>1063</v>
      </c>
    </row>
    <row r="190" spans="1:65" s="756" customFormat="1" ht="11.25">
      <c r="B190" s="757"/>
      <c r="C190" s="758"/>
      <c r="D190" s="759" t="s">
        <v>1143</v>
      </c>
      <c r="E190" s="760" t="s">
        <v>1043</v>
      </c>
      <c r="F190" s="761" t="s">
        <v>1148</v>
      </c>
      <c r="G190" s="758"/>
      <c r="H190" s="760" t="s">
        <v>1043</v>
      </c>
      <c r="I190" s="758"/>
      <c r="J190" s="758"/>
      <c r="K190" s="758"/>
      <c r="L190" s="758"/>
      <c r="M190" s="762"/>
      <c r="N190" s="763"/>
      <c r="O190" s="764"/>
      <c r="P190" s="764"/>
      <c r="Q190" s="764"/>
      <c r="R190" s="764"/>
      <c r="S190" s="764"/>
      <c r="T190" s="764"/>
      <c r="U190" s="764"/>
      <c r="V190" s="764"/>
      <c r="W190" s="764"/>
      <c r="X190" s="765"/>
      <c r="AT190" s="766" t="s">
        <v>1143</v>
      </c>
      <c r="AU190" s="766" t="s">
        <v>795</v>
      </c>
      <c r="AV190" s="756" t="s">
        <v>791</v>
      </c>
      <c r="AW190" s="756" t="s">
        <v>1145</v>
      </c>
      <c r="AX190" s="756" t="s">
        <v>788</v>
      </c>
      <c r="AY190" s="766" t="s">
        <v>1063</v>
      </c>
    </row>
    <row r="191" spans="1:65" s="767" customFormat="1" ht="11.25">
      <c r="B191" s="768"/>
      <c r="C191" s="769"/>
      <c r="D191" s="759" t="s">
        <v>1143</v>
      </c>
      <c r="E191" s="770" t="s">
        <v>1043</v>
      </c>
      <c r="F191" s="771" t="s">
        <v>795</v>
      </c>
      <c r="G191" s="769"/>
      <c r="H191" s="772">
        <v>2</v>
      </c>
      <c r="I191" s="769"/>
      <c r="J191" s="769"/>
      <c r="K191" s="769"/>
      <c r="L191" s="769"/>
      <c r="M191" s="773"/>
      <c r="N191" s="774"/>
      <c r="O191" s="775"/>
      <c r="P191" s="775"/>
      <c r="Q191" s="775"/>
      <c r="R191" s="775"/>
      <c r="S191" s="775"/>
      <c r="T191" s="775"/>
      <c r="U191" s="775"/>
      <c r="V191" s="775"/>
      <c r="W191" s="775"/>
      <c r="X191" s="776"/>
      <c r="AT191" s="777" t="s">
        <v>1143</v>
      </c>
      <c r="AU191" s="777" t="s">
        <v>795</v>
      </c>
      <c r="AV191" s="767" t="s">
        <v>795</v>
      </c>
      <c r="AW191" s="767" t="s">
        <v>1145</v>
      </c>
      <c r="AX191" s="767" t="s">
        <v>788</v>
      </c>
      <c r="AY191" s="777" t="s">
        <v>1063</v>
      </c>
    </row>
    <row r="192" spans="1:65" s="778" customFormat="1" ht="11.25">
      <c r="B192" s="779"/>
      <c r="C192" s="780"/>
      <c r="D192" s="759" t="s">
        <v>1143</v>
      </c>
      <c r="E192" s="781" t="s">
        <v>1043</v>
      </c>
      <c r="F192" s="782" t="s">
        <v>1153</v>
      </c>
      <c r="G192" s="780"/>
      <c r="H192" s="783">
        <v>5</v>
      </c>
      <c r="I192" s="780"/>
      <c r="J192" s="780"/>
      <c r="K192" s="780"/>
      <c r="L192" s="780"/>
      <c r="M192" s="784"/>
      <c r="N192" s="785"/>
      <c r="O192" s="786"/>
      <c r="P192" s="786"/>
      <c r="Q192" s="786"/>
      <c r="R192" s="786"/>
      <c r="S192" s="786"/>
      <c r="T192" s="786"/>
      <c r="U192" s="786"/>
      <c r="V192" s="786"/>
      <c r="W192" s="786"/>
      <c r="X192" s="787"/>
      <c r="AT192" s="788" t="s">
        <v>1143</v>
      </c>
      <c r="AU192" s="788" t="s">
        <v>795</v>
      </c>
      <c r="AV192" s="778" t="s">
        <v>1065</v>
      </c>
      <c r="AW192" s="778" t="s">
        <v>1145</v>
      </c>
      <c r="AX192" s="778" t="s">
        <v>791</v>
      </c>
      <c r="AY192" s="788" t="s">
        <v>1063</v>
      </c>
    </row>
    <row r="193" spans="1:65" s="634" customFormat="1" ht="21.75" customHeight="1">
      <c r="A193" s="705"/>
      <c r="B193" s="706"/>
      <c r="C193" s="789" t="s">
        <v>1190</v>
      </c>
      <c r="D193" s="789" t="s">
        <v>83</v>
      </c>
      <c r="E193" s="790" t="s">
        <v>1302</v>
      </c>
      <c r="F193" s="791" t="s">
        <v>1303</v>
      </c>
      <c r="G193" s="792" t="s">
        <v>19</v>
      </c>
      <c r="H193" s="793">
        <v>5</v>
      </c>
      <c r="I193" s="794"/>
      <c r="J193" s="795"/>
      <c r="K193" s="794">
        <f>ROUND(P193*H193,2)</f>
        <v>0</v>
      </c>
      <c r="L193" s="795"/>
      <c r="M193" s="701"/>
      <c r="N193" s="796" t="s">
        <v>1043</v>
      </c>
      <c r="O193" s="752" t="s">
        <v>1129</v>
      </c>
      <c r="P193" s="753">
        <f>I193+J193</f>
        <v>0</v>
      </c>
      <c r="Q193" s="753">
        <f>ROUND(I193*H193,2)</f>
        <v>0</v>
      </c>
      <c r="R193" s="753">
        <f>ROUND(J193*H193,2)</f>
        <v>0</v>
      </c>
      <c r="S193" s="754">
        <v>0</v>
      </c>
      <c r="T193" s="754">
        <f>S193*H193</f>
        <v>0</v>
      </c>
      <c r="U193" s="754">
        <v>1.9000000000000001E-4</v>
      </c>
      <c r="V193" s="754">
        <f>U193*H193</f>
        <v>9.5000000000000011E-4</v>
      </c>
      <c r="W193" s="754">
        <v>0</v>
      </c>
      <c r="X193" s="755">
        <f>W193*H193</f>
        <v>0</v>
      </c>
      <c r="Y193" s="705"/>
      <c r="Z193" s="705"/>
      <c r="AA193" s="705"/>
      <c r="AB193" s="705"/>
      <c r="AC193" s="705"/>
      <c r="AD193" s="705"/>
      <c r="AE193" s="705"/>
      <c r="AR193" s="686" t="s">
        <v>1190</v>
      </c>
      <c r="AT193" s="686" t="s">
        <v>83</v>
      </c>
      <c r="AU193" s="686" t="s">
        <v>795</v>
      </c>
      <c r="AY193" s="629" t="s">
        <v>1063</v>
      </c>
      <c r="BE193" s="687">
        <f>IF(O193="základná",K193,0)</f>
        <v>0</v>
      </c>
      <c r="BF193" s="687">
        <f>IF(O193="znížená",K193,0)</f>
        <v>0</v>
      </c>
      <c r="BG193" s="687">
        <f>IF(O193="zákl. prenesená",K193,0)</f>
        <v>0</v>
      </c>
      <c r="BH193" s="687">
        <f>IF(O193="zníž. prenesená",K193,0)</f>
        <v>0</v>
      </c>
      <c r="BI193" s="687">
        <f>IF(O193="nulová",K193,0)</f>
        <v>0</v>
      </c>
      <c r="BJ193" s="629" t="s">
        <v>795</v>
      </c>
      <c r="BK193" s="687">
        <f>ROUND(P193*H193,2)</f>
        <v>0</v>
      </c>
      <c r="BL193" s="629" t="s">
        <v>1185</v>
      </c>
      <c r="BM193" s="686" t="s">
        <v>1304</v>
      </c>
    </row>
    <row r="194" spans="1:65" s="756" customFormat="1" ht="11.25">
      <c r="B194" s="757"/>
      <c r="C194" s="758"/>
      <c r="D194" s="759" t="s">
        <v>1143</v>
      </c>
      <c r="E194" s="760" t="s">
        <v>1043</v>
      </c>
      <c r="F194" s="761" t="s">
        <v>1301</v>
      </c>
      <c r="G194" s="758"/>
      <c r="H194" s="760" t="s">
        <v>1043</v>
      </c>
      <c r="I194" s="758"/>
      <c r="J194" s="758"/>
      <c r="K194" s="758"/>
      <c r="L194" s="758"/>
      <c r="M194" s="762"/>
      <c r="N194" s="763"/>
      <c r="O194" s="764"/>
      <c r="P194" s="764"/>
      <c r="Q194" s="764"/>
      <c r="R194" s="764"/>
      <c r="S194" s="764"/>
      <c r="T194" s="764"/>
      <c r="U194" s="764"/>
      <c r="V194" s="764"/>
      <c r="W194" s="764"/>
      <c r="X194" s="765"/>
      <c r="AT194" s="766" t="s">
        <v>1143</v>
      </c>
      <c r="AU194" s="766" t="s">
        <v>795</v>
      </c>
      <c r="AV194" s="756" t="s">
        <v>791</v>
      </c>
      <c r="AW194" s="756" t="s">
        <v>1145</v>
      </c>
      <c r="AX194" s="756" t="s">
        <v>788</v>
      </c>
      <c r="AY194" s="766" t="s">
        <v>1063</v>
      </c>
    </row>
    <row r="195" spans="1:65" s="767" customFormat="1" ht="11.25">
      <c r="B195" s="768"/>
      <c r="C195" s="769"/>
      <c r="D195" s="759" t="s">
        <v>1143</v>
      </c>
      <c r="E195" s="770" t="s">
        <v>1043</v>
      </c>
      <c r="F195" s="771" t="s">
        <v>1271</v>
      </c>
      <c r="G195" s="769"/>
      <c r="H195" s="772">
        <v>3</v>
      </c>
      <c r="I195" s="769"/>
      <c r="J195" s="769"/>
      <c r="K195" s="769"/>
      <c r="L195" s="769"/>
      <c r="M195" s="773"/>
      <c r="N195" s="774"/>
      <c r="O195" s="775"/>
      <c r="P195" s="775"/>
      <c r="Q195" s="775"/>
      <c r="R195" s="775"/>
      <c r="S195" s="775"/>
      <c r="T195" s="775"/>
      <c r="U195" s="775"/>
      <c r="V195" s="775"/>
      <c r="W195" s="775"/>
      <c r="X195" s="776"/>
      <c r="AT195" s="777" t="s">
        <v>1143</v>
      </c>
      <c r="AU195" s="777" t="s">
        <v>795</v>
      </c>
      <c r="AV195" s="767" t="s">
        <v>795</v>
      </c>
      <c r="AW195" s="767" t="s">
        <v>1145</v>
      </c>
      <c r="AX195" s="767" t="s">
        <v>788</v>
      </c>
      <c r="AY195" s="777" t="s">
        <v>1063</v>
      </c>
    </row>
    <row r="196" spans="1:65" s="756" customFormat="1" ht="11.25">
      <c r="B196" s="757"/>
      <c r="C196" s="758"/>
      <c r="D196" s="759" t="s">
        <v>1143</v>
      </c>
      <c r="E196" s="760" t="s">
        <v>1043</v>
      </c>
      <c r="F196" s="761" t="s">
        <v>1148</v>
      </c>
      <c r="G196" s="758"/>
      <c r="H196" s="760" t="s">
        <v>1043</v>
      </c>
      <c r="I196" s="758"/>
      <c r="J196" s="758"/>
      <c r="K196" s="758"/>
      <c r="L196" s="758"/>
      <c r="M196" s="762"/>
      <c r="N196" s="763"/>
      <c r="O196" s="764"/>
      <c r="P196" s="764"/>
      <c r="Q196" s="764"/>
      <c r="R196" s="764"/>
      <c r="S196" s="764"/>
      <c r="T196" s="764"/>
      <c r="U196" s="764"/>
      <c r="V196" s="764"/>
      <c r="W196" s="764"/>
      <c r="X196" s="765"/>
      <c r="AT196" s="766" t="s">
        <v>1143</v>
      </c>
      <c r="AU196" s="766" t="s">
        <v>795</v>
      </c>
      <c r="AV196" s="756" t="s">
        <v>791</v>
      </c>
      <c r="AW196" s="756" t="s">
        <v>1145</v>
      </c>
      <c r="AX196" s="756" t="s">
        <v>788</v>
      </c>
      <c r="AY196" s="766" t="s">
        <v>1063</v>
      </c>
    </row>
    <row r="197" spans="1:65" s="767" customFormat="1" ht="11.25">
      <c r="B197" s="768"/>
      <c r="C197" s="769"/>
      <c r="D197" s="759" t="s">
        <v>1143</v>
      </c>
      <c r="E197" s="770" t="s">
        <v>1043</v>
      </c>
      <c r="F197" s="771" t="s">
        <v>795</v>
      </c>
      <c r="G197" s="769"/>
      <c r="H197" s="772">
        <v>2</v>
      </c>
      <c r="I197" s="769"/>
      <c r="J197" s="769"/>
      <c r="K197" s="769"/>
      <c r="L197" s="769"/>
      <c r="M197" s="773"/>
      <c r="N197" s="774"/>
      <c r="O197" s="775"/>
      <c r="P197" s="775"/>
      <c r="Q197" s="775"/>
      <c r="R197" s="775"/>
      <c r="S197" s="775"/>
      <c r="T197" s="775"/>
      <c r="U197" s="775"/>
      <c r="V197" s="775"/>
      <c r="W197" s="775"/>
      <c r="X197" s="776"/>
      <c r="AT197" s="777" t="s">
        <v>1143</v>
      </c>
      <c r="AU197" s="777" t="s">
        <v>795</v>
      </c>
      <c r="AV197" s="767" t="s">
        <v>795</v>
      </c>
      <c r="AW197" s="767" t="s">
        <v>1145</v>
      </c>
      <c r="AX197" s="767" t="s">
        <v>788</v>
      </c>
      <c r="AY197" s="777" t="s">
        <v>1063</v>
      </c>
    </row>
    <row r="198" spans="1:65" s="778" customFormat="1" ht="11.25">
      <c r="B198" s="779"/>
      <c r="C198" s="780"/>
      <c r="D198" s="759" t="s">
        <v>1143</v>
      </c>
      <c r="E198" s="781" t="s">
        <v>1043</v>
      </c>
      <c r="F198" s="782" t="s">
        <v>1153</v>
      </c>
      <c r="G198" s="780"/>
      <c r="H198" s="783">
        <v>5</v>
      </c>
      <c r="I198" s="780"/>
      <c r="J198" s="780"/>
      <c r="K198" s="780"/>
      <c r="L198" s="780"/>
      <c r="M198" s="784"/>
      <c r="N198" s="785"/>
      <c r="O198" s="786"/>
      <c r="P198" s="786"/>
      <c r="Q198" s="786"/>
      <c r="R198" s="786"/>
      <c r="S198" s="786"/>
      <c r="T198" s="786"/>
      <c r="U198" s="786"/>
      <c r="V198" s="786"/>
      <c r="W198" s="786"/>
      <c r="X198" s="787"/>
      <c r="AT198" s="788" t="s">
        <v>1143</v>
      </c>
      <c r="AU198" s="788" t="s">
        <v>795</v>
      </c>
      <c r="AV198" s="778" t="s">
        <v>1065</v>
      </c>
      <c r="AW198" s="778" t="s">
        <v>1145</v>
      </c>
      <c r="AX198" s="778" t="s">
        <v>791</v>
      </c>
      <c r="AY198" s="788" t="s">
        <v>1063</v>
      </c>
    </row>
    <row r="199" spans="1:65" s="634" customFormat="1" ht="21.75" customHeight="1">
      <c r="A199" s="705"/>
      <c r="B199" s="706"/>
      <c r="C199" s="744" t="s">
        <v>1305</v>
      </c>
      <c r="D199" s="744" t="s">
        <v>29</v>
      </c>
      <c r="E199" s="745" t="s">
        <v>1306</v>
      </c>
      <c r="F199" s="746" t="s">
        <v>1307</v>
      </c>
      <c r="G199" s="747" t="s">
        <v>19</v>
      </c>
      <c r="H199" s="748">
        <v>5</v>
      </c>
      <c r="I199" s="749"/>
      <c r="J199" s="749"/>
      <c r="K199" s="749">
        <f>ROUND(P199*H199,2)</f>
        <v>0</v>
      </c>
      <c r="L199" s="750"/>
      <c r="M199" s="631"/>
      <c r="N199" s="751" t="s">
        <v>1043</v>
      </c>
      <c r="O199" s="752" t="s">
        <v>1129</v>
      </c>
      <c r="P199" s="753">
        <f>I199+J199</f>
        <v>0</v>
      </c>
      <c r="Q199" s="753">
        <f>ROUND(I199*H199,2)</f>
        <v>0</v>
      </c>
      <c r="R199" s="753">
        <f>ROUND(J199*H199,2)</f>
        <v>0</v>
      </c>
      <c r="S199" s="754">
        <v>0.31900000000000001</v>
      </c>
      <c r="T199" s="754">
        <f>S199*H199</f>
        <v>1.595</v>
      </c>
      <c r="U199" s="754">
        <v>1.9000000000000001E-4</v>
      </c>
      <c r="V199" s="754">
        <f>U199*H199</f>
        <v>9.5000000000000011E-4</v>
      </c>
      <c r="W199" s="754">
        <v>0</v>
      </c>
      <c r="X199" s="755">
        <f>W199*H199</f>
        <v>0</v>
      </c>
      <c r="Y199" s="705"/>
      <c r="Z199" s="705"/>
      <c r="AA199" s="705"/>
      <c r="AB199" s="705"/>
      <c r="AC199" s="705"/>
      <c r="AD199" s="705"/>
      <c r="AE199" s="705"/>
      <c r="AR199" s="686" t="s">
        <v>1185</v>
      </c>
      <c r="AT199" s="686" t="s">
        <v>29</v>
      </c>
      <c r="AU199" s="686" t="s">
        <v>795</v>
      </c>
      <c r="AY199" s="629" t="s">
        <v>1063</v>
      </c>
      <c r="BE199" s="687">
        <f>IF(O199="základná",K199,0)</f>
        <v>0</v>
      </c>
      <c r="BF199" s="687">
        <f>IF(O199="znížená",K199,0)</f>
        <v>0</v>
      </c>
      <c r="BG199" s="687">
        <f>IF(O199="zákl. prenesená",K199,0)</f>
        <v>0</v>
      </c>
      <c r="BH199" s="687">
        <f>IF(O199="zníž. prenesená",K199,0)</f>
        <v>0</v>
      </c>
      <c r="BI199" s="687">
        <f>IF(O199="nulová",K199,0)</f>
        <v>0</v>
      </c>
      <c r="BJ199" s="629" t="s">
        <v>795</v>
      </c>
      <c r="BK199" s="687">
        <f>ROUND(P199*H199,2)</f>
        <v>0</v>
      </c>
      <c r="BL199" s="629" t="s">
        <v>1185</v>
      </c>
      <c r="BM199" s="686" t="s">
        <v>1308</v>
      </c>
    </row>
    <row r="200" spans="1:65" s="756" customFormat="1" ht="11.25">
      <c r="B200" s="757"/>
      <c r="C200" s="758"/>
      <c r="D200" s="759" t="s">
        <v>1143</v>
      </c>
      <c r="E200" s="760" t="s">
        <v>1043</v>
      </c>
      <c r="F200" s="761" t="s">
        <v>1301</v>
      </c>
      <c r="G200" s="758"/>
      <c r="H200" s="760" t="s">
        <v>1043</v>
      </c>
      <c r="I200" s="758"/>
      <c r="J200" s="758"/>
      <c r="K200" s="758"/>
      <c r="L200" s="758"/>
      <c r="M200" s="762"/>
      <c r="N200" s="763"/>
      <c r="O200" s="764"/>
      <c r="P200" s="764"/>
      <c r="Q200" s="764"/>
      <c r="R200" s="764"/>
      <c r="S200" s="764"/>
      <c r="T200" s="764"/>
      <c r="U200" s="764"/>
      <c r="V200" s="764"/>
      <c r="W200" s="764"/>
      <c r="X200" s="765"/>
      <c r="AT200" s="766" t="s">
        <v>1143</v>
      </c>
      <c r="AU200" s="766" t="s">
        <v>795</v>
      </c>
      <c r="AV200" s="756" t="s">
        <v>791</v>
      </c>
      <c r="AW200" s="756" t="s">
        <v>1145</v>
      </c>
      <c r="AX200" s="756" t="s">
        <v>788</v>
      </c>
      <c r="AY200" s="766" t="s">
        <v>1063</v>
      </c>
    </row>
    <row r="201" spans="1:65" s="767" customFormat="1" ht="11.25">
      <c r="B201" s="768"/>
      <c r="C201" s="769"/>
      <c r="D201" s="759" t="s">
        <v>1143</v>
      </c>
      <c r="E201" s="770" t="s">
        <v>1043</v>
      </c>
      <c r="F201" s="771" t="s">
        <v>987</v>
      </c>
      <c r="G201" s="769"/>
      <c r="H201" s="772">
        <v>3</v>
      </c>
      <c r="I201" s="769"/>
      <c r="J201" s="769"/>
      <c r="K201" s="769"/>
      <c r="L201" s="769"/>
      <c r="M201" s="773"/>
      <c r="N201" s="774"/>
      <c r="O201" s="775"/>
      <c r="P201" s="775"/>
      <c r="Q201" s="775"/>
      <c r="R201" s="775"/>
      <c r="S201" s="775"/>
      <c r="T201" s="775"/>
      <c r="U201" s="775"/>
      <c r="V201" s="775"/>
      <c r="W201" s="775"/>
      <c r="X201" s="776"/>
      <c r="AT201" s="777" t="s">
        <v>1143</v>
      </c>
      <c r="AU201" s="777" t="s">
        <v>795</v>
      </c>
      <c r="AV201" s="767" t="s">
        <v>795</v>
      </c>
      <c r="AW201" s="767" t="s">
        <v>1145</v>
      </c>
      <c r="AX201" s="767" t="s">
        <v>788</v>
      </c>
      <c r="AY201" s="777" t="s">
        <v>1063</v>
      </c>
    </row>
    <row r="202" spans="1:65" s="756" customFormat="1" ht="11.25">
      <c r="B202" s="757"/>
      <c r="C202" s="758"/>
      <c r="D202" s="759" t="s">
        <v>1143</v>
      </c>
      <c r="E202" s="760" t="s">
        <v>1043</v>
      </c>
      <c r="F202" s="761" t="s">
        <v>1148</v>
      </c>
      <c r="G202" s="758"/>
      <c r="H202" s="760" t="s">
        <v>1043</v>
      </c>
      <c r="I202" s="758"/>
      <c r="J202" s="758"/>
      <c r="K202" s="758"/>
      <c r="L202" s="758"/>
      <c r="M202" s="762"/>
      <c r="N202" s="763"/>
      <c r="O202" s="764"/>
      <c r="P202" s="764"/>
      <c r="Q202" s="764"/>
      <c r="R202" s="764"/>
      <c r="S202" s="764"/>
      <c r="T202" s="764"/>
      <c r="U202" s="764"/>
      <c r="V202" s="764"/>
      <c r="W202" s="764"/>
      <c r="X202" s="765"/>
      <c r="AT202" s="766" t="s">
        <v>1143</v>
      </c>
      <c r="AU202" s="766" t="s">
        <v>795</v>
      </c>
      <c r="AV202" s="756" t="s">
        <v>791</v>
      </c>
      <c r="AW202" s="756" t="s">
        <v>1145</v>
      </c>
      <c r="AX202" s="756" t="s">
        <v>788</v>
      </c>
      <c r="AY202" s="766" t="s">
        <v>1063</v>
      </c>
    </row>
    <row r="203" spans="1:65" s="767" customFormat="1" ht="11.25">
      <c r="B203" s="768"/>
      <c r="C203" s="769"/>
      <c r="D203" s="759" t="s">
        <v>1143</v>
      </c>
      <c r="E203" s="770" t="s">
        <v>1043</v>
      </c>
      <c r="F203" s="771" t="s">
        <v>795</v>
      </c>
      <c r="G203" s="769"/>
      <c r="H203" s="772">
        <v>2</v>
      </c>
      <c r="I203" s="769"/>
      <c r="J203" s="769"/>
      <c r="K203" s="769"/>
      <c r="L203" s="769"/>
      <c r="M203" s="773"/>
      <c r="N203" s="774"/>
      <c r="O203" s="775"/>
      <c r="P203" s="775"/>
      <c r="Q203" s="775"/>
      <c r="R203" s="775"/>
      <c r="S203" s="775"/>
      <c r="T203" s="775"/>
      <c r="U203" s="775"/>
      <c r="V203" s="775"/>
      <c r="W203" s="775"/>
      <c r="X203" s="776"/>
      <c r="AT203" s="777" t="s">
        <v>1143</v>
      </c>
      <c r="AU203" s="777" t="s">
        <v>795</v>
      </c>
      <c r="AV203" s="767" t="s">
        <v>795</v>
      </c>
      <c r="AW203" s="767" t="s">
        <v>1145</v>
      </c>
      <c r="AX203" s="767" t="s">
        <v>788</v>
      </c>
      <c r="AY203" s="777" t="s">
        <v>1063</v>
      </c>
    </row>
    <row r="204" spans="1:65" s="778" customFormat="1" ht="11.25">
      <c r="B204" s="779"/>
      <c r="C204" s="780"/>
      <c r="D204" s="759" t="s">
        <v>1143</v>
      </c>
      <c r="E204" s="781" t="s">
        <v>1043</v>
      </c>
      <c r="F204" s="782" t="s">
        <v>1153</v>
      </c>
      <c r="G204" s="780"/>
      <c r="H204" s="783">
        <v>5</v>
      </c>
      <c r="I204" s="780"/>
      <c r="J204" s="780"/>
      <c r="K204" s="780"/>
      <c r="L204" s="780"/>
      <c r="M204" s="784"/>
      <c r="N204" s="785"/>
      <c r="O204" s="786"/>
      <c r="P204" s="786"/>
      <c r="Q204" s="786"/>
      <c r="R204" s="786"/>
      <c r="S204" s="786"/>
      <c r="T204" s="786"/>
      <c r="U204" s="786"/>
      <c r="V204" s="786"/>
      <c r="W204" s="786"/>
      <c r="X204" s="787"/>
      <c r="AT204" s="788" t="s">
        <v>1143</v>
      </c>
      <c r="AU204" s="788" t="s">
        <v>795</v>
      </c>
      <c r="AV204" s="778" t="s">
        <v>1065</v>
      </c>
      <c r="AW204" s="778" t="s">
        <v>1145</v>
      </c>
      <c r="AX204" s="778" t="s">
        <v>791</v>
      </c>
      <c r="AY204" s="788" t="s">
        <v>1063</v>
      </c>
    </row>
    <row r="205" spans="1:65" s="634" customFormat="1" ht="21.75" customHeight="1">
      <c r="A205" s="705"/>
      <c r="B205" s="706"/>
      <c r="C205" s="789" t="s">
        <v>1309</v>
      </c>
      <c r="D205" s="789" t="s">
        <v>83</v>
      </c>
      <c r="E205" s="790" t="s">
        <v>1310</v>
      </c>
      <c r="F205" s="791" t="s">
        <v>1311</v>
      </c>
      <c r="G205" s="792" t="s">
        <v>19</v>
      </c>
      <c r="H205" s="793">
        <v>5</v>
      </c>
      <c r="I205" s="794"/>
      <c r="J205" s="795"/>
      <c r="K205" s="794">
        <f>ROUND(P205*H205,2)</f>
        <v>0</v>
      </c>
      <c r="L205" s="795"/>
      <c r="M205" s="701"/>
      <c r="N205" s="796" t="s">
        <v>1043</v>
      </c>
      <c r="O205" s="752" t="s">
        <v>1129</v>
      </c>
      <c r="P205" s="753">
        <f>I205+J205</f>
        <v>0</v>
      </c>
      <c r="Q205" s="753">
        <f>ROUND(I205*H205,2)</f>
        <v>0</v>
      </c>
      <c r="R205" s="753">
        <f>ROUND(J205*H205,2)</f>
        <v>0</v>
      </c>
      <c r="S205" s="754">
        <v>0</v>
      </c>
      <c r="T205" s="754">
        <f>S205*H205</f>
        <v>0</v>
      </c>
      <c r="U205" s="754">
        <v>3.2000000000000003E-4</v>
      </c>
      <c r="V205" s="754">
        <f>U205*H205</f>
        <v>1.6000000000000001E-3</v>
      </c>
      <c r="W205" s="754">
        <v>0</v>
      </c>
      <c r="X205" s="755">
        <f>W205*H205</f>
        <v>0</v>
      </c>
      <c r="Y205" s="705"/>
      <c r="Z205" s="705"/>
      <c r="AA205" s="705"/>
      <c r="AB205" s="705"/>
      <c r="AC205" s="705"/>
      <c r="AD205" s="705"/>
      <c r="AE205" s="705"/>
      <c r="AR205" s="686" t="s">
        <v>1190</v>
      </c>
      <c r="AT205" s="686" t="s">
        <v>83</v>
      </c>
      <c r="AU205" s="686" t="s">
        <v>795</v>
      </c>
      <c r="AY205" s="629" t="s">
        <v>1063</v>
      </c>
      <c r="BE205" s="687">
        <f>IF(O205="základná",K205,0)</f>
        <v>0</v>
      </c>
      <c r="BF205" s="687">
        <f>IF(O205="znížená",K205,0)</f>
        <v>0</v>
      </c>
      <c r="BG205" s="687">
        <f>IF(O205="zákl. prenesená",K205,0)</f>
        <v>0</v>
      </c>
      <c r="BH205" s="687">
        <f>IF(O205="zníž. prenesená",K205,0)</f>
        <v>0</v>
      </c>
      <c r="BI205" s="687">
        <f>IF(O205="nulová",K205,0)</f>
        <v>0</v>
      </c>
      <c r="BJ205" s="629" t="s">
        <v>795</v>
      </c>
      <c r="BK205" s="687">
        <f>ROUND(P205*H205,2)</f>
        <v>0</v>
      </c>
      <c r="BL205" s="629" t="s">
        <v>1185</v>
      </c>
      <c r="BM205" s="686" t="s">
        <v>1312</v>
      </c>
    </row>
    <row r="206" spans="1:65" s="756" customFormat="1" ht="11.25">
      <c r="B206" s="757"/>
      <c r="C206" s="758"/>
      <c r="D206" s="759" t="s">
        <v>1143</v>
      </c>
      <c r="E206" s="760" t="s">
        <v>1043</v>
      </c>
      <c r="F206" s="761" t="s">
        <v>1301</v>
      </c>
      <c r="G206" s="758"/>
      <c r="H206" s="760" t="s">
        <v>1043</v>
      </c>
      <c r="I206" s="758"/>
      <c r="J206" s="758"/>
      <c r="K206" s="758"/>
      <c r="L206" s="758"/>
      <c r="M206" s="762"/>
      <c r="N206" s="763"/>
      <c r="O206" s="764"/>
      <c r="P206" s="764"/>
      <c r="Q206" s="764"/>
      <c r="R206" s="764"/>
      <c r="S206" s="764"/>
      <c r="T206" s="764"/>
      <c r="U206" s="764"/>
      <c r="V206" s="764"/>
      <c r="W206" s="764"/>
      <c r="X206" s="765"/>
      <c r="AT206" s="766" t="s">
        <v>1143</v>
      </c>
      <c r="AU206" s="766" t="s">
        <v>795</v>
      </c>
      <c r="AV206" s="756" t="s">
        <v>791</v>
      </c>
      <c r="AW206" s="756" t="s">
        <v>1145</v>
      </c>
      <c r="AX206" s="756" t="s">
        <v>788</v>
      </c>
      <c r="AY206" s="766" t="s">
        <v>1063</v>
      </c>
    </row>
    <row r="207" spans="1:65" s="767" customFormat="1" ht="11.25">
      <c r="B207" s="768"/>
      <c r="C207" s="769"/>
      <c r="D207" s="759" t="s">
        <v>1143</v>
      </c>
      <c r="E207" s="770" t="s">
        <v>1043</v>
      </c>
      <c r="F207" s="771" t="s">
        <v>987</v>
      </c>
      <c r="G207" s="769"/>
      <c r="H207" s="772">
        <v>3</v>
      </c>
      <c r="I207" s="769"/>
      <c r="J207" s="769"/>
      <c r="K207" s="769"/>
      <c r="L207" s="769"/>
      <c r="M207" s="773"/>
      <c r="N207" s="774"/>
      <c r="O207" s="775"/>
      <c r="P207" s="775"/>
      <c r="Q207" s="775"/>
      <c r="R207" s="775"/>
      <c r="S207" s="775"/>
      <c r="T207" s="775"/>
      <c r="U207" s="775"/>
      <c r="V207" s="775"/>
      <c r="W207" s="775"/>
      <c r="X207" s="776"/>
      <c r="AT207" s="777" t="s">
        <v>1143</v>
      </c>
      <c r="AU207" s="777" t="s">
        <v>795</v>
      </c>
      <c r="AV207" s="767" t="s">
        <v>795</v>
      </c>
      <c r="AW207" s="767" t="s">
        <v>1145</v>
      </c>
      <c r="AX207" s="767" t="s">
        <v>788</v>
      </c>
      <c r="AY207" s="777" t="s">
        <v>1063</v>
      </c>
    </row>
    <row r="208" spans="1:65" s="756" customFormat="1" ht="11.25">
      <c r="B208" s="757"/>
      <c r="C208" s="758"/>
      <c r="D208" s="759" t="s">
        <v>1143</v>
      </c>
      <c r="E208" s="760" t="s">
        <v>1043</v>
      </c>
      <c r="F208" s="761" t="s">
        <v>1148</v>
      </c>
      <c r="G208" s="758"/>
      <c r="H208" s="760" t="s">
        <v>1043</v>
      </c>
      <c r="I208" s="758"/>
      <c r="J208" s="758"/>
      <c r="K208" s="758"/>
      <c r="L208" s="758"/>
      <c r="M208" s="762"/>
      <c r="N208" s="763"/>
      <c r="O208" s="764"/>
      <c r="P208" s="764"/>
      <c r="Q208" s="764"/>
      <c r="R208" s="764"/>
      <c r="S208" s="764"/>
      <c r="T208" s="764"/>
      <c r="U208" s="764"/>
      <c r="V208" s="764"/>
      <c r="W208" s="764"/>
      <c r="X208" s="765"/>
      <c r="AT208" s="766" t="s">
        <v>1143</v>
      </c>
      <c r="AU208" s="766" t="s">
        <v>795</v>
      </c>
      <c r="AV208" s="756" t="s">
        <v>791</v>
      </c>
      <c r="AW208" s="756" t="s">
        <v>1145</v>
      </c>
      <c r="AX208" s="756" t="s">
        <v>788</v>
      </c>
      <c r="AY208" s="766" t="s">
        <v>1063</v>
      </c>
    </row>
    <row r="209" spans="1:65" s="767" customFormat="1" ht="11.25">
      <c r="B209" s="768"/>
      <c r="C209" s="769"/>
      <c r="D209" s="759" t="s">
        <v>1143</v>
      </c>
      <c r="E209" s="770" t="s">
        <v>1043</v>
      </c>
      <c r="F209" s="771" t="s">
        <v>795</v>
      </c>
      <c r="G209" s="769"/>
      <c r="H209" s="772">
        <v>2</v>
      </c>
      <c r="I209" s="769"/>
      <c r="J209" s="769"/>
      <c r="K209" s="769"/>
      <c r="L209" s="769"/>
      <c r="M209" s="773"/>
      <c r="N209" s="774"/>
      <c r="O209" s="775"/>
      <c r="P209" s="775"/>
      <c r="Q209" s="775"/>
      <c r="R209" s="775"/>
      <c r="S209" s="775"/>
      <c r="T209" s="775"/>
      <c r="U209" s="775"/>
      <c r="V209" s="775"/>
      <c r="W209" s="775"/>
      <c r="X209" s="776"/>
      <c r="AT209" s="777" t="s">
        <v>1143</v>
      </c>
      <c r="AU209" s="777" t="s">
        <v>795</v>
      </c>
      <c r="AV209" s="767" t="s">
        <v>795</v>
      </c>
      <c r="AW209" s="767" t="s">
        <v>1145</v>
      </c>
      <c r="AX209" s="767" t="s">
        <v>788</v>
      </c>
      <c r="AY209" s="777" t="s">
        <v>1063</v>
      </c>
    </row>
    <row r="210" spans="1:65" s="778" customFormat="1" ht="11.25">
      <c r="B210" s="779"/>
      <c r="C210" s="780"/>
      <c r="D210" s="759" t="s">
        <v>1143</v>
      </c>
      <c r="E210" s="781" t="s">
        <v>1043</v>
      </c>
      <c r="F210" s="782" t="s">
        <v>1153</v>
      </c>
      <c r="G210" s="780"/>
      <c r="H210" s="783">
        <v>5</v>
      </c>
      <c r="I210" s="780"/>
      <c r="J210" s="780"/>
      <c r="K210" s="780"/>
      <c r="L210" s="780"/>
      <c r="M210" s="784"/>
      <c r="N210" s="785"/>
      <c r="O210" s="786"/>
      <c r="P210" s="786"/>
      <c r="Q210" s="786"/>
      <c r="R210" s="786"/>
      <c r="S210" s="786"/>
      <c r="T210" s="786"/>
      <c r="U210" s="786"/>
      <c r="V210" s="786"/>
      <c r="W210" s="786"/>
      <c r="X210" s="787"/>
      <c r="AT210" s="788" t="s">
        <v>1143</v>
      </c>
      <c r="AU210" s="788" t="s">
        <v>795</v>
      </c>
      <c r="AV210" s="778" t="s">
        <v>1065</v>
      </c>
      <c r="AW210" s="778" t="s">
        <v>1145</v>
      </c>
      <c r="AX210" s="778" t="s">
        <v>791</v>
      </c>
      <c r="AY210" s="788" t="s">
        <v>1063</v>
      </c>
    </row>
    <row r="211" spans="1:65" s="634" customFormat="1" ht="21.75" customHeight="1">
      <c r="A211" s="705"/>
      <c r="B211" s="706"/>
      <c r="C211" s="744" t="s">
        <v>1313</v>
      </c>
      <c r="D211" s="744" t="s">
        <v>29</v>
      </c>
      <c r="E211" s="745" t="s">
        <v>1314</v>
      </c>
      <c r="F211" s="746" t="s">
        <v>1315</v>
      </c>
      <c r="G211" s="747" t="s">
        <v>14</v>
      </c>
      <c r="H211" s="748">
        <v>9</v>
      </c>
      <c r="I211" s="749"/>
      <c r="J211" s="749"/>
      <c r="K211" s="749">
        <f>ROUND(P211*H211,2)</f>
        <v>0</v>
      </c>
      <c r="L211" s="750"/>
      <c r="M211" s="631"/>
      <c r="N211" s="751" t="s">
        <v>1043</v>
      </c>
      <c r="O211" s="752" t="s">
        <v>1129</v>
      </c>
      <c r="P211" s="753">
        <f>I211+J211</f>
        <v>0</v>
      </c>
      <c r="Q211" s="753">
        <f>ROUND(I211*H211,2)</f>
        <v>0</v>
      </c>
      <c r="R211" s="753">
        <f>ROUND(J211*H211,2)</f>
        <v>0</v>
      </c>
      <c r="S211" s="754">
        <v>0.57699999999999996</v>
      </c>
      <c r="T211" s="754">
        <f>S211*H211</f>
        <v>5.1929999999999996</v>
      </c>
      <c r="U211" s="754">
        <v>1E-4</v>
      </c>
      <c r="V211" s="754">
        <f>U211*H211</f>
        <v>9.0000000000000008E-4</v>
      </c>
      <c r="W211" s="754">
        <v>0</v>
      </c>
      <c r="X211" s="755">
        <f>W211*H211</f>
        <v>0</v>
      </c>
      <c r="Y211" s="705"/>
      <c r="Z211" s="705"/>
      <c r="AA211" s="705"/>
      <c r="AB211" s="705"/>
      <c r="AC211" s="705"/>
      <c r="AD211" s="705"/>
      <c r="AE211" s="705"/>
      <c r="AR211" s="686" t="s">
        <v>1185</v>
      </c>
      <c r="AT211" s="686" t="s">
        <v>29</v>
      </c>
      <c r="AU211" s="686" t="s">
        <v>795</v>
      </c>
      <c r="AY211" s="629" t="s">
        <v>1063</v>
      </c>
      <c r="BE211" s="687">
        <f>IF(O211="základná",K211,0)</f>
        <v>0</v>
      </c>
      <c r="BF211" s="687">
        <f>IF(O211="znížená",K211,0)</f>
        <v>0</v>
      </c>
      <c r="BG211" s="687">
        <f>IF(O211="zákl. prenesená",K211,0)</f>
        <v>0</v>
      </c>
      <c r="BH211" s="687">
        <f>IF(O211="zníž. prenesená",K211,0)</f>
        <v>0</v>
      </c>
      <c r="BI211" s="687">
        <f>IF(O211="nulová",K211,0)</f>
        <v>0</v>
      </c>
      <c r="BJ211" s="629" t="s">
        <v>795</v>
      </c>
      <c r="BK211" s="687">
        <f>ROUND(P211*H211,2)</f>
        <v>0</v>
      </c>
      <c r="BL211" s="629" t="s">
        <v>1185</v>
      </c>
      <c r="BM211" s="686" t="s">
        <v>1316</v>
      </c>
    </row>
    <row r="212" spans="1:65" s="756" customFormat="1" ht="11.25">
      <c r="B212" s="757"/>
      <c r="C212" s="758"/>
      <c r="D212" s="759" t="s">
        <v>1143</v>
      </c>
      <c r="E212" s="760" t="s">
        <v>1043</v>
      </c>
      <c r="F212" s="761" t="s">
        <v>1301</v>
      </c>
      <c r="G212" s="758"/>
      <c r="H212" s="760" t="s">
        <v>1043</v>
      </c>
      <c r="I212" s="758"/>
      <c r="J212" s="758"/>
      <c r="K212" s="758"/>
      <c r="L212" s="758"/>
      <c r="M212" s="762"/>
      <c r="N212" s="763"/>
      <c r="O212" s="764"/>
      <c r="P212" s="764"/>
      <c r="Q212" s="764"/>
      <c r="R212" s="764"/>
      <c r="S212" s="764"/>
      <c r="T212" s="764"/>
      <c r="U212" s="764"/>
      <c r="V212" s="764"/>
      <c r="W212" s="764"/>
      <c r="X212" s="765"/>
      <c r="AT212" s="766" t="s">
        <v>1143</v>
      </c>
      <c r="AU212" s="766" t="s">
        <v>795</v>
      </c>
      <c r="AV212" s="756" t="s">
        <v>791</v>
      </c>
      <c r="AW212" s="756" t="s">
        <v>1145</v>
      </c>
      <c r="AX212" s="756" t="s">
        <v>788</v>
      </c>
      <c r="AY212" s="766" t="s">
        <v>1063</v>
      </c>
    </row>
    <row r="213" spans="1:65" s="767" customFormat="1" ht="11.25">
      <c r="B213" s="768"/>
      <c r="C213" s="769"/>
      <c r="D213" s="759" t="s">
        <v>1143</v>
      </c>
      <c r="E213" s="770" t="s">
        <v>1043</v>
      </c>
      <c r="F213" s="771" t="s">
        <v>1317</v>
      </c>
      <c r="G213" s="769"/>
      <c r="H213" s="772">
        <v>9</v>
      </c>
      <c r="I213" s="769"/>
      <c r="J213" s="769"/>
      <c r="K213" s="769"/>
      <c r="L213" s="769"/>
      <c r="M213" s="773"/>
      <c r="N213" s="774"/>
      <c r="O213" s="775"/>
      <c r="P213" s="775"/>
      <c r="Q213" s="775"/>
      <c r="R213" s="775"/>
      <c r="S213" s="775"/>
      <c r="T213" s="775"/>
      <c r="U213" s="775"/>
      <c r="V213" s="775"/>
      <c r="W213" s="775"/>
      <c r="X213" s="776"/>
      <c r="AT213" s="777" t="s">
        <v>1143</v>
      </c>
      <c r="AU213" s="777" t="s">
        <v>795</v>
      </c>
      <c r="AV213" s="767" t="s">
        <v>795</v>
      </c>
      <c r="AW213" s="767" t="s">
        <v>1145</v>
      </c>
      <c r="AX213" s="767" t="s">
        <v>788</v>
      </c>
      <c r="AY213" s="777" t="s">
        <v>1063</v>
      </c>
    </row>
    <row r="214" spans="1:65" s="778" customFormat="1" ht="11.25">
      <c r="B214" s="779"/>
      <c r="C214" s="780"/>
      <c r="D214" s="759" t="s">
        <v>1143</v>
      </c>
      <c r="E214" s="781" t="s">
        <v>1043</v>
      </c>
      <c r="F214" s="782" t="s">
        <v>1153</v>
      </c>
      <c r="G214" s="780"/>
      <c r="H214" s="783">
        <v>9</v>
      </c>
      <c r="I214" s="780"/>
      <c r="J214" s="780"/>
      <c r="K214" s="780"/>
      <c r="L214" s="780"/>
      <c r="M214" s="784"/>
      <c r="N214" s="785"/>
      <c r="O214" s="786"/>
      <c r="P214" s="786"/>
      <c r="Q214" s="786"/>
      <c r="R214" s="786"/>
      <c r="S214" s="786"/>
      <c r="T214" s="786"/>
      <c r="U214" s="786"/>
      <c r="V214" s="786"/>
      <c r="W214" s="786"/>
      <c r="X214" s="787"/>
      <c r="AT214" s="788" t="s">
        <v>1143</v>
      </c>
      <c r="AU214" s="788" t="s">
        <v>795</v>
      </c>
      <c r="AV214" s="778" t="s">
        <v>1065</v>
      </c>
      <c r="AW214" s="778" t="s">
        <v>1145</v>
      </c>
      <c r="AX214" s="778" t="s">
        <v>791</v>
      </c>
      <c r="AY214" s="788" t="s">
        <v>1063</v>
      </c>
    </row>
    <row r="215" spans="1:65" s="634" customFormat="1" ht="21.75" customHeight="1">
      <c r="A215" s="705"/>
      <c r="B215" s="706"/>
      <c r="C215" s="789" t="s">
        <v>1318</v>
      </c>
      <c r="D215" s="789" t="s">
        <v>83</v>
      </c>
      <c r="E215" s="790" t="s">
        <v>1319</v>
      </c>
      <c r="F215" s="791" t="s">
        <v>1320</v>
      </c>
      <c r="G215" s="792" t="s">
        <v>19</v>
      </c>
      <c r="H215" s="793">
        <v>9</v>
      </c>
      <c r="I215" s="794"/>
      <c r="J215" s="795"/>
      <c r="K215" s="794">
        <f>ROUND(P215*H215,2)</f>
        <v>0</v>
      </c>
      <c r="L215" s="795"/>
      <c r="M215" s="701"/>
      <c r="N215" s="796" t="s">
        <v>1043</v>
      </c>
      <c r="O215" s="752" t="s">
        <v>1129</v>
      </c>
      <c r="P215" s="753">
        <f>I215+J215</f>
        <v>0</v>
      </c>
      <c r="Q215" s="753">
        <f>ROUND(I215*H215,2)</f>
        <v>0</v>
      </c>
      <c r="R215" s="753">
        <f>ROUND(J215*H215,2)</f>
        <v>0</v>
      </c>
      <c r="S215" s="754">
        <v>0</v>
      </c>
      <c r="T215" s="754">
        <f>S215*H215</f>
        <v>0</v>
      </c>
      <c r="U215" s="754">
        <v>1.0300000000000001E-3</v>
      </c>
      <c r="V215" s="754">
        <f>U215*H215</f>
        <v>9.2700000000000005E-3</v>
      </c>
      <c r="W215" s="754">
        <v>0</v>
      </c>
      <c r="X215" s="755">
        <f>W215*H215</f>
        <v>0</v>
      </c>
      <c r="Y215" s="705"/>
      <c r="Z215" s="705"/>
      <c r="AA215" s="705"/>
      <c r="AB215" s="705"/>
      <c r="AC215" s="705"/>
      <c r="AD215" s="705"/>
      <c r="AE215" s="705"/>
      <c r="AR215" s="686" t="s">
        <v>1190</v>
      </c>
      <c r="AT215" s="686" t="s">
        <v>83</v>
      </c>
      <c r="AU215" s="686" t="s">
        <v>795</v>
      </c>
      <c r="AY215" s="629" t="s">
        <v>1063</v>
      </c>
      <c r="BE215" s="687">
        <f>IF(O215="základná",K215,0)</f>
        <v>0</v>
      </c>
      <c r="BF215" s="687">
        <f>IF(O215="znížená",K215,0)</f>
        <v>0</v>
      </c>
      <c r="BG215" s="687">
        <f>IF(O215="zákl. prenesená",K215,0)</f>
        <v>0</v>
      </c>
      <c r="BH215" s="687">
        <f>IF(O215="zníž. prenesená",K215,0)</f>
        <v>0</v>
      </c>
      <c r="BI215" s="687">
        <f>IF(O215="nulová",K215,0)</f>
        <v>0</v>
      </c>
      <c r="BJ215" s="629" t="s">
        <v>795</v>
      </c>
      <c r="BK215" s="687">
        <f>ROUND(P215*H215,2)</f>
        <v>0</v>
      </c>
      <c r="BL215" s="629" t="s">
        <v>1185</v>
      </c>
      <c r="BM215" s="686" t="s">
        <v>1321</v>
      </c>
    </row>
    <row r="216" spans="1:65" s="756" customFormat="1" ht="11.25">
      <c r="B216" s="757"/>
      <c r="C216" s="758"/>
      <c r="D216" s="759" t="s">
        <v>1143</v>
      </c>
      <c r="E216" s="760" t="s">
        <v>1043</v>
      </c>
      <c r="F216" s="761" t="s">
        <v>1301</v>
      </c>
      <c r="G216" s="758"/>
      <c r="H216" s="760" t="s">
        <v>1043</v>
      </c>
      <c r="I216" s="758"/>
      <c r="J216" s="758"/>
      <c r="K216" s="758"/>
      <c r="L216" s="758"/>
      <c r="M216" s="762"/>
      <c r="N216" s="763"/>
      <c r="O216" s="764"/>
      <c r="P216" s="764"/>
      <c r="Q216" s="764"/>
      <c r="R216" s="764"/>
      <c r="S216" s="764"/>
      <c r="T216" s="764"/>
      <c r="U216" s="764"/>
      <c r="V216" s="764"/>
      <c r="W216" s="764"/>
      <c r="X216" s="765"/>
      <c r="AT216" s="766" t="s">
        <v>1143</v>
      </c>
      <c r="AU216" s="766" t="s">
        <v>795</v>
      </c>
      <c r="AV216" s="756" t="s">
        <v>791</v>
      </c>
      <c r="AW216" s="756" t="s">
        <v>1145</v>
      </c>
      <c r="AX216" s="756" t="s">
        <v>788</v>
      </c>
      <c r="AY216" s="766" t="s">
        <v>1063</v>
      </c>
    </row>
    <row r="217" spans="1:65" s="767" customFormat="1" ht="11.25">
      <c r="B217" s="768"/>
      <c r="C217" s="769"/>
      <c r="D217" s="759" t="s">
        <v>1143</v>
      </c>
      <c r="E217" s="770" t="s">
        <v>1043</v>
      </c>
      <c r="F217" s="771" t="s">
        <v>1317</v>
      </c>
      <c r="G217" s="769"/>
      <c r="H217" s="772">
        <v>9</v>
      </c>
      <c r="I217" s="769"/>
      <c r="J217" s="769"/>
      <c r="K217" s="769"/>
      <c r="L217" s="769"/>
      <c r="M217" s="773"/>
      <c r="N217" s="774"/>
      <c r="O217" s="775"/>
      <c r="P217" s="775"/>
      <c r="Q217" s="775"/>
      <c r="R217" s="775"/>
      <c r="S217" s="775"/>
      <c r="T217" s="775"/>
      <c r="U217" s="775"/>
      <c r="V217" s="775"/>
      <c r="W217" s="775"/>
      <c r="X217" s="776"/>
      <c r="AT217" s="777" t="s">
        <v>1143</v>
      </c>
      <c r="AU217" s="777" t="s">
        <v>795</v>
      </c>
      <c r="AV217" s="767" t="s">
        <v>795</v>
      </c>
      <c r="AW217" s="767" t="s">
        <v>1145</v>
      </c>
      <c r="AX217" s="767" t="s">
        <v>788</v>
      </c>
      <c r="AY217" s="777" t="s">
        <v>1063</v>
      </c>
    </row>
    <row r="218" spans="1:65" s="778" customFormat="1" ht="11.25">
      <c r="B218" s="779"/>
      <c r="C218" s="780"/>
      <c r="D218" s="759" t="s">
        <v>1143</v>
      </c>
      <c r="E218" s="781" t="s">
        <v>1043</v>
      </c>
      <c r="F218" s="782" t="s">
        <v>1153</v>
      </c>
      <c r="G218" s="780"/>
      <c r="H218" s="783">
        <v>9</v>
      </c>
      <c r="I218" s="780"/>
      <c r="J218" s="780"/>
      <c r="K218" s="780"/>
      <c r="L218" s="780"/>
      <c r="M218" s="784"/>
      <c r="N218" s="785"/>
      <c r="O218" s="786"/>
      <c r="P218" s="786"/>
      <c r="Q218" s="786"/>
      <c r="R218" s="786"/>
      <c r="S218" s="786"/>
      <c r="T218" s="786"/>
      <c r="U218" s="786"/>
      <c r="V218" s="786"/>
      <c r="W218" s="786"/>
      <c r="X218" s="787"/>
      <c r="AT218" s="788" t="s">
        <v>1143</v>
      </c>
      <c r="AU218" s="788" t="s">
        <v>795</v>
      </c>
      <c r="AV218" s="778" t="s">
        <v>1065</v>
      </c>
      <c r="AW218" s="778" t="s">
        <v>1145</v>
      </c>
      <c r="AX218" s="778" t="s">
        <v>791</v>
      </c>
      <c r="AY218" s="788" t="s">
        <v>1063</v>
      </c>
    </row>
    <row r="219" spans="1:65" s="634" customFormat="1" ht="16.5" customHeight="1">
      <c r="A219" s="705"/>
      <c r="B219" s="706"/>
      <c r="C219" s="744" t="s">
        <v>1322</v>
      </c>
      <c r="D219" s="744" t="s">
        <v>29</v>
      </c>
      <c r="E219" s="745" t="s">
        <v>1323</v>
      </c>
      <c r="F219" s="746" t="s">
        <v>1324</v>
      </c>
      <c r="G219" s="747" t="s">
        <v>19</v>
      </c>
      <c r="H219" s="748">
        <v>3</v>
      </c>
      <c r="I219" s="749"/>
      <c r="J219" s="749"/>
      <c r="K219" s="749">
        <f>ROUND(P219*H219,2)</f>
        <v>0</v>
      </c>
      <c r="L219" s="750"/>
      <c r="M219" s="631"/>
      <c r="N219" s="751" t="s">
        <v>1043</v>
      </c>
      <c r="O219" s="752" t="s">
        <v>1129</v>
      </c>
      <c r="P219" s="753">
        <f>I219+J219</f>
        <v>0</v>
      </c>
      <c r="Q219" s="753">
        <f>ROUND(I219*H219,2)</f>
        <v>0</v>
      </c>
      <c r="R219" s="753">
        <f>ROUND(J219*H219,2)</f>
        <v>0</v>
      </c>
      <c r="S219" s="754">
        <v>0.28899999999999998</v>
      </c>
      <c r="T219" s="754">
        <f>S219*H219</f>
        <v>0.86699999999999999</v>
      </c>
      <c r="U219" s="754">
        <v>0</v>
      </c>
      <c r="V219" s="754">
        <f>U219*H219</f>
        <v>0</v>
      </c>
      <c r="W219" s="754">
        <v>0</v>
      </c>
      <c r="X219" s="755">
        <f>W219*H219</f>
        <v>0</v>
      </c>
      <c r="Y219" s="705"/>
      <c r="Z219" s="705"/>
      <c r="AA219" s="705"/>
      <c r="AB219" s="705"/>
      <c r="AC219" s="705"/>
      <c r="AD219" s="705"/>
      <c r="AE219" s="705"/>
      <c r="AR219" s="686" t="s">
        <v>1185</v>
      </c>
      <c r="AT219" s="686" t="s">
        <v>29</v>
      </c>
      <c r="AU219" s="686" t="s">
        <v>795</v>
      </c>
      <c r="AY219" s="629" t="s">
        <v>1063</v>
      </c>
      <c r="BE219" s="687">
        <f>IF(O219="základná",K219,0)</f>
        <v>0</v>
      </c>
      <c r="BF219" s="687">
        <f>IF(O219="znížená",K219,0)</f>
        <v>0</v>
      </c>
      <c r="BG219" s="687">
        <f>IF(O219="zákl. prenesená",K219,0)</f>
        <v>0</v>
      </c>
      <c r="BH219" s="687">
        <f>IF(O219="zníž. prenesená",K219,0)</f>
        <v>0</v>
      </c>
      <c r="BI219" s="687">
        <f>IF(O219="nulová",K219,0)</f>
        <v>0</v>
      </c>
      <c r="BJ219" s="629" t="s">
        <v>795</v>
      </c>
      <c r="BK219" s="687">
        <f>ROUND(P219*H219,2)</f>
        <v>0</v>
      </c>
      <c r="BL219" s="629" t="s">
        <v>1185</v>
      </c>
      <c r="BM219" s="686" t="s">
        <v>1325</v>
      </c>
    </row>
    <row r="220" spans="1:65" s="756" customFormat="1" ht="11.25">
      <c r="B220" s="757"/>
      <c r="C220" s="758"/>
      <c r="D220" s="759" t="s">
        <v>1143</v>
      </c>
      <c r="E220" s="760" t="s">
        <v>1043</v>
      </c>
      <c r="F220" s="761" t="s">
        <v>1301</v>
      </c>
      <c r="G220" s="758"/>
      <c r="H220" s="760" t="s">
        <v>1043</v>
      </c>
      <c r="I220" s="758"/>
      <c r="J220" s="758"/>
      <c r="K220" s="758"/>
      <c r="L220" s="758"/>
      <c r="M220" s="762"/>
      <c r="N220" s="763"/>
      <c r="O220" s="764"/>
      <c r="P220" s="764"/>
      <c r="Q220" s="764"/>
      <c r="R220" s="764"/>
      <c r="S220" s="764"/>
      <c r="T220" s="764"/>
      <c r="U220" s="764"/>
      <c r="V220" s="764"/>
      <c r="W220" s="764"/>
      <c r="X220" s="765"/>
      <c r="AT220" s="766" t="s">
        <v>1143</v>
      </c>
      <c r="AU220" s="766" t="s">
        <v>795</v>
      </c>
      <c r="AV220" s="756" t="s">
        <v>791</v>
      </c>
      <c r="AW220" s="756" t="s">
        <v>1145</v>
      </c>
      <c r="AX220" s="756" t="s">
        <v>788</v>
      </c>
      <c r="AY220" s="766" t="s">
        <v>1063</v>
      </c>
    </row>
    <row r="221" spans="1:65" s="767" customFormat="1" ht="11.25">
      <c r="B221" s="768"/>
      <c r="C221" s="769"/>
      <c r="D221" s="759" t="s">
        <v>1143</v>
      </c>
      <c r="E221" s="770" t="s">
        <v>1043</v>
      </c>
      <c r="F221" s="771" t="s">
        <v>987</v>
      </c>
      <c r="G221" s="769"/>
      <c r="H221" s="772">
        <v>3</v>
      </c>
      <c r="I221" s="769"/>
      <c r="J221" s="769"/>
      <c r="K221" s="769"/>
      <c r="L221" s="769"/>
      <c r="M221" s="773"/>
      <c r="N221" s="774"/>
      <c r="O221" s="775"/>
      <c r="P221" s="775"/>
      <c r="Q221" s="775"/>
      <c r="R221" s="775"/>
      <c r="S221" s="775"/>
      <c r="T221" s="775"/>
      <c r="U221" s="775"/>
      <c r="V221" s="775"/>
      <c r="W221" s="775"/>
      <c r="X221" s="776"/>
      <c r="AT221" s="777" t="s">
        <v>1143</v>
      </c>
      <c r="AU221" s="777" t="s">
        <v>795</v>
      </c>
      <c r="AV221" s="767" t="s">
        <v>795</v>
      </c>
      <c r="AW221" s="767" t="s">
        <v>1145</v>
      </c>
      <c r="AX221" s="767" t="s">
        <v>788</v>
      </c>
      <c r="AY221" s="777" t="s">
        <v>1063</v>
      </c>
    </row>
    <row r="222" spans="1:65" s="778" customFormat="1" ht="11.25">
      <c r="B222" s="779"/>
      <c r="C222" s="780"/>
      <c r="D222" s="759" t="s">
        <v>1143</v>
      </c>
      <c r="E222" s="781" t="s">
        <v>1043</v>
      </c>
      <c r="F222" s="782" t="s">
        <v>1153</v>
      </c>
      <c r="G222" s="780"/>
      <c r="H222" s="783">
        <v>3</v>
      </c>
      <c r="I222" s="780"/>
      <c r="J222" s="780"/>
      <c r="K222" s="780"/>
      <c r="L222" s="780"/>
      <c r="M222" s="784"/>
      <c r="N222" s="785"/>
      <c r="O222" s="786"/>
      <c r="P222" s="786"/>
      <c r="Q222" s="786"/>
      <c r="R222" s="786"/>
      <c r="S222" s="786"/>
      <c r="T222" s="786"/>
      <c r="U222" s="786"/>
      <c r="V222" s="786"/>
      <c r="W222" s="786"/>
      <c r="X222" s="787"/>
      <c r="AT222" s="788" t="s">
        <v>1143</v>
      </c>
      <c r="AU222" s="788" t="s">
        <v>795</v>
      </c>
      <c r="AV222" s="778" t="s">
        <v>1065</v>
      </c>
      <c r="AW222" s="778" t="s">
        <v>1145</v>
      </c>
      <c r="AX222" s="778" t="s">
        <v>791</v>
      </c>
      <c r="AY222" s="788" t="s">
        <v>1063</v>
      </c>
    </row>
    <row r="223" spans="1:65" s="634" customFormat="1" ht="21.75" customHeight="1">
      <c r="A223" s="705"/>
      <c r="B223" s="706"/>
      <c r="C223" s="789" t="s">
        <v>1326</v>
      </c>
      <c r="D223" s="789" t="s">
        <v>83</v>
      </c>
      <c r="E223" s="790" t="s">
        <v>1327</v>
      </c>
      <c r="F223" s="791" t="s">
        <v>1328</v>
      </c>
      <c r="G223" s="792" t="s">
        <v>19</v>
      </c>
      <c r="H223" s="793">
        <v>3</v>
      </c>
      <c r="I223" s="794"/>
      <c r="J223" s="795"/>
      <c r="K223" s="794">
        <f>ROUND(P223*H223,2)</f>
        <v>0</v>
      </c>
      <c r="L223" s="795"/>
      <c r="M223" s="701"/>
      <c r="N223" s="796" t="s">
        <v>1043</v>
      </c>
      <c r="O223" s="752" t="s">
        <v>1129</v>
      </c>
      <c r="P223" s="753">
        <f>I223+J223</f>
        <v>0</v>
      </c>
      <c r="Q223" s="753">
        <f>ROUND(I223*H223,2)</f>
        <v>0</v>
      </c>
      <c r="R223" s="753">
        <f>ROUND(J223*H223,2)</f>
        <v>0</v>
      </c>
      <c r="S223" s="754">
        <v>0</v>
      </c>
      <c r="T223" s="754">
        <f>S223*H223</f>
        <v>0</v>
      </c>
      <c r="U223" s="754">
        <v>6.0999999999999997E-4</v>
      </c>
      <c r="V223" s="754">
        <f>U223*H223</f>
        <v>1.83E-3</v>
      </c>
      <c r="W223" s="754">
        <v>0</v>
      </c>
      <c r="X223" s="755">
        <f>W223*H223</f>
        <v>0</v>
      </c>
      <c r="Y223" s="705"/>
      <c r="Z223" s="705"/>
      <c r="AA223" s="705"/>
      <c r="AB223" s="705"/>
      <c r="AC223" s="705"/>
      <c r="AD223" s="705"/>
      <c r="AE223" s="705"/>
      <c r="AR223" s="686" t="s">
        <v>1190</v>
      </c>
      <c r="AT223" s="686" t="s">
        <v>83</v>
      </c>
      <c r="AU223" s="686" t="s">
        <v>795</v>
      </c>
      <c r="AY223" s="629" t="s">
        <v>1063</v>
      </c>
      <c r="BE223" s="687">
        <f>IF(O223="základná",K223,0)</f>
        <v>0</v>
      </c>
      <c r="BF223" s="687">
        <f>IF(O223="znížená",K223,0)</f>
        <v>0</v>
      </c>
      <c r="BG223" s="687">
        <f>IF(O223="zákl. prenesená",K223,0)</f>
        <v>0</v>
      </c>
      <c r="BH223" s="687">
        <f>IF(O223="zníž. prenesená",K223,0)</f>
        <v>0</v>
      </c>
      <c r="BI223" s="687">
        <f>IF(O223="nulová",K223,0)</f>
        <v>0</v>
      </c>
      <c r="BJ223" s="629" t="s">
        <v>795</v>
      </c>
      <c r="BK223" s="687">
        <f>ROUND(P223*H223,2)</f>
        <v>0</v>
      </c>
      <c r="BL223" s="629" t="s">
        <v>1185</v>
      </c>
      <c r="BM223" s="686" t="s">
        <v>1329</v>
      </c>
    </row>
    <row r="224" spans="1:65" s="756" customFormat="1" ht="11.25">
      <c r="B224" s="757"/>
      <c r="C224" s="758"/>
      <c r="D224" s="759" t="s">
        <v>1143</v>
      </c>
      <c r="E224" s="760" t="s">
        <v>1043</v>
      </c>
      <c r="F224" s="761" t="s">
        <v>1301</v>
      </c>
      <c r="G224" s="758"/>
      <c r="H224" s="760" t="s">
        <v>1043</v>
      </c>
      <c r="I224" s="758"/>
      <c r="J224" s="758"/>
      <c r="K224" s="758"/>
      <c r="L224" s="758"/>
      <c r="M224" s="762"/>
      <c r="N224" s="763"/>
      <c r="O224" s="764"/>
      <c r="P224" s="764"/>
      <c r="Q224" s="764"/>
      <c r="R224" s="764"/>
      <c r="S224" s="764"/>
      <c r="T224" s="764"/>
      <c r="U224" s="764"/>
      <c r="V224" s="764"/>
      <c r="W224" s="764"/>
      <c r="X224" s="765"/>
      <c r="AT224" s="766" t="s">
        <v>1143</v>
      </c>
      <c r="AU224" s="766" t="s">
        <v>795</v>
      </c>
      <c r="AV224" s="756" t="s">
        <v>791</v>
      </c>
      <c r="AW224" s="756" t="s">
        <v>1145</v>
      </c>
      <c r="AX224" s="756" t="s">
        <v>788</v>
      </c>
      <c r="AY224" s="766" t="s">
        <v>1063</v>
      </c>
    </row>
    <row r="225" spans="1:65" s="767" customFormat="1" ht="11.25">
      <c r="B225" s="768"/>
      <c r="C225" s="769"/>
      <c r="D225" s="759" t="s">
        <v>1143</v>
      </c>
      <c r="E225" s="770" t="s">
        <v>1043</v>
      </c>
      <c r="F225" s="771" t="s">
        <v>987</v>
      </c>
      <c r="G225" s="769"/>
      <c r="H225" s="772">
        <v>3</v>
      </c>
      <c r="I225" s="769"/>
      <c r="J225" s="769"/>
      <c r="K225" s="769"/>
      <c r="L225" s="769"/>
      <c r="M225" s="773"/>
      <c r="N225" s="774"/>
      <c r="O225" s="775"/>
      <c r="P225" s="775"/>
      <c r="Q225" s="775"/>
      <c r="R225" s="775"/>
      <c r="S225" s="775"/>
      <c r="T225" s="775"/>
      <c r="U225" s="775"/>
      <c r="V225" s="775"/>
      <c r="W225" s="775"/>
      <c r="X225" s="776"/>
      <c r="AT225" s="777" t="s">
        <v>1143</v>
      </c>
      <c r="AU225" s="777" t="s">
        <v>795</v>
      </c>
      <c r="AV225" s="767" t="s">
        <v>795</v>
      </c>
      <c r="AW225" s="767" t="s">
        <v>1145</v>
      </c>
      <c r="AX225" s="767" t="s">
        <v>788</v>
      </c>
      <c r="AY225" s="777" t="s">
        <v>1063</v>
      </c>
    </row>
    <row r="226" spans="1:65" s="778" customFormat="1" ht="11.25">
      <c r="B226" s="779"/>
      <c r="C226" s="780"/>
      <c r="D226" s="759" t="s">
        <v>1143</v>
      </c>
      <c r="E226" s="781" t="s">
        <v>1043</v>
      </c>
      <c r="F226" s="782" t="s">
        <v>1153</v>
      </c>
      <c r="G226" s="780"/>
      <c r="H226" s="783">
        <v>3</v>
      </c>
      <c r="I226" s="780"/>
      <c r="J226" s="780"/>
      <c r="K226" s="780"/>
      <c r="L226" s="780"/>
      <c r="M226" s="784"/>
      <c r="N226" s="785"/>
      <c r="O226" s="786"/>
      <c r="P226" s="786"/>
      <c r="Q226" s="786"/>
      <c r="R226" s="786"/>
      <c r="S226" s="786"/>
      <c r="T226" s="786"/>
      <c r="U226" s="786"/>
      <c r="V226" s="786"/>
      <c r="W226" s="786"/>
      <c r="X226" s="787"/>
      <c r="AT226" s="788" t="s">
        <v>1143</v>
      </c>
      <c r="AU226" s="788" t="s">
        <v>795</v>
      </c>
      <c r="AV226" s="778" t="s">
        <v>1065</v>
      </c>
      <c r="AW226" s="778" t="s">
        <v>1145</v>
      </c>
      <c r="AX226" s="778" t="s">
        <v>791</v>
      </c>
      <c r="AY226" s="788" t="s">
        <v>1063</v>
      </c>
    </row>
    <row r="227" spans="1:65" s="634" customFormat="1" ht="21.75" customHeight="1">
      <c r="A227" s="705"/>
      <c r="B227" s="706"/>
      <c r="C227" s="744" t="s">
        <v>1330</v>
      </c>
      <c r="D227" s="744" t="s">
        <v>29</v>
      </c>
      <c r="E227" s="745" t="s">
        <v>1331</v>
      </c>
      <c r="F227" s="746" t="s">
        <v>1332</v>
      </c>
      <c r="G227" s="747" t="s">
        <v>19</v>
      </c>
      <c r="H227" s="748">
        <v>4</v>
      </c>
      <c r="I227" s="749"/>
      <c r="J227" s="749"/>
      <c r="K227" s="749">
        <f>ROUND(P227*H227,2)</f>
        <v>0</v>
      </c>
      <c r="L227" s="750"/>
      <c r="M227" s="631"/>
      <c r="N227" s="751" t="s">
        <v>1043</v>
      </c>
      <c r="O227" s="752" t="s">
        <v>1129</v>
      </c>
      <c r="P227" s="753">
        <f>I227+J227</f>
        <v>0</v>
      </c>
      <c r="Q227" s="753">
        <f>ROUND(I227*H227,2)</f>
        <v>0</v>
      </c>
      <c r="R227" s="753">
        <f>ROUND(J227*H227,2)</f>
        <v>0</v>
      </c>
      <c r="S227" s="754">
        <v>0.14899999999999999</v>
      </c>
      <c r="T227" s="754">
        <f>S227*H227</f>
        <v>0.59599999999999997</v>
      </c>
      <c r="U227" s="754">
        <v>0</v>
      </c>
      <c r="V227" s="754">
        <f>U227*H227</f>
        <v>0</v>
      </c>
      <c r="W227" s="754">
        <v>0</v>
      </c>
      <c r="X227" s="755">
        <f>W227*H227</f>
        <v>0</v>
      </c>
      <c r="Y227" s="705"/>
      <c r="Z227" s="705"/>
      <c r="AA227" s="705"/>
      <c r="AB227" s="705"/>
      <c r="AC227" s="705"/>
      <c r="AD227" s="705"/>
      <c r="AE227" s="705"/>
      <c r="AR227" s="686" t="s">
        <v>1185</v>
      </c>
      <c r="AT227" s="686" t="s">
        <v>29</v>
      </c>
      <c r="AU227" s="686" t="s">
        <v>795</v>
      </c>
      <c r="AY227" s="629" t="s">
        <v>1063</v>
      </c>
      <c r="BE227" s="687">
        <f>IF(O227="základná",K227,0)</f>
        <v>0</v>
      </c>
      <c r="BF227" s="687">
        <f>IF(O227="znížená",K227,0)</f>
        <v>0</v>
      </c>
      <c r="BG227" s="687">
        <f>IF(O227="zákl. prenesená",K227,0)</f>
        <v>0</v>
      </c>
      <c r="BH227" s="687">
        <f>IF(O227="zníž. prenesená",K227,0)</f>
        <v>0</v>
      </c>
      <c r="BI227" s="687">
        <f>IF(O227="nulová",K227,0)</f>
        <v>0</v>
      </c>
      <c r="BJ227" s="629" t="s">
        <v>795</v>
      </c>
      <c r="BK227" s="687">
        <f>ROUND(P227*H227,2)</f>
        <v>0</v>
      </c>
      <c r="BL227" s="629" t="s">
        <v>1185</v>
      </c>
      <c r="BM227" s="686" t="s">
        <v>1333</v>
      </c>
    </row>
    <row r="228" spans="1:65" s="756" customFormat="1" ht="11.25">
      <c r="B228" s="757"/>
      <c r="C228" s="758"/>
      <c r="D228" s="759" t="s">
        <v>1143</v>
      </c>
      <c r="E228" s="760" t="s">
        <v>1043</v>
      </c>
      <c r="F228" s="761" t="s">
        <v>1334</v>
      </c>
      <c r="G228" s="758"/>
      <c r="H228" s="760" t="s">
        <v>1043</v>
      </c>
      <c r="I228" s="758"/>
      <c r="J228" s="758"/>
      <c r="K228" s="758"/>
      <c r="L228" s="758"/>
      <c r="M228" s="762"/>
      <c r="N228" s="763"/>
      <c r="O228" s="764"/>
      <c r="P228" s="764"/>
      <c r="Q228" s="764"/>
      <c r="R228" s="764"/>
      <c r="S228" s="764"/>
      <c r="T228" s="764"/>
      <c r="U228" s="764"/>
      <c r="V228" s="764"/>
      <c r="W228" s="764"/>
      <c r="X228" s="765"/>
      <c r="AT228" s="766" t="s">
        <v>1143</v>
      </c>
      <c r="AU228" s="766" t="s">
        <v>795</v>
      </c>
      <c r="AV228" s="756" t="s">
        <v>791</v>
      </c>
      <c r="AW228" s="756" t="s">
        <v>1145</v>
      </c>
      <c r="AX228" s="756" t="s">
        <v>788</v>
      </c>
      <c r="AY228" s="766" t="s">
        <v>1063</v>
      </c>
    </row>
    <row r="229" spans="1:65" s="767" customFormat="1" ht="11.25">
      <c r="B229" s="768"/>
      <c r="C229" s="769"/>
      <c r="D229" s="759" t="s">
        <v>1143</v>
      </c>
      <c r="E229" s="770" t="s">
        <v>1043</v>
      </c>
      <c r="F229" s="771" t="s">
        <v>1065</v>
      </c>
      <c r="G229" s="769"/>
      <c r="H229" s="772">
        <v>4</v>
      </c>
      <c r="I229" s="769"/>
      <c r="J229" s="769"/>
      <c r="K229" s="769"/>
      <c r="L229" s="769"/>
      <c r="M229" s="773"/>
      <c r="N229" s="774"/>
      <c r="O229" s="775"/>
      <c r="P229" s="775"/>
      <c r="Q229" s="775"/>
      <c r="R229" s="775"/>
      <c r="S229" s="775"/>
      <c r="T229" s="775"/>
      <c r="U229" s="775"/>
      <c r="V229" s="775"/>
      <c r="W229" s="775"/>
      <c r="X229" s="776"/>
      <c r="AT229" s="777" t="s">
        <v>1143</v>
      </c>
      <c r="AU229" s="777" t="s">
        <v>795</v>
      </c>
      <c r="AV229" s="767" t="s">
        <v>795</v>
      </c>
      <c r="AW229" s="767" t="s">
        <v>1145</v>
      </c>
      <c r="AX229" s="767" t="s">
        <v>788</v>
      </c>
      <c r="AY229" s="777" t="s">
        <v>1063</v>
      </c>
    </row>
    <row r="230" spans="1:65" s="778" customFormat="1" ht="11.25">
      <c r="B230" s="779"/>
      <c r="C230" s="780"/>
      <c r="D230" s="759" t="s">
        <v>1143</v>
      </c>
      <c r="E230" s="781" t="s">
        <v>1043</v>
      </c>
      <c r="F230" s="782" t="s">
        <v>1153</v>
      </c>
      <c r="G230" s="780"/>
      <c r="H230" s="783">
        <v>4</v>
      </c>
      <c r="I230" s="780"/>
      <c r="J230" s="780"/>
      <c r="K230" s="780"/>
      <c r="L230" s="780"/>
      <c r="M230" s="784"/>
      <c r="N230" s="785"/>
      <c r="O230" s="786"/>
      <c r="P230" s="786"/>
      <c r="Q230" s="786"/>
      <c r="R230" s="786"/>
      <c r="S230" s="786"/>
      <c r="T230" s="786"/>
      <c r="U230" s="786"/>
      <c r="V230" s="786"/>
      <c r="W230" s="786"/>
      <c r="X230" s="787"/>
      <c r="AT230" s="788" t="s">
        <v>1143</v>
      </c>
      <c r="AU230" s="788" t="s">
        <v>795</v>
      </c>
      <c r="AV230" s="778" t="s">
        <v>1065</v>
      </c>
      <c r="AW230" s="778" t="s">
        <v>1145</v>
      </c>
      <c r="AX230" s="778" t="s">
        <v>791</v>
      </c>
      <c r="AY230" s="788" t="s">
        <v>1063</v>
      </c>
    </row>
    <row r="231" spans="1:65" s="634" customFormat="1" ht="21.75" customHeight="1">
      <c r="A231" s="705"/>
      <c r="B231" s="706"/>
      <c r="C231" s="744" t="s">
        <v>1335</v>
      </c>
      <c r="D231" s="744" t="s">
        <v>29</v>
      </c>
      <c r="E231" s="745" t="s">
        <v>1336</v>
      </c>
      <c r="F231" s="746" t="s">
        <v>1337</v>
      </c>
      <c r="G231" s="747" t="s">
        <v>19</v>
      </c>
      <c r="H231" s="748">
        <v>3</v>
      </c>
      <c r="I231" s="749"/>
      <c r="J231" s="749"/>
      <c r="K231" s="749">
        <f>ROUND(P231*H231,2)</f>
        <v>0</v>
      </c>
      <c r="L231" s="750"/>
      <c r="M231" s="631"/>
      <c r="N231" s="751" t="s">
        <v>1043</v>
      </c>
      <c r="O231" s="752" t="s">
        <v>1129</v>
      </c>
      <c r="P231" s="753">
        <f>I231+J231</f>
        <v>0</v>
      </c>
      <c r="Q231" s="753">
        <f>ROUND(I231*H231,2)</f>
        <v>0</v>
      </c>
      <c r="R231" s="753">
        <f>ROUND(J231*H231,2)</f>
        <v>0</v>
      </c>
      <c r="S231" s="754">
        <v>0.16500000000000001</v>
      </c>
      <c r="T231" s="754">
        <f>S231*H231</f>
        <v>0.495</v>
      </c>
      <c r="U231" s="754">
        <v>0</v>
      </c>
      <c r="V231" s="754">
        <f>U231*H231</f>
        <v>0</v>
      </c>
      <c r="W231" s="754">
        <v>0</v>
      </c>
      <c r="X231" s="755">
        <f>W231*H231</f>
        <v>0</v>
      </c>
      <c r="Y231" s="705"/>
      <c r="Z231" s="705"/>
      <c r="AA231" s="705"/>
      <c r="AB231" s="705"/>
      <c r="AC231" s="705"/>
      <c r="AD231" s="705"/>
      <c r="AE231" s="705"/>
      <c r="AR231" s="686" t="s">
        <v>1185</v>
      </c>
      <c r="AT231" s="686" t="s">
        <v>29</v>
      </c>
      <c r="AU231" s="686" t="s">
        <v>795</v>
      </c>
      <c r="AY231" s="629" t="s">
        <v>1063</v>
      </c>
      <c r="BE231" s="687">
        <f>IF(O231="základná",K231,0)</f>
        <v>0</v>
      </c>
      <c r="BF231" s="687">
        <f>IF(O231="znížená",K231,0)</f>
        <v>0</v>
      </c>
      <c r="BG231" s="687">
        <f>IF(O231="zákl. prenesená",K231,0)</f>
        <v>0</v>
      </c>
      <c r="BH231" s="687">
        <f>IF(O231="zníž. prenesená",K231,0)</f>
        <v>0</v>
      </c>
      <c r="BI231" s="687">
        <f>IF(O231="nulová",K231,0)</f>
        <v>0</v>
      </c>
      <c r="BJ231" s="629" t="s">
        <v>795</v>
      </c>
      <c r="BK231" s="687">
        <f>ROUND(P231*H231,2)</f>
        <v>0</v>
      </c>
      <c r="BL231" s="629" t="s">
        <v>1185</v>
      </c>
      <c r="BM231" s="686" t="s">
        <v>1338</v>
      </c>
    </row>
    <row r="232" spans="1:65" s="756" customFormat="1" ht="11.25">
      <c r="B232" s="757"/>
      <c r="C232" s="758"/>
      <c r="D232" s="759" t="s">
        <v>1143</v>
      </c>
      <c r="E232" s="760" t="s">
        <v>1043</v>
      </c>
      <c r="F232" s="761" t="s">
        <v>1339</v>
      </c>
      <c r="G232" s="758"/>
      <c r="H232" s="760" t="s">
        <v>1043</v>
      </c>
      <c r="I232" s="758"/>
      <c r="J232" s="758"/>
      <c r="K232" s="758"/>
      <c r="L232" s="758"/>
      <c r="M232" s="762"/>
      <c r="N232" s="763"/>
      <c r="O232" s="764"/>
      <c r="P232" s="764"/>
      <c r="Q232" s="764"/>
      <c r="R232" s="764"/>
      <c r="S232" s="764"/>
      <c r="T232" s="764"/>
      <c r="U232" s="764"/>
      <c r="V232" s="764"/>
      <c r="W232" s="764"/>
      <c r="X232" s="765"/>
      <c r="AT232" s="766" t="s">
        <v>1143</v>
      </c>
      <c r="AU232" s="766" t="s">
        <v>795</v>
      </c>
      <c r="AV232" s="756" t="s">
        <v>791</v>
      </c>
      <c r="AW232" s="756" t="s">
        <v>1145</v>
      </c>
      <c r="AX232" s="756" t="s">
        <v>788</v>
      </c>
      <c r="AY232" s="766" t="s">
        <v>1063</v>
      </c>
    </row>
    <row r="233" spans="1:65" s="767" customFormat="1" ht="11.25">
      <c r="B233" s="768"/>
      <c r="C233" s="769"/>
      <c r="D233" s="759" t="s">
        <v>1143</v>
      </c>
      <c r="E233" s="770" t="s">
        <v>1043</v>
      </c>
      <c r="F233" s="771" t="s">
        <v>791</v>
      </c>
      <c r="G233" s="769"/>
      <c r="H233" s="772">
        <v>1</v>
      </c>
      <c r="I233" s="769"/>
      <c r="J233" s="769"/>
      <c r="K233" s="769"/>
      <c r="L233" s="769"/>
      <c r="M233" s="773"/>
      <c r="N233" s="774"/>
      <c r="O233" s="775"/>
      <c r="P233" s="775"/>
      <c r="Q233" s="775"/>
      <c r="R233" s="775"/>
      <c r="S233" s="775"/>
      <c r="T233" s="775"/>
      <c r="U233" s="775"/>
      <c r="V233" s="775"/>
      <c r="W233" s="775"/>
      <c r="X233" s="776"/>
      <c r="AT233" s="777" t="s">
        <v>1143</v>
      </c>
      <c r="AU233" s="777" t="s">
        <v>795</v>
      </c>
      <c r="AV233" s="767" t="s">
        <v>795</v>
      </c>
      <c r="AW233" s="767" t="s">
        <v>1145</v>
      </c>
      <c r="AX233" s="767" t="s">
        <v>788</v>
      </c>
      <c r="AY233" s="777" t="s">
        <v>1063</v>
      </c>
    </row>
    <row r="234" spans="1:65" s="756" customFormat="1" ht="11.25">
      <c r="B234" s="757"/>
      <c r="C234" s="758"/>
      <c r="D234" s="759" t="s">
        <v>1143</v>
      </c>
      <c r="E234" s="760" t="s">
        <v>1043</v>
      </c>
      <c r="F234" s="761" t="s">
        <v>1340</v>
      </c>
      <c r="G234" s="758"/>
      <c r="H234" s="760" t="s">
        <v>1043</v>
      </c>
      <c r="I234" s="758"/>
      <c r="J234" s="758"/>
      <c r="K234" s="758"/>
      <c r="L234" s="758"/>
      <c r="M234" s="762"/>
      <c r="N234" s="763"/>
      <c r="O234" s="764"/>
      <c r="P234" s="764"/>
      <c r="Q234" s="764"/>
      <c r="R234" s="764"/>
      <c r="S234" s="764"/>
      <c r="T234" s="764"/>
      <c r="U234" s="764"/>
      <c r="V234" s="764"/>
      <c r="W234" s="764"/>
      <c r="X234" s="765"/>
      <c r="AT234" s="766" t="s">
        <v>1143</v>
      </c>
      <c r="AU234" s="766" t="s">
        <v>795</v>
      </c>
      <c r="AV234" s="756" t="s">
        <v>791</v>
      </c>
      <c r="AW234" s="756" t="s">
        <v>1145</v>
      </c>
      <c r="AX234" s="756" t="s">
        <v>788</v>
      </c>
      <c r="AY234" s="766" t="s">
        <v>1063</v>
      </c>
    </row>
    <row r="235" spans="1:65" s="767" customFormat="1" ht="11.25">
      <c r="B235" s="768"/>
      <c r="C235" s="769"/>
      <c r="D235" s="759" t="s">
        <v>1143</v>
      </c>
      <c r="E235" s="770" t="s">
        <v>1043</v>
      </c>
      <c r="F235" s="771" t="s">
        <v>795</v>
      </c>
      <c r="G235" s="769"/>
      <c r="H235" s="772">
        <v>2</v>
      </c>
      <c r="I235" s="769"/>
      <c r="J235" s="769"/>
      <c r="K235" s="769"/>
      <c r="L235" s="769"/>
      <c r="M235" s="773"/>
      <c r="N235" s="774"/>
      <c r="O235" s="775"/>
      <c r="P235" s="775"/>
      <c r="Q235" s="775"/>
      <c r="R235" s="775"/>
      <c r="S235" s="775"/>
      <c r="T235" s="775"/>
      <c r="U235" s="775"/>
      <c r="V235" s="775"/>
      <c r="W235" s="775"/>
      <c r="X235" s="776"/>
      <c r="AT235" s="777" t="s">
        <v>1143</v>
      </c>
      <c r="AU235" s="777" t="s">
        <v>795</v>
      </c>
      <c r="AV235" s="767" t="s">
        <v>795</v>
      </c>
      <c r="AW235" s="767" t="s">
        <v>1145</v>
      </c>
      <c r="AX235" s="767" t="s">
        <v>788</v>
      </c>
      <c r="AY235" s="777" t="s">
        <v>1063</v>
      </c>
    </row>
    <row r="236" spans="1:65" s="778" customFormat="1" ht="11.25">
      <c r="B236" s="779"/>
      <c r="C236" s="780"/>
      <c r="D236" s="759" t="s">
        <v>1143</v>
      </c>
      <c r="E236" s="781" t="s">
        <v>1043</v>
      </c>
      <c r="F236" s="782" t="s">
        <v>1153</v>
      </c>
      <c r="G236" s="780"/>
      <c r="H236" s="783">
        <v>3</v>
      </c>
      <c r="I236" s="780"/>
      <c r="J236" s="780"/>
      <c r="K236" s="780"/>
      <c r="L236" s="780"/>
      <c r="M236" s="784"/>
      <c r="N236" s="785"/>
      <c r="O236" s="786"/>
      <c r="P236" s="786"/>
      <c r="Q236" s="786"/>
      <c r="R236" s="786"/>
      <c r="S236" s="786"/>
      <c r="T236" s="786"/>
      <c r="U236" s="786"/>
      <c r="V236" s="786"/>
      <c r="W236" s="786"/>
      <c r="X236" s="787"/>
      <c r="AT236" s="788" t="s">
        <v>1143</v>
      </c>
      <c r="AU236" s="788" t="s">
        <v>795</v>
      </c>
      <c r="AV236" s="778" t="s">
        <v>1065</v>
      </c>
      <c r="AW236" s="778" t="s">
        <v>1145</v>
      </c>
      <c r="AX236" s="778" t="s">
        <v>791</v>
      </c>
      <c r="AY236" s="788" t="s">
        <v>1063</v>
      </c>
    </row>
    <row r="237" spans="1:65" s="634" customFormat="1" ht="21.75" customHeight="1">
      <c r="A237" s="705"/>
      <c r="B237" s="706"/>
      <c r="C237" s="744" t="s">
        <v>1341</v>
      </c>
      <c r="D237" s="744" t="s">
        <v>29</v>
      </c>
      <c r="E237" s="745" t="s">
        <v>1342</v>
      </c>
      <c r="F237" s="746" t="s">
        <v>1343</v>
      </c>
      <c r="G237" s="747" t="s">
        <v>19</v>
      </c>
      <c r="H237" s="748">
        <v>5</v>
      </c>
      <c r="I237" s="749"/>
      <c r="J237" s="749"/>
      <c r="K237" s="749">
        <f>ROUND(P237*H237,2)</f>
        <v>0</v>
      </c>
      <c r="L237" s="750"/>
      <c r="M237" s="631"/>
      <c r="N237" s="751" t="s">
        <v>1043</v>
      </c>
      <c r="O237" s="752" t="s">
        <v>1129</v>
      </c>
      <c r="P237" s="753">
        <f>I237+J237</f>
        <v>0</v>
      </c>
      <c r="Q237" s="753">
        <f>ROUND(I237*H237,2)</f>
        <v>0</v>
      </c>
      <c r="R237" s="753">
        <f>ROUND(J237*H237,2)</f>
        <v>0</v>
      </c>
      <c r="S237" s="754">
        <v>0.24399999999999999</v>
      </c>
      <c r="T237" s="754">
        <f>S237*H237</f>
        <v>1.22</v>
      </c>
      <c r="U237" s="754">
        <v>0</v>
      </c>
      <c r="V237" s="754">
        <f>U237*H237</f>
        <v>0</v>
      </c>
      <c r="W237" s="754">
        <v>0</v>
      </c>
      <c r="X237" s="755">
        <f>W237*H237</f>
        <v>0</v>
      </c>
      <c r="Y237" s="705"/>
      <c r="Z237" s="705"/>
      <c r="AA237" s="705"/>
      <c r="AB237" s="705"/>
      <c r="AC237" s="705"/>
      <c r="AD237" s="705"/>
      <c r="AE237" s="705"/>
      <c r="AR237" s="686" t="s">
        <v>1185</v>
      </c>
      <c r="AT237" s="686" t="s">
        <v>29</v>
      </c>
      <c r="AU237" s="686" t="s">
        <v>795</v>
      </c>
      <c r="AY237" s="629" t="s">
        <v>1063</v>
      </c>
      <c r="BE237" s="687">
        <f>IF(O237="základná",K237,0)</f>
        <v>0</v>
      </c>
      <c r="BF237" s="687">
        <f>IF(O237="znížená",K237,0)</f>
        <v>0</v>
      </c>
      <c r="BG237" s="687">
        <f>IF(O237="zákl. prenesená",K237,0)</f>
        <v>0</v>
      </c>
      <c r="BH237" s="687">
        <f>IF(O237="zníž. prenesená",K237,0)</f>
        <v>0</v>
      </c>
      <c r="BI237" s="687">
        <f>IF(O237="nulová",K237,0)</f>
        <v>0</v>
      </c>
      <c r="BJ237" s="629" t="s">
        <v>795</v>
      </c>
      <c r="BK237" s="687">
        <f>ROUND(P237*H237,2)</f>
        <v>0</v>
      </c>
      <c r="BL237" s="629" t="s">
        <v>1185</v>
      </c>
      <c r="BM237" s="686" t="s">
        <v>1344</v>
      </c>
    </row>
    <row r="238" spans="1:65" s="756" customFormat="1" ht="11.25">
      <c r="B238" s="757"/>
      <c r="C238" s="758"/>
      <c r="D238" s="759" t="s">
        <v>1143</v>
      </c>
      <c r="E238" s="760" t="s">
        <v>1043</v>
      </c>
      <c r="F238" s="761" t="s">
        <v>1345</v>
      </c>
      <c r="G238" s="758"/>
      <c r="H238" s="760" t="s">
        <v>1043</v>
      </c>
      <c r="I238" s="758"/>
      <c r="J238" s="758"/>
      <c r="K238" s="758"/>
      <c r="L238" s="758"/>
      <c r="M238" s="762"/>
      <c r="N238" s="763"/>
      <c r="O238" s="764"/>
      <c r="P238" s="764"/>
      <c r="Q238" s="764"/>
      <c r="R238" s="764"/>
      <c r="S238" s="764"/>
      <c r="T238" s="764"/>
      <c r="U238" s="764"/>
      <c r="V238" s="764"/>
      <c r="W238" s="764"/>
      <c r="X238" s="765"/>
      <c r="AT238" s="766" t="s">
        <v>1143</v>
      </c>
      <c r="AU238" s="766" t="s">
        <v>795</v>
      </c>
      <c r="AV238" s="756" t="s">
        <v>791</v>
      </c>
      <c r="AW238" s="756" t="s">
        <v>1145</v>
      </c>
      <c r="AX238" s="756" t="s">
        <v>788</v>
      </c>
      <c r="AY238" s="766" t="s">
        <v>1063</v>
      </c>
    </row>
    <row r="239" spans="1:65" s="767" customFormat="1" ht="11.25">
      <c r="B239" s="768"/>
      <c r="C239" s="769"/>
      <c r="D239" s="759" t="s">
        <v>1143</v>
      </c>
      <c r="E239" s="770" t="s">
        <v>1043</v>
      </c>
      <c r="F239" s="771" t="s">
        <v>1346</v>
      </c>
      <c r="G239" s="769"/>
      <c r="H239" s="772">
        <v>5</v>
      </c>
      <c r="I239" s="769"/>
      <c r="J239" s="769"/>
      <c r="K239" s="769"/>
      <c r="L239" s="769"/>
      <c r="M239" s="773"/>
      <c r="N239" s="774"/>
      <c r="O239" s="775"/>
      <c r="P239" s="775"/>
      <c r="Q239" s="775"/>
      <c r="R239" s="775"/>
      <c r="S239" s="775"/>
      <c r="T239" s="775"/>
      <c r="U239" s="775"/>
      <c r="V239" s="775"/>
      <c r="W239" s="775"/>
      <c r="X239" s="776"/>
      <c r="AT239" s="777" t="s">
        <v>1143</v>
      </c>
      <c r="AU239" s="777" t="s">
        <v>795</v>
      </c>
      <c r="AV239" s="767" t="s">
        <v>795</v>
      </c>
      <c r="AW239" s="767" t="s">
        <v>1145</v>
      </c>
      <c r="AX239" s="767" t="s">
        <v>788</v>
      </c>
      <c r="AY239" s="777" t="s">
        <v>1063</v>
      </c>
    </row>
    <row r="240" spans="1:65" s="778" customFormat="1" ht="11.25">
      <c r="B240" s="779"/>
      <c r="C240" s="780"/>
      <c r="D240" s="759" t="s">
        <v>1143</v>
      </c>
      <c r="E240" s="781" t="s">
        <v>1043</v>
      </c>
      <c r="F240" s="782" t="s">
        <v>1153</v>
      </c>
      <c r="G240" s="780"/>
      <c r="H240" s="783">
        <v>5</v>
      </c>
      <c r="I240" s="780"/>
      <c r="J240" s="780"/>
      <c r="K240" s="780"/>
      <c r="L240" s="780"/>
      <c r="M240" s="784"/>
      <c r="N240" s="785"/>
      <c r="O240" s="786"/>
      <c r="P240" s="786"/>
      <c r="Q240" s="786"/>
      <c r="R240" s="786"/>
      <c r="S240" s="786"/>
      <c r="T240" s="786"/>
      <c r="U240" s="786"/>
      <c r="V240" s="786"/>
      <c r="W240" s="786"/>
      <c r="X240" s="787"/>
      <c r="AT240" s="788" t="s">
        <v>1143</v>
      </c>
      <c r="AU240" s="788" t="s">
        <v>795</v>
      </c>
      <c r="AV240" s="778" t="s">
        <v>1065</v>
      </c>
      <c r="AW240" s="778" t="s">
        <v>1145</v>
      </c>
      <c r="AX240" s="778" t="s">
        <v>791</v>
      </c>
      <c r="AY240" s="788" t="s">
        <v>1063</v>
      </c>
    </row>
    <row r="241" spans="1:65" s="634" customFormat="1" ht="21.75" customHeight="1">
      <c r="A241" s="705"/>
      <c r="B241" s="706"/>
      <c r="C241" s="744" t="s">
        <v>1347</v>
      </c>
      <c r="D241" s="744" t="s">
        <v>29</v>
      </c>
      <c r="E241" s="745" t="s">
        <v>1348</v>
      </c>
      <c r="F241" s="746" t="s">
        <v>1349</v>
      </c>
      <c r="G241" s="747" t="s">
        <v>19</v>
      </c>
      <c r="H241" s="748">
        <v>2</v>
      </c>
      <c r="I241" s="749"/>
      <c r="J241" s="749"/>
      <c r="K241" s="749">
        <f>ROUND(P241*H241,2)</f>
        <v>0</v>
      </c>
      <c r="L241" s="750"/>
      <c r="M241" s="631"/>
      <c r="N241" s="751" t="s">
        <v>1043</v>
      </c>
      <c r="O241" s="752" t="s">
        <v>1129</v>
      </c>
      <c r="P241" s="753">
        <f>I241+J241</f>
        <v>0</v>
      </c>
      <c r="Q241" s="753">
        <f>ROUND(I241*H241,2)</f>
        <v>0</v>
      </c>
      <c r="R241" s="753">
        <f>ROUND(J241*H241,2)</f>
        <v>0</v>
      </c>
      <c r="S241" s="754">
        <v>0.23400000000000001</v>
      </c>
      <c r="T241" s="754">
        <f>S241*H241</f>
        <v>0.46800000000000003</v>
      </c>
      <c r="U241" s="754">
        <v>4.6000000000000001E-4</v>
      </c>
      <c r="V241" s="754">
        <f>U241*H241</f>
        <v>9.2000000000000003E-4</v>
      </c>
      <c r="W241" s="754">
        <v>0</v>
      </c>
      <c r="X241" s="755">
        <f>W241*H241</f>
        <v>0</v>
      </c>
      <c r="Y241" s="705"/>
      <c r="Z241" s="705"/>
      <c r="AA241" s="705"/>
      <c r="AB241" s="705"/>
      <c r="AC241" s="705"/>
      <c r="AD241" s="705"/>
      <c r="AE241" s="705"/>
      <c r="AR241" s="686" t="s">
        <v>1065</v>
      </c>
      <c r="AT241" s="686" t="s">
        <v>29</v>
      </c>
      <c r="AU241" s="686" t="s">
        <v>795</v>
      </c>
      <c r="AY241" s="629" t="s">
        <v>1063</v>
      </c>
      <c r="BE241" s="687">
        <f>IF(O241="základná",K241,0)</f>
        <v>0</v>
      </c>
      <c r="BF241" s="687">
        <f>IF(O241="znížená",K241,0)</f>
        <v>0</v>
      </c>
      <c r="BG241" s="687">
        <f>IF(O241="zákl. prenesená",K241,0)</f>
        <v>0</v>
      </c>
      <c r="BH241" s="687">
        <f>IF(O241="zníž. prenesená",K241,0)</f>
        <v>0</v>
      </c>
      <c r="BI241" s="687">
        <f>IF(O241="nulová",K241,0)</f>
        <v>0</v>
      </c>
      <c r="BJ241" s="629" t="s">
        <v>795</v>
      </c>
      <c r="BK241" s="687">
        <f>ROUND(P241*H241,2)</f>
        <v>0</v>
      </c>
      <c r="BL241" s="629" t="s">
        <v>1065</v>
      </c>
      <c r="BM241" s="686" t="s">
        <v>1350</v>
      </c>
    </row>
    <row r="242" spans="1:65" s="756" customFormat="1" ht="11.25">
      <c r="B242" s="757"/>
      <c r="C242" s="758"/>
      <c r="D242" s="759" t="s">
        <v>1143</v>
      </c>
      <c r="E242" s="760" t="s">
        <v>1043</v>
      </c>
      <c r="F242" s="761" t="s">
        <v>1148</v>
      </c>
      <c r="G242" s="758"/>
      <c r="H242" s="760" t="s">
        <v>1043</v>
      </c>
      <c r="I242" s="758"/>
      <c r="J242" s="758"/>
      <c r="K242" s="758"/>
      <c r="L242" s="758"/>
      <c r="M242" s="762"/>
      <c r="N242" s="763"/>
      <c r="O242" s="764"/>
      <c r="P242" s="764"/>
      <c r="Q242" s="764"/>
      <c r="R242" s="764"/>
      <c r="S242" s="764"/>
      <c r="T242" s="764"/>
      <c r="U242" s="764"/>
      <c r="V242" s="764"/>
      <c r="W242" s="764"/>
      <c r="X242" s="765"/>
      <c r="AT242" s="766" t="s">
        <v>1143</v>
      </c>
      <c r="AU242" s="766" t="s">
        <v>795</v>
      </c>
      <c r="AV242" s="756" t="s">
        <v>791</v>
      </c>
      <c r="AW242" s="756" t="s">
        <v>1145</v>
      </c>
      <c r="AX242" s="756" t="s">
        <v>788</v>
      </c>
      <c r="AY242" s="766" t="s">
        <v>1063</v>
      </c>
    </row>
    <row r="243" spans="1:65" s="767" customFormat="1" ht="11.25">
      <c r="B243" s="768"/>
      <c r="C243" s="769"/>
      <c r="D243" s="759" t="s">
        <v>1143</v>
      </c>
      <c r="E243" s="770" t="s">
        <v>1043</v>
      </c>
      <c r="F243" s="771" t="s">
        <v>795</v>
      </c>
      <c r="G243" s="769"/>
      <c r="H243" s="772">
        <v>2</v>
      </c>
      <c r="I243" s="769"/>
      <c r="J243" s="769"/>
      <c r="K243" s="769"/>
      <c r="L243" s="769"/>
      <c r="M243" s="773"/>
      <c r="N243" s="774"/>
      <c r="O243" s="775"/>
      <c r="P243" s="775"/>
      <c r="Q243" s="775"/>
      <c r="R243" s="775"/>
      <c r="S243" s="775"/>
      <c r="T243" s="775"/>
      <c r="U243" s="775"/>
      <c r="V243" s="775"/>
      <c r="W243" s="775"/>
      <c r="X243" s="776"/>
      <c r="AT243" s="777" t="s">
        <v>1143</v>
      </c>
      <c r="AU243" s="777" t="s">
        <v>795</v>
      </c>
      <c r="AV243" s="767" t="s">
        <v>795</v>
      </c>
      <c r="AW243" s="767" t="s">
        <v>1145</v>
      </c>
      <c r="AX243" s="767" t="s">
        <v>788</v>
      </c>
      <c r="AY243" s="777" t="s">
        <v>1063</v>
      </c>
    </row>
    <row r="244" spans="1:65" s="778" customFormat="1" ht="11.25">
      <c r="B244" s="779"/>
      <c r="C244" s="780"/>
      <c r="D244" s="759" t="s">
        <v>1143</v>
      </c>
      <c r="E244" s="781" t="s">
        <v>1043</v>
      </c>
      <c r="F244" s="782" t="s">
        <v>1153</v>
      </c>
      <c r="G244" s="780"/>
      <c r="H244" s="783">
        <v>2</v>
      </c>
      <c r="I244" s="780"/>
      <c r="J244" s="780"/>
      <c r="K244" s="780"/>
      <c r="L244" s="780"/>
      <c r="M244" s="784"/>
      <c r="N244" s="785"/>
      <c r="O244" s="786"/>
      <c r="P244" s="786"/>
      <c r="Q244" s="786"/>
      <c r="R244" s="786"/>
      <c r="S244" s="786"/>
      <c r="T244" s="786"/>
      <c r="U244" s="786"/>
      <c r="V244" s="786"/>
      <c r="W244" s="786"/>
      <c r="X244" s="787"/>
      <c r="AT244" s="788" t="s">
        <v>1143</v>
      </c>
      <c r="AU244" s="788" t="s">
        <v>795</v>
      </c>
      <c r="AV244" s="778" t="s">
        <v>1065</v>
      </c>
      <c r="AW244" s="778" t="s">
        <v>1145</v>
      </c>
      <c r="AX244" s="778" t="s">
        <v>791</v>
      </c>
      <c r="AY244" s="788" t="s">
        <v>1063</v>
      </c>
    </row>
    <row r="245" spans="1:65" s="634" customFormat="1" ht="44.25" customHeight="1">
      <c r="A245" s="705"/>
      <c r="B245" s="706"/>
      <c r="C245" s="789" t="s">
        <v>1351</v>
      </c>
      <c r="D245" s="789" t="s">
        <v>83</v>
      </c>
      <c r="E245" s="790" t="s">
        <v>1352</v>
      </c>
      <c r="F245" s="791" t="s">
        <v>1353</v>
      </c>
      <c r="G245" s="792" t="s">
        <v>19</v>
      </c>
      <c r="H245" s="793">
        <v>2</v>
      </c>
      <c r="I245" s="794"/>
      <c r="J245" s="795"/>
      <c r="K245" s="794">
        <f>ROUND(P245*H245,2)</f>
        <v>0</v>
      </c>
      <c r="L245" s="795"/>
      <c r="M245" s="701"/>
      <c r="N245" s="796" t="s">
        <v>1043</v>
      </c>
      <c r="O245" s="752" t="s">
        <v>1129</v>
      </c>
      <c r="P245" s="753">
        <f>I245+J245</f>
        <v>0</v>
      </c>
      <c r="Q245" s="753">
        <f>ROUND(I245*H245,2)</f>
        <v>0</v>
      </c>
      <c r="R245" s="753">
        <f>ROUND(J245*H245,2)</f>
        <v>0</v>
      </c>
      <c r="S245" s="754">
        <v>0</v>
      </c>
      <c r="T245" s="754">
        <f>S245*H245</f>
        <v>0</v>
      </c>
      <c r="U245" s="754">
        <v>3.0799999999999998E-3</v>
      </c>
      <c r="V245" s="754">
        <f>U245*H245</f>
        <v>6.1599999999999997E-3</v>
      </c>
      <c r="W245" s="754">
        <v>0</v>
      </c>
      <c r="X245" s="755">
        <f>W245*H245</f>
        <v>0</v>
      </c>
      <c r="Y245" s="705"/>
      <c r="Z245" s="705"/>
      <c r="AA245" s="705"/>
      <c r="AB245" s="705"/>
      <c r="AC245" s="705"/>
      <c r="AD245" s="705"/>
      <c r="AE245" s="705"/>
      <c r="AR245" s="686" t="s">
        <v>1071</v>
      </c>
      <c r="AT245" s="686" t="s">
        <v>83</v>
      </c>
      <c r="AU245" s="686" t="s">
        <v>795</v>
      </c>
      <c r="AY245" s="629" t="s">
        <v>1063</v>
      </c>
      <c r="BE245" s="687">
        <f>IF(O245="základná",K245,0)</f>
        <v>0</v>
      </c>
      <c r="BF245" s="687">
        <f>IF(O245="znížená",K245,0)</f>
        <v>0</v>
      </c>
      <c r="BG245" s="687">
        <f>IF(O245="zákl. prenesená",K245,0)</f>
        <v>0</v>
      </c>
      <c r="BH245" s="687">
        <f>IF(O245="zníž. prenesená",K245,0)</f>
        <v>0</v>
      </c>
      <c r="BI245" s="687">
        <f>IF(O245="nulová",K245,0)</f>
        <v>0</v>
      </c>
      <c r="BJ245" s="629" t="s">
        <v>795</v>
      </c>
      <c r="BK245" s="687">
        <f>ROUND(P245*H245,2)</f>
        <v>0</v>
      </c>
      <c r="BL245" s="629" t="s">
        <v>1065</v>
      </c>
      <c r="BM245" s="686" t="s">
        <v>1354</v>
      </c>
    </row>
    <row r="246" spans="1:65" s="756" customFormat="1" ht="11.25">
      <c r="B246" s="757"/>
      <c r="C246" s="758"/>
      <c r="D246" s="759" t="s">
        <v>1143</v>
      </c>
      <c r="E246" s="760" t="s">
        <v>1043</v>
      </c>
      <c r="F246" s="761" t="s">
        <v>1148</v>
      </c>
      <c r="G246" s="758"/>
      <c r="H246" s="760" t="s">
        <v>1043</v>
      </c>
      <c r="I246" s="758"/>
      <c r="J246" s="758"/>
      <c r="K246" s="758"/>
      <c r="L246" s="758"/>
      <c r="M246" s="762"/>
      <c r="N246" s="763"/>
      <c r="O246" s="764"/>
      <c r="P246" s="764"/>
      <c r="Q246" s="764"/>
      <c r="R246" s="764"/>
      <c r="S246" s="764"/>
      <c r="T246" s="764"/>
      <c r="U246" s="764"/>
      <c r="V246" s="764"/>
      <c r="W246" s="764"/>
      <c r="X246" s="765"/>
      <c r="AT246" s="766" t="s">
        <v>1143</v>
      </c>
      <c r="AU246" s="766" t="s">
        <v>795</v>
      </c>
      <c r="AV246" s="756" t="s">
        <v>791</v>
      </c>
      <c r="AW246" s="756" t="s">
        <v>1145</v>
      </c>
      <c r="AX246" s="756" t="s">
        <v>788</v>
      </c>
      <c r="AY246" s="766" t="s">
        <v>1063</v>
      </c>
    </row>
    <row r="247" spans="1:65" s="767" customFormat="1" ht="11.25">
      <c r="B247" s="768"/>
      <c r="C247" s="769"/>
      <c r="D247" s="759" t="s">
        <v>1143</v>
      </c>
      <c r="E247" s="770" t="s">
        <v>1043</v>
      </c>
      <c r="F247" s="771" t="s">
        <v>795</v>
      </c>
      <c r="G247" s="769"/>
      <c r="H247" s="772">
        <v>2</v>
      </c>
      <c r="I247" s="769"/>
      <c r="J247" s="769"/>
      <c r="K247" s="769"/>
      <c r="L247" s="769"/>
      <c r="M247" s="773"/>
      <c r="N247" s="774"/>
      <c r="O247" s="775"/>
      <c r="P247" s="775"/>
      <c r="Q247" s="775"/>
      <c r="R247" s="775"/>
      <c r="S247" s="775"/>
      <c r="T247" s="775"/>
      <c r="U247" s="775"/>
      <c r="V247" s="775"/>
      <c r="W247" s="775"/>
      <c r="X247" s="776"/>
      <c r="AT247" s="777" t="s">
        <v>1143</v>
      </c>
      <c r="AU247" s="777" t="s">
        <v>795</v>
      </c>
      <c r="AV247" s="767" t="s">
        <v>795</v>
      </c>
      <c r="AW247" s="767" t="s">
        <v>1145</v>
      </c>
      <c r="AX247" s="767" t="s">
        <v>788</v>
      </c>
      <c r="AY247" s="777" t="s">
        <v>1063</v>
      </c>
    </row>
    <row r="248" spans="1:65" s="778" customFormat="1" ht="11.25">
      <c r="B248" s="779"/>
      <c r="C248" s="780"/>
      <c r="D248" s="759" t="s">
        <v>1143</v>
      </c>
      <c r="E248" s="781" t="s">
        <v>1043</v>
      </c>
      <c r="F248" s="782" t="s">
        <v>1153</v>
      </c>
      <c r="G248" s="780"/>
      <c r="H248" s="783">
        <v>2</v>
      </c>
      <c r="I248" s="780"/>
      <c r="J248" s="780"/>
      <c r="K248" s="780"/>
      <c r="L248" s="780"/>
      <c r="M248" s="784"/>
      <c r="N248" s="785"/>
      <c r="O248" s="786"/>
      <c r="P248" s="786"/>
      <c r="Q248" s="786"/>
      <c r="R248" s="786"/>
      <c r="S248" s="786"/>
      <c r="T248" s="786"/>
      <c r="U248" s="786"/>
      <c r="V248" s="786"/>
      <c r="W248" s="786"/>
      <c r="X248" s="787"/>
      <c r="AT248" s="788" t="s">
        <v>1143</v>
      </c>
      <c r="AU248" s="788" t="s">
        <v>795</v>
      </c>
      <c r="AV248" s="778" t="s">
        <v>1065</v>
      </c>
      <c r="AW248" s="778" t="s">
        <v>1145</v>
      </c>
      <c r="AX248" s="778" t="s">
        <v>791</v>
      </c>
      <c r="AY248" s="788" t="s">
        <v>1063</v>
      </c>
    </row>
    <row r="249" spans="1:65" s="634" customFormat="1" ht="16.5" customHeight="1">
      <c r="A249" s="705"/>
      <c r="B249" s="706"/>
      <c r="C249" s="744" t="s">
        <v>1355</v>
      </c>
      <c r="D249" s="744" t="s">
        <v>29</v>
      </c>
      <c r="E249" s="745" t="s">
        <v>1356</v>
      </c>
      <c r="F249" s="746" t="s">
        <v>1357</v>
      </c>
      <c r="G249" s="747" t="s">
        <v>19</v>
      </c>
      <c r="H249" s="748">
        <v>3</v>
      </c>
      <c r="I249" s="749"/>
      <c r="J249" s="749"/>
      <c r="K249" s="749">
        <f>ROUND(P249*H249,2)</f>
        <v>0</v>
      </c>
      <c r="L249" s="750"/>
      <c r="M249" s="631"/>
      <c r="N249" s="751" t="s">
        <v>1043</v>
      </c>
      <c r="O249" s="752" t="s">
        <v>1129</v>
      </c>
      <c r="P249" s="753">
        <f>I249+J249</f>
        <v>0</v>
      </c>
      <c r="Q249" s="753">
        <f>ROUND(I249*H249,2)</f>
        <v>0</v>
      </c>
      <c r="R249" s="753">
        <f>ROUND(J249*H249,2)</f>
        <v>0</v>
      </c>
      <c r="S249" s="754">
        <v>0.115</v>
      </c>
      <c r="T249" s="754">
        <f>S249*H249</f>
        <v>0.34500000000000003</v>
      </c>
      <c r="U249" s="754">
        <v>3.0000000000000001E-5</v>
      </c>
      <c r="V249" s="754">
        <f>U249*H249</f>
        <v>9.0000000000000006E-5</v>
      </c>
      <c r="W249" s="754">
        <v>0</v>
      </c>
      <c r="X249" s="755">
        <f>W249*H249</f>
        <v>0</v>
      </c>
      <c r="Y249" s="705"/>
      <c r="Z249" s="705"/>
      <c r="AA249" s="705"/>
      <c r="AB249" s="705"/>
      <c r="AC249" s="705"/>
      <c r="AD249" s="705"/>
      <c r="AE249" s="705"/>
      <c r="AR249" s="686" t="s">
        <v>1185</v>
      </c>
      <c r="AT249" s="686" t="s">
        <v>29</v>
      </c>
      <c r="AU249" s="686" t="s">
        <v>795</v>
      </c>
      <c r="AY249" s="629" t="s">
        <v>1063</v>
      </c>
      <c r="BE249" s="687">
        <f>IF(O249="základná",K249,0)</f>
        <v>0</v>
      </c>
      <c r="BF249" s="687">
        <f>IF(O249="znížená",K249,0)</f>
        <v>0</v>
      </c>
      <c r="BG249" s="687">
        <f>IF(O249="zákl. prenesená",K249,0)</f>
        <v>0</v>
      </c>
      <c r="BH249" s="687">
        <f>IF(O249="zníž. prenesená",K249,0)</f>
        <v>0</v>
      </c>
      <c r="BI249" s="687">
        <f>IF(O249="nulová",K249,0)</f>
        <v>0</v>
      </c>
      <c r="BJ249" s="629" t="s">
        <v>795</v>
      </c>
      <c r="BK249" s="687">
        <f>ROUND(P249*H249,2)</f>
        <v>0</v>
      </c>
      <c r="BL249" s="629" t="s">
        <v>1185</v>
      </c>
      <c r="BM249" s="686" t="s">
        <v>1358</v>
      </c>
    </row>
    <row r="250" spans="1:65" s="756" customFormat="1" ht="11.25">
      <c r="B250" s="757"/>
      <c r="C250" s="758"/>
      <c r="D250" s="759" t="s">
        <v>1143</v>
      </c>
      <c r="E250" s="760" t="s">
        <v>1043</v>
      </c>
      <c r="F250" s="761" t="s">
        <v>1301</v>
      </c>
      <c r="G250" s="758"/>
      <c r="H250" s="760" t="s">
        <v>1043</v>
      </c>
      <c r="I250" s="758"/>
      <c r="J250" s="758"/>
      <c r="K250" s="758"/>
      <c r="L250" s="758"/>
      <c r="M250" s="762"/>
      <c r="N250" s="763"/>
      <c r="O250" s="764"/>
      <c r="P250" s="764"/>
      <c r="Q250" s="764"/>
      <c r="R250" s="764"/>
      <c r="S250" s="764"/>
      <c r="T250" s="764"/>
      <c r="U250" s="764"/>
      <c r="V250" s="764"/>
      <c r="W250" s="764"/>
      <c r="X250" s="765"/>
      <c r="AT250" s="766" t="s">
        <v>1143</v>
      </c>
      <c r="AU250" s="766" t="s">
        <v>795</v>
      </c>
      <c r="AV250" s="756" t="s">
        <v>791</v>
      </c>
      <c r="AW250" s="756" t="s">
        <v>1145</v>
      </c>
      <c r="AX250" s="756" t="s">
        <v>788</v>
      </c>
      <c r="AY250" s="766" t="s">
        <v>1063</v>
      </c>
    </row>
    <row r="251" spans="1:65" s="767" customFormat="1" ht="11.25">
      <c r="B251" s="768"/>
      <c r="C251" s="769"/>
      <c r="D251" s="759" t="s">
        <v>1143</v>
      </c>
      <c r="E251" s="770" t="s">
        <v>1043</v>
      </c>
      <c r="F251" s="771" t="s">
        <v>987</v>
      </c>
      <c r="G251" s="769"/>
      <c r="H251" s="772">
        <v>3</v>
      </c>
      <c r="I251" s="769"/>
      <c r="J251" s="769"/>
      <c r="K251" s="769"/>
      <c r="L251" s="769"/>
      <c r="M251" s="773"/>
      <c r="N251" s="774"/>
      <c r="O251" s="775"/>
      <c r="P251" s="775"/>
      <c r="Q251" s="775"/>
      <c r="R251" s="775"/>
      <c r="S251" s="775"/>
      <c r="T251" s="775"/>
      <c r="U251" s="775"/>
      <c r="V251" s="775"/>
      <c r="W251" s="775"/>
      <c r="X251" s="776"/>
      <c r="AT251" s="777" t="s">
        <v>1143</v>
      </c>
      <c r="AU251" s="777" t="s">
        <v>795</v>
      </c>
      <c r="AV251" s="767" t="s">
        <v>795</v>
      </c>
      <c r="AW251" s="767" t="s">
        <v>1145</v>
      </c>
      <c r="AX251" s="767" t="s">
        <v>788</v>
      </c>
      <c r="AY251" s="777" t="s">
        <v>1063</v>
      </c>
    </row>
    <row r="252" spans="1:65" s="778" customFormat="1" ht="11.25">
      <c r="B252" s="779"/>
      <c r="C252" s="780"/>
      <c r="D252" s="759" t="s">
        <v>1143</v>
      </c>
      <c r="E252" s="781" t="s">
        <v>1043</v>
      </c>
      <c r="F252" s="782" t="s">
        <v>1153</v>
      </c>
      <c r="G252" s="780"/>
      <c r="H252" s="783">
        <v>3</v>
      </c>
      <c r="I252" s="780"/>
      <c r="J252" s="780"/>
      <c r="K252" s="780"/>
      <c r="L252" s="780"/>
      <c r="M252" s="784"/>
      <c r="N252" s="785"/>
      <c r="O252" s="786"/>
      <c r="P252" s="786"/>
      <c r="Q252" s="786"/>
      <c r="R252" s="786"/>
      <c r="S252" s="786"/>
      <c r="T252" s="786"/>
      <c r="U252" s="786"/>
      <c r="V252" s="786"/>
      <c r="W252" s="786"/>
      <c r="X252" s="787"/>
      <c r="AT252" s="788" t="s">
        <v>1143</v>
      </c>
      <c r="AU252" s="788" t="s">
        <v>795</v>
      </c>
      <c r="AV252" s="778" t="s">
        <v>1065</v>
      </c>
      <c r="AW252" s="778" t="s">
        <v>1145</v>
      </c>
      <c r="AX252" s="778" t="s">
        <v>791</v>
      </c>
      <c r="AY252" s="788" t="s">
        <v>1063</v>
      </c>
    </row>
    <row r="253" spans="1:65" s="634" customFormat="1" ht="21.75" customHeight="1">
      <c r="A253" s="705"/>
      <c r="B253" s="706"/>
      <c r="C253" s="789" t="s">
        <v>1359</v>
      </c>
      <c r="D253" s="789" t="s">
        <v>83</v>
      </c>
      <c r="E253" s="790" t="s">
        <v>1360</v>
      </c>
      <c r="F253" s="791" t="s">
        <v>1361</v>
      </c>
      <c r="G253" s="792" t="s">
        <v>19</v>
      </c>
      <c r="H253" s="793">
        <v>3</v>
      </c>
      <c r="I253" s="794"/>
      <c r="J253" s="795"/>
      <c r="K253" s="794">
        <f>ROUND(P253*H253,2)</f>
        <v>0</v>
      </c>
      <c r="L253" s="795"/>
      <c r="M253" s="701"/>
      <c r="N253" s="796" t="s">
        <v>1043</v>
      </c>
      <c r="O253" s="752" t="s">
        <v>1129</v>
      </c>
      <c r="P253" s="753">
        <f>I253+J253</f>
        <v>0</v>
      </c>
      <c r="Q253" s="753">
        <f>ROUND(I253*H253,2)</f>
        <v>0</v>
      </c>
      <c r="R253" s="753">
        <f>ROUND(J253*H253,2)</f>
        <v>0</v>
      </c>
      <c r="S253" s="754">
        <v>0</v>
      </c>
      <c r="T253" s="754">
        <f>S253*H253</f>
        <v>0</v>
      </c>
      <c r="U253" s="754">
        <v>4.0999999999999999E-4</v>
      </c>
      <c r="V253" s="754">
        <f>U253*H253</f>
        <v>1.23E-3</v>
      </c>
      <c r="W253" s="754">
        <v>0</v>
      </c>
      <c r="X253" s="755">
        <f>W253*H253</f>
        <v>0</v>
      </c>
      <c r="Y253" s="705"/>
      <c r="Z253" s="705"/>
      <c r="AA253" s="705"/>
      <c r="AB253" s="705"/>
      <c r="AC253" s="705"/>
      <c r="AD253" s="705"/>
      <c r="AE253" s="705"/>
      <c r="AR253" s="686" t="s">
        <v>1190</v>
      </c>
      <c r="AT253" s="686" t="s">
        <v>83</v>
      </c>
      <c r="AU253" s="686" t="s">
        <v>795</v>
      </c>
      <c r="AY253" s="629" t="s">
        <v>1063</v>
      </c>
      <c r="BE253" s="687">
        <f>IF(O253="základná",K253,0)</f>
        <v>0</v>
      </c>
      <c r="BF253" s="687">
        <f>IF(O253="znížená",K253,0)</f>
        <v>0</v>
      </c>
      <c r="BG253" s="687">
        <f>IF(O253="zákl. prenesená",K253,0)</f>
        <v>0</v>
      </c>
      <c r="BH253" s="687">
        <f>IF(O253="zníž. prenesená",K253,0)</f>
        <v>0</v>
      </c>
      <c r="BI253" s="687">
        <f>IF(O253="nulová",K253,0)</f>
        <v>0</v>
      </c>
      <c r="BJ253" s="629" t="s">
        <v>795</v>
      </c>
      <c r="BK253" s="687">
        <f>ROUND(P253*H253,2)</f>
        <v>0</v>
      </c>
      <c r="BL253" s="629" t="s">
        <v>1185</v>
      </c>
      <c r="BM253" s="686" t="s">
        <v>1362</v>
      </c>
    </row>
    <row r="254" spans="1:65" s="756" customFormat="1" ht="11.25">
      <c r="B254" s="757"/>
      <c r="C254" s="758"/>
      <c r="D254" s="759" t="s">
        <v>1143</v>
      </c>
      <c r="E254" s="760" t="s">
        <v>1043</v>
      </c>
      <c r="F254" s="761" t="s">
        <v>1301</v>
      </c>
      <c r="G254" s="758"/>
      <c r="H254" s="760" t="s">
        <v>1043</v>
      </c>
      <c r="I254" s="758"/>
      <c r="J254" s="758"/>
      <c r="K254" s="758"/>
      <c r="L254" s="758"/>
      <c r="M254" s="762"/>
      <c r="N254" s="763"/>
      <c r="O254" s="764"/>
      <c r="P254" s="764"/>
      <c r="Q254" s="764"/>
      <c r="R254" s="764"/>
      <c r="S254" s="764"/>
      <c r="T254" s="764"/>
      <c r="U254" s="764"/>
      <c r="V254" s="764"/>
      <c r="W254" s="764"/>
      <c r="X254" s="765"/>
      <c r="AT254" s="766" t="s">
        <v>1143</v>
      </c>
      <c r="AU254" s="766" t="s">
        <v>795</v>
      </c>
      <c r="AV254" s="756" t="s">
        <v>791</v>
      </c>
      <c r="AW254" s="756" t="s">
        <v>1145</v>
      </c>
      <c r="AX254" s="756" t="s">
        <v>788</v>
      </c>
      <c r="AY254" s="766" t="s">
        <v>1063</v>
      </c>
    </row>
    <row r="255" spans="1:65" s="767" customFormat="1" ht="11.25">
      <c r="B255" s="768"/>
      <c r="C255" s="769"/>
      <c r="D255" s="759" t="s">
        <v>1143</v>
      </c>
      <c r="E255" s="770" t="s">
        <v>1043</v>
      </c>
      <c r="F255" s="771" t="s">
        <v>987</v>
      </c>
      <c r="G255" s="769"/>
      <c r="H255" s="772">
        <v>3</v>
      </c>
      <c r="I255" s="769"/>
      <c r="J255" s="769"/>
      <c r="K255" s="769"/>
      <c r="L255" s="769"/>
      <c r="M255" s="773"/>
      <c r="N255" s="774"/>
      <c r="O255" s="775"/>
      <c r="P255" s="775"/>
      <c r="Q255" s="775"/>
      <c r="R255" s="775"/>
      <c r="S255" s="775"/>
      <c r="T255" s="775"/>
      <c r="U255" s="775"/>
      <c r="V255" s="775"/>
      <c r="W255" s="775"/>
      <c r="X255" s="776"/>
      <c r="AT255" s="777" t="s">
        <v>1143</v>
      </c>
      <c r="AU255" s="777" t="s">
        <v>795</v>
      </c>
      <c r="AV255" s="767" t="s">
        <v>795</v>
      </c>
      <c r="AW255" s="767" t="s">
        <v>1145</v>
      </c>
      <c r="AX255" s="767" t="s">
        <v>788</v>
      </c>
      <c r="AY255" s="777" t="s">
        <v>1063</v>
      </c>
    </row>
    <row r="256" spans="1:65" s="778" customFormat="1" ht="11.25">
      <c r="B256" s="779"/>
      <c r="C256" s="780"/>
      <c r="D256" s="759" t="s">
        <v>1143</v>
      </c>
      <c r="E256" s="781" t="s">
        <v>1043</v>
      </c>
      <c r="F256" s="782" t="s">
        <v>1153</v>
      </c>
      <c r="G256" s="780"/>
      <c r="H256" s="783">
        <v>3</v>
      </c>
      <c r="I256" s="780"/>
      <c r="J256" s="780"/>
      <c r="K256" s="780"/>
      <c r="L256" s="780"/>
      <c r="M256" s="784"/>
      <c r="N256" s="785"/>
      <c r="O256" s="786"/>
      <c r="P256" s="786"/>
      <c r="Q256" s="786"/>
      <c r="R256" s="786"/>
      <c r="S256" s="786"/>
      <c r="T256" s="786"/>
      <c r="U256" s="786"/>
      <c r="V256" s="786"/>
      <c r="W256" s="786"/>
      <c r="X256" s="787"/>
      <c r="AT256" s="788" t="s">
        <v>1143</v>
      </c>
      <c r="AU256" s="788" t="s">
        <v>795</v>
      </c>
      <c r="AV256" s="778" t="s">
        <v>1065</v>
      </c>
      <c r="AW256" s="778" t="s">
        <v>1145</v>
      </c>
      <c r="AX256" s="778" t="s">
        <v>791</v>
      </c>
      <c r="AY256" s="788" t="s">
        <v>1063</v>
      </c>
    </row>
    <row r="257" spans="1:65" s="634" customFormat="1" ht="21.75" customHeight="1">
      <c r="A257" s="705"/>
      <c r="B257" s="706"/>
      <c r="C257" s="744" t="s">
        <v>1363</v>
      </c>
      <c r="D257" s="744" t="s">
        <v>29</v>
      </c>
      <c r="E257" s="745" t="s">
        <v>1364</v>
      </c>
      <c r="F257" s="746" t="s">
        <v>1365</v>
      </c>
      <c r="G257" s="747" t="s">
        <v>14</v>
      </c>
      <c r="H257" s="748">
        <v>61</v>
      </c>
      <c r="I257" s="749"/>
      <c r="J257" s="749"/>
      <c r="K257" s="749">
        <f>ROUND(P257*H257,2)</f>
        <v>0</v>
      </c>
      <c r="L257" s="750"/>
      <c r="M257" s="631"/>
      <c r="N257" s="751" t="s">
        <v>1043</v>
      </c>
      <c r="O257" s="752" t="s">
        <v>1129</v>
      </c>
      <c r="P257" s="753">
        <f>I257+J257</f>
        <v>0</v>
      </c>
      <c r="Q257" s="753">
        <f>ROUND(I257*H257,2)</f>
        <v>0</v>
      </c>
      <c r="R257" s="753">
        <f>ROUND(J257*H257,2)</f>
        <v>0</v>
      </c>
      <c r="S257" s="754">
        <v>4.4999999999999998E-2</v>
      </c>
      <c r="T257" s="754">
        <f>S257*H257</f>
        <v>2.7450000000000001</v>
      </c>
      <c r="U257" s="754">
        <v>0</v>
      </c>
      <c r="V257" s="754">
        <f>U257*H257</f>
        <v>0</v>
      </c>
      <c r="W257" s="754">
        <v>0</v>
      </c>
      <c r="X257" s="755">
        <f>W257*H257</f>
        <v>0</v>
      </c>
      <c r="Y257" s="705"/>
      <c r="Z257" s="705"/>
      <c r="AA257" s="705"/>
      <c r="AB257" s="705"/>
      <c r="AC257" s="705"/>
      <c r="AD257" s="705"/>
      <c r="AE257" s="705"/>
      <c r="AR257" s="686" t="s">
        <v>1185</v>
      </c>
      <c r="AT257" s="686" t="s">
        <v>29</v>
      </c>
      <c r="AU257" s="686" t="s">
        <v>795</v>
      </c>
      <c r="AY257" s="629" t="s">
        <v>1063</v>
      </c>
      <c r="BE257" s="687">
        <f>IF(O257="základná",K257,0)</f>
        <v>0</v>
      </c>
      <c r="BF257" s="687">
        <f>IF(O257="znížená",K257,0)</f>
        <v>0</v>
      </c>
      <c r="BG257" s="687">
        <f>IF(O257="zákl. prenesená",K257,0)</f>
        <v>0</v>
      </c>
      <c r="BH257" s="687">
        <f>IF(O257="zníž. prenesená",K257,0)</f>
        <v>0</v>
      </c>
      <c r="BI257" s="687">
        <f>IF(O257="nulová",K257,0)</f>
        <v>0</v>
      </c>
      <c r="BJ257" s="629" t="s">
        <v>795</v>
      </c>
      <c r="BK257" s="687">
        <f>ROUND(P257*H257,2)</f>
        <v>0</v>
      </c>
      <c r="BL257" s="629" t="s">
        <v>1185</v>
      </c>
      <c r="BM257" s="686" t="s">
        <v>1366</v>
      </c>
    </row>
    <row r="258" spans="1:65" s="756" customFormat="1" ht="11.25">
      <c r="B258" s="757"/>
      <c r="C258" s="758"/>
      <c r="D258" s="759" t="s">
        <v>1143</v>
      </c>
      <c r="E258" s="760" t="s">
        <v>1043</v>
      </c>
      <c r="F258" s="761" t="s">
        <v>1367</v>
      </c>
      <c r="G258" s="758"/>
      <c r="H258" s="760" t="s">
        <v>1043</v>
      </c>
      <c r="I258" s="758"/>
      <c r="J258" s="758"/>
      <c r="K258" s="758"/>
      <c r="L258" s="758"/>
      <c r="M258" s="762"/>
      <c r="N258" s="763"/>
      <c r="O258" s="764"/>
      <c r="P258" s="764"/>
      <c r="Q258" s="764"/>
      <c r="R258" s="764"/>
      <c r="S258" s="764"/>
      <c r="T258" s="764"/>
      <c r="U258" s="764"/>
      <c r="V258" s="764"/>
      <c r="W258" s="764"/>
      <c r="X258" s="765"/>
      <c r="AT258" s="766" t="s">
        <v>1143</v>
      </c>
      <c r="AU258" s="766" t="s">
        <v>795</v>
      </c>
      <c r="AV258" s="756" t="s">
        <v>791</v>
      </c>
      <c r="AW258" s="756" t="s">
        <v>1145</v>
      </c>
      <c r="AX258" s="756" t="s">
        <v>788</v>
      </c>
      <c r="AY258" s="766" t="s">
        <v>1063</v>
      </c>
    </row>
    <row r="259" spans="1:65" s="767" customFormat="1" ht="11.25">
      <c r="B259" s="768"/>
      <c r="C259" s="769"/>
      <c r="D259" s="759" t="s">
        <v>1143</v>
      </c>
      <c r="E259" s="770" t="s">
        <v>1043</v>
      </c>
      <c r="F259" s="771" t="s">
        <v>1368</v>
      </c>
      <c r="G259" s="769"/>
      <c r="H259" s="772">
        <v>46</v>
      </c>
      <c r="I259" s="769"/>
      <c r="J259" s="769"/>
      <c r="K259" s="769"/>
      <c r="L259" s="769"/>
      <c r="M259" s="773"/>
      <c r="N259" s="774"/>
      <c r="O259" s="775"/>
      <c r="P259" s="775"/>
      <c r="Q259" s="775"/>
      <c r="R259" s="775"/>
      <c r="S259" s="775"/>
      <c r="T259" s="775"/>
      <c r="U259" s="775"/>
      <c r="V259" s="775"/>
      <c r="W259" s="775"/>
      <c r="X259" s="776"/>
      <c r="AT259" s="777" t="s">
        <v>1143</v>
      </c>
      <c r="AU259" s="777" t="s">
        <v>795</v>
      </c>
      <c r="AV259" s="767" t="s">
        <v>795</v>
      </c>
      <c r="AW259" s="767" t="s">
        <v>1145</v>
      </c>
      <c r="AX259" s="767" t="s">
        <v>788</v>
      </c>
      <c r="AY259" s="777" t="s">
        <v>1063</v>
      </c>
    </row>
    <row r="260" spans="1:65" s="756" customFormat="1" ht="11.25">
      <c r="B260" s="757"/>
      <c r="C260" s="758"/>
      <c r="D260" s="759" t="s">
        <v>1143</v>
      </c>
      <c r="E260" s="760" t="s">
        <v>1043</v>
      </c>
      <c r="F260" s="761" t="s">
        <v>1369</v>
      </c>
      <c r="G260" s="758"/>
      <c r="H260" s="760" t="s">
        <v>1043</v>
      </c>
      <c r="I260" s="758"/>
      <c r="J260" s="758"/>
      <c r="K260" s="758"/>
      <c r="L260" s="758"/>
      <c r="M260" s="762"/>
      <c r="N260" s="763"/>
      <c r="O260" s="764"/>
      <c r="P260" s="764"/>
      <c r="Q260" s="764"/>
      <c r="R260" s="764"/>
      <c r="S260" s="764"/>
      <c r="T260" s="764"/>
      <c r="U260" s="764"/>
      <c r="V260" s="764"/>
      <c r="W260" s="764"/>
      <c r="X260" s="765"/>
      <c r="AT260" s="766" t="s">
        <v>1143</v>
      </c>
      <c r="AU260" s="766" t="s">
        <v>795</v>
      </c>
      <c r="AV260" s="756" t="s">
        <v>791</v>
      </c>
      <c r="AW260" s="756" t="s">
        <v>1145</v>
      </c>
      <c r="AX260" s="756" t="s">
        <v>788</v>
      </c>
      <c r="AY260" s="766" t="s">
        <v>1063</v>
      </c>
    </row>
    <row r="261" spans="1:65" s="767" customFormat="1" ht="11.25">
      <c r="B261" s="768"/>
      <c r="C261" s="769"/>
      <c r="D261" s="759" t="s">
        <v>1143</v>
      </c>
      <c r="E261" s="770" t="s">
        <v>1043</v>
      </c>
      <c r="F261" s="771" t="s">
        <v>1370</v>
      </c>
      <c r="G261" s="769"/>
      <c r="H261" s="772">
        <v>15</v>
      </c>
      <c r="I261" s="769"/>
      <c r="J261" s="769"/>
      <c r="K261" s="769"/>
      <c r="L261" s="769"/>
      <c r="M261" s="773"/>
      <c r="N261" s="774"/>
      <c r="O261" s="775"/>
      <c r="P261" s="775"/>
      <c r="Q261" s="775"/>
      <c r="R261" s="775"/>
      <c r="S261" s="775"/>
      <c r="T261" s="775"/>
      <c r="U261" s="775"/>
      <c r="V261" s="775"/>
      <c r="W261" s="775"/>
      <c r="X261" s="776"/>
      <c r="AT261" s="777" t="s">
        <v>1143</v>
      </c>
      <c r="AU261" s="777" t="s">
        <v>795</v>
      </c>
      <c r="AV261" s="767" t="s">
        <v>795</v>
      </c>
      <c r="AW261" s="767" t="s">
        <v>1145</v>
      </c>
      <c r="AX261" s="767" t="s">
        <v>788</v>
      </c>
      <c r="AY261" s="777" t="s">
        <v>1063</v>
      </c>
    </row>
    <row r="262" spans="1:65" s="778" customFormat="1" ht="11.25">
      <c r="B262" s="779"/>
      <c r="C262" s="780"/>
      <c r="D262" s="759" t="s">
        <v>1143</v>
      </c>
      <c r="E262" s="781" t="s">
        <v>1043</v>
      </c>
      <c r="F262" s="782" t="s">
        <v>1153</v>
      </c>
      <c r="G262" s="780"/>
      <c r="H262" s="783">
        <v>61</v>
      </c>
      <c r="I262" s="780"/>
      <c r="J262" s="780"/>
      <c r="K262" s="780"/>
      <c r="L262" s="780"/>
      <c r="M262" s="784"/>
      <c r="N262" s="785"/>
      <c r="O262" s="786"/>
      <c r="P262" s="786"/>
      <c r="Q262" s="786"/>
      <c r="R262" s="786"/>
      <c r="S262" s="786"/>
      <c r="T262" s="786"/>
      <c r="U262" s="786"/>
      <c r="V262" s="786"/>
      <c r="W262" s="786"/>
      <c r="X262" s="787"/>
      <c r="AT262" s="788" t="s">
        <v>1143</v>
      </c>
      <c r="AU262" s="788" t="s">
        <v>795</v>
      </c>
      <c r="AV262" s="778" t="s">
        <v>1065</v>
      </c>
      <c r="AW262" s="778" t="s">
        <v>1145</v>
      </c>
      <c r="AX262" s="778" t="s">
        <v>791</v>
      </c>
      <c r="AY262" s="788" t="s">
        <v>1063</v>
      </c>
    </row>
    <row r="263" spans="1:65" s="634" customFormat="1" ht="21.75" customHeight="1">
      <c r="A263" s="705"/>
      <c r="B263" s="706"/>
      <c r="C263" s="744" t="s">
        <v>1371</v>
      </c>
      <c r="D263" s="744" t="s">
        <v>29</v>
      </c>
      <c r="E263" s="745" t="s">
        <v>1372</v>
      </c>
      <c r="F263" s="746" t="s">
        <v>1373</v>
      </c>
      <c r="G263" s="747" t="s">
        <v>14</v>
      </c>
      <c r="H263" s="748">
        <v>3.5</v>
      </c>
      <c r="I263" s="749"/>
      <c r="J263" s="749"/>
      <c r="K263" s="749">
        <f>ROUND(P263*H263,2)</f>
        <v>0</v>
      </c>
      <c r="L263" s="750"/>
      <c r="M263" s="631"/>
      <c r="N263" s="751" t="s">
        <v>1043</v>
      </c>
      <c r="O263" s="752" t="s">
        <v>1129</v>
      </c>
      <c r="P263" s="753">
        <f>I263+J263</f>
        <v>0</v>
      </c>
      <c r="Q263" s="753">
        <f>ROUND(I263*H263,2)</f>
        <v>0</v>
      </c>
      <c r="R263" s="753">
        <f>ROUND(J263*H263,2)</f>
        <v>0</v>
      </c>
      <c r="S263" s="754">
        <v>5.5E-2</v>
      </c>
      <c r="T263" s="754">
        <f>S263*H263</f>
        <v>0.1925</v>
      </c>
      <c r="U263" s="754">
        <v>0</v>
      </c>
      <c r="V263" s="754">
        <f>U263*H263</f>
        <v>0</v>
      </c>
      <c r="W263" s="754">
        <v>0</v>
      </c>
      <c r="X263" s="755">
        <f>W263*H263</f>
        <v>0</v>
      </c>
      <c r="Y263" s="705"/>
      <c r="Z263" s="705"/>
      <c r="AA263" s="705"/>
      <c r="AB263" s="705"/>
      <c r="AC263" s="705"/>
      <c r="AD263" s="705"/>
      <c r="AE263" s="705"/>
      <c r="AR263" s="686" t="s">
        <v>1185</v>
      </c>
      <c r="AT263" s="686" t="s">
        <v>29</v>
      </c>
      <c r="AU263" s="686" t="s">
        <v>795</v>
      </c>
      <c r="AY263" s="629" t="s">
        <v>1063</v>
      </c>
      <c r="BE263" s="687">
        <f>IF(O263="základná",K263,0)</f>
        <v>0</v>
      </c>
      <c r="BF263" s="687">
        <f>IF(O263="znížená",K263,0)</f>
        <v>0</v>
      </c>
      <c r="BG263" s="687">
        <f>IF(O263="zákl. prenesená",K263,0)</f>
        <v>0</v>
      </c>
      <c r="BH263" s="687">
        <f>IF(O263="zníž. prenesená",K263,0)</f>
        <v>0</v>
      </c>
      <c r="BI263" s="687">
        <f>IF(O263="nulová",K263,0)</f>
        <v>0</v>
      </c>
      <c r="BJ263" s="629" t="s">
        <v>795</v>
      </c>
      <c r="BK263" s="687">
        <f>ROUND(P263*H263,2)</f>
        <v>0</v>
      </c>
      <c r="BL263" s="629" t="s">
        <v>1185</v>
      </c>
      <c r="BM263" s="686" t="s">
        <v>1374</v>
      </c>
    </row>
    <row r="264" spans="1:65" s="756" customFormat="1" ht="11.25">
      <c r="B264" s="757"/>
      <c r="C264" s="758"/>
      <c r="D264" s="759" t="s">
        <v>1143</v>
      </c>
      <c r="E264" s="760" t="s">
        <v>1043</v>
      </c>
      <c r="F264" s="761" t="s">
        <v>1228</v>
      </c>
      <c r="G264" s="758"/>
      <c r="H264" s="760" t="s">
        <v>1043</v>
      </c>
      <c r="I264" s="758"/>
      <c r="J264" s="758"/>
      <c r="K264" s="758"/>
      <c r="L264" s="758"/>
      <c r="M264" s="762"/>
      <c r="N264" s="763"/>
      <c r="O264" s="764"/>
      <c r="P264" s="764"/>
      <c r="Q264" s="764"/>
      <c r="R264" s="764"/>
      <c r="S264" s="764"/>
      <c r="T264" s="764"/>
      <c r="U264" s="764"/>
      <c r="V264" s="764"/>
      <c r="W264" s="764"/>
      <c r="X264" s="765"/>
      <c r="AT264" s="766" t="s">
        <v>1143</v>
      </c>
      <c r="AU264" s="766" t="s">
        <v>795</v>
      </c>
      <c r="AV264" s="756" t="s">
        <v>791</v>
      </c>
      <c r="AW264" s="756" t="s">
        <v>1145</v>
      </c>
      <c r="AX264" s="756" t="s">
        <v>788</v>
      </c>
      <c r="AY264" s="766" t="s">
        <v>1063</v>
      </c>
    </row>
    <row r="265" spans="1:65" s="767" customFormat="1" ht="11.25">
      <c r="B265" s="768"/>
      <c r="C265" s="769"/>
      <c r="D265" s="759" t="s">
        <v>1143</v>
      </c>
      <c r="E265" s="770" t="s">
        <v>1043</v>
      </c>
      <c r="F265" s="771" t="s">
        <v>1229</v>
      </c>
      <c r="G265" s="769"/>
      <c r="H265" s="772">
        <v>3.5</v>
      </c>
      <c r="I265" s="769"/>
      <c r="J265" s="769"/>
      <c r="K265" s="769"/>
      <c r="L265" s="769"/>
      <c r="M265" s="773"/>
      <c r="N265" s="774"/>
      <c r="O265" s="775"/>
      <c r="P265" s="775"/>
      <c r="Q265" s="775"/>
      <c r="R265" s="775"/>
      <c r="S265" s="775"/>
      <c r="T265" s="775"/>
      <c r="U265" s="775"/>
      <c r="V265" s="775"/>
      <c r="W265" s="775"/>
      <c r="X265" s="776"/>
      <c r="AT265" s="777" t="s">
        <v>1143</v>
      </c>
      <c r="AU265" s="777" t="s">
        <v>795</v>
      </c>
      <c r="AV265" s="767" t="s">
        <v>795</v>
      </c>
      <c r="AW265" s="767" t="s">
        <v>1145</v>
      </c>
      <c r="AX265" s="767" t="s">
        <v>788</v>
      </c>
      <c r="AY265" s="777" t="s">
        <v>1063</v>
      </c>
    </row>
    <row r="266" spans="1:65" s="778" customFormat="1" ht="11.25">
      <c r="B266" s="779"/>
      <c r="C266" s="780"/>
      <c r="D266" s="759" t="s">
        <v>1143</v>
      </c>
      <c r="E266" s="781" t="s">
        <v>1043</v>
      </c>
      <c r="F266" s="782" t="s">
        <v>1153</v>
      </c>
      <c r="G266" s="780"/>
      <c r="H266" s="783">
        <v>3.5</v>
      </c>
      <c r="I266" s="780"/>
      <c r="J266" s="780"/>
      <c r="K266" s="780"/>
      <c r="L266" s="780"/>
      <c r="M266" s="784"/>
      <c r="N266" s="785"/>
      <c r="O266" s="786"/>
      <c r="P266" s="786"/>
      <c r="Q266" s="786"/>
      <c r="R266" s="786"/>
      <c r="S266" s="786"/>
      <c r="T266" s="786"/>
      <c r="U266" s="786"/>
      <c r="V266" s="786"/>
      <c r="W266" s="786"/>
      <c r="X266" s="787"/>
      <c r="AT266" s="788" t="s">
        <v>1143</v>
      </c>
      <c r="AU266" s="788" t="s">
        <v>795</v>
      </c>
      <c r="AV266" s="778" t="s">
        <v>1065</v>
      </c>
      <c r="AW266" s="778" t="s">
        <v>1145</v>
      </c>
      <c r="AX266" s="778" t="s">
        <v>791</v>
      </c>
      <c r="AY266" s="788" t="s">
        <v>1063</v>
      </c>
    </row>
    <row r="267" spans="1:65" s="634" customFormat="1" ht="21.75" customHeight="1">
      <c r="A267" s="705"/>
      <c r="B267" s="706"/>
      <c r="C267" s="744" t="s">
        <v>1375</v>
      </c>
      <c r="D267" s="744" t="s">
        <v>29</v>
      </c>
      <c r="E267" s="745" t="s">
        <v>1376</v>
      </c>
      <c r="F267" s="746" t="s">
        <v>1377</v>
      </c>
      <c r="G267" s="747" t="s">
        <v>15</v>
      </c>
      <c r="H267" s="748">
        <v>9.8000000000000004E-2</v>
      </c>
      <c r="I267" s="749"/>
      <c r="J267" s="749"/>
      <c r="K267" s="749">
        <f>ROUND(P267*H267,2)</f>
        <v>0</v>
      </c>
      <c r="L267" s="750"/>
      <c r="M267" s="631"/>
      <c r="N267" s="751" t="s">
        <v>1043</v>
      </c>
      <c r="O267" s="752" t="s">
        <v>1129</v>
      </c>
      <c r="P267" s="753">
        <f>I267+J267</f>
        <v>0</v>
      </c>
      <c r="Q267" s="753">
        <f>ROUND(I267*H267,2)</f>
        <v>0</v>
      </c>
      <c r="R267" s="753">
        <f>ROUND(J267*H267,2)</f>
        <v>0</v>
      </c>
      <c r="S267" s="754">
        <v>1.4</v>
      </c>
      <c r="T267" s="754">
        <f>S267*H267</f>
        <v>0.13719999999999999</v>
      </c>
      <c r="U267" s="754">
        <v>0</v>
      </c>
      <c r="V267" s="754">
        <f>U267*H267</f>
        <v>0</v>
      </c>
      <c r="W267" s="754">
        <v>0</v>
      </c>
      <c r="X267" s="755">
        <f>W267*H267</f>
        <v>0</v>
      </c>
      <c r="Y267" s="705"/>
      <c r="Z267" s="705"/>
      <c r="AA267" s="705"/>
      <c r="AB267" s="705"/>
      <c r="AC267" s="705"/>
      <c r="AD267" s="705"/>
      <c r="AE267" s="705"/>
      <c r="AR267" s="686" t="s">
        <v>1185</v>
      </c>
      <c r="AT267" s="686" t="s">
        <v>29</v>
      </c>
      <c r="AU267" s="686" t="s">
        <v>795</v>
      </c>
      <c r="AY267" s="629" t="s">
        <v>1063</v>
      </c>
      <c r="BE267" s="687">
        <f>IF(O267="základná",K267,0)</f>
        <v>0</v>
      </c>
      <c r="BF267" s="687">
        <f>IF(O267="znížená",K267,0)</f>
        <v>0</v>
      </c>
      <c r="BG267" s="687">
        <f>IF(O267="zákl. prenesená",K267,0)</f>
        <v>0</v>
      </c>
      <c r="BH267" s="687">
        <f>IF(O267="zníž. prenesená",K267,0)</f>
        <v>0</v>
      </c>
      <c r="BI267" s="687">
        <f>IF(O267="nulová",K267,0)</f>
        <v>0</v>
      </c>
      <c r="BJ267" s="629" t="s">
        <v>795</v>
      </c>
      <c r="BK267" s="687">
        <f>ROUND(P267*H267,2)</f>
        <v>0</v>
      </c>
      <c r="BL267" s="629" t="s">
        <v>1185</v>
      </c>
      <c r="BM267" s="686" t="s">
        <v>1378</v>
      </c>
    </row>
    <row r="268" spans="1:65" s="661" customFormat="1" ht="22.9" customHeight="1">
      <c r="B268" s="732"/>
      <c r="C268" s="733"/>
      <c r="D268" s="734" t="s">
        <v>491</v>
      </c>
      <c r="E268" s="742" t="s">
        <v>1379</v>
      </c>
      <c r="F268" s="742" t="s">
        <v>1380</v>
      </c>
      <c r="G268" s="733"/>
      <c r="H268" s="733"/>
      <c r="I268" s="733"/>
      <c r="J268" s="733"/>
      <c r="K268" s="743">
        <f>BK268</f>
        <v>0</v>
      </c>
      <c r="L268" s="733"/>
      <c r="M268" s="662"/>
      <c r="N268" s="737"/>
      <c r="O268" s="738"/>
      <c r="P268" s="738"/>
      <c r="Q268" s="739">
        <f>SUM(Q269:Q365)</f>
        <v>0</v>
      </c>
      <c r="R268" s="739">
        <f>SUM(R269:R365)</f>
        <v>0</v>
      </c>
      <c r="S268" s="738"/>
      <c r="T268" s="740">
        <f>SUM(T269:T365)</f>
        <v>32.902245000000001</v>
      </c>
      <c r="U268" s="738"/>
      <c r="V268" s="740">
        <f>SUM(V269:V365)</f>
        <v>5.5019999999999999E-2</v>
      </c>
      <c r="W268" s="738"/>
      <c r="X268" s="741">
        <f>SUM(X269:X365)</f>
        <v>0</v>
      </c>
      <c r="AR268" s="663" t="s">
        <v>795</v>
      </c>
      <c r="AT268" s="670" t="s">
        <v>491</v>
      </c>
      <c r="AU268" s="670" t="s">
        <v>791</v>
      </c>
      <c r="AY268" s="663" t="s">
        <v>1063</v>
      </c>
      <c r="BK268" s="671">
        <f>SUM(BK269:BK365)</f>
        <v>0</v>
      </c>
    </row>
    <row r="269" spans="1:65" s="634" customFormat="1" ht="16.5" customHeight="1">
      <c r="A269" s="705"/>
      <c r="B269" s="706"/>
      <c r="C269" s="744" t="s">
        <v>1381</v>
      </c>
      <c r="D269" s="744" t="s">
        <v>29</v>
      </c>
      <c r="E269" s="745" t="s">
        <v>1382</v>
      </c>
      <c r="F269" s="746" t="s">
        <v>1383</v>
      </c>
      <c r="G269" s="747" t="s">
        <v>14</v>
      </c>
      <c r="H269" s="748">
        <v>24</v>
      </c>
      <c r="I269" s="749"/>
      <c r="J269" s="749"/>
      <c r="K269" s="749">
        <f>ROUND(P269*H269,2)</f>
        <v>0</v>
      </c>
      <c r="L269" s="750"/>
      <c r="M269" s="631"/>
      <c r="N269" s="751" t="s">
        <v>1043</v>
      </c>
      <c r="O269" s="752" t="s">
        <v>1129</v>
      </c>
      <c r="P269" s="753">
        <f>I269+J269</f>
        <v>0</v>
      </c>
      <c r="Q269" s="753">
        <f>ROUND(I269*H269,2)</f>
        <v>0</v>
      </c>
      <c r="R269" s="753">
        <f>ROUND(J269*H269,2)</f>
        <v>0</v>
      </c>
      <c r="S269" s="754">
        <v>0.20799999999999999</v>
      </c>
      <c r="T269" s="754">
        <f>S269*H269</f>
        <v>4.992</v>
      </c>
      <c r="U269" s="754">
        <v>2.9E-4</v>
      </c>
      <c r="V269" s="754">
        <f>U269*H269</f>
        <v>6.96E-3</v>
      </c>
      <c r="W269" s="754">
        <v>0</v>
      </c>
      <c r="X269" s="755">
        <f>W269*H269</f>
        <v>0</v>
      </c>
      <c r="Y269" s="705"/>
      <c r="Z269" s="705"/>
      <c r="AA269" s="705"/>
      <c r="AB269" s="705"/>
      <c r="AC269" s="705"/>
      <c r="AD269" s="705"/>
      <c r="AE269" s="705"/>
      <c r="AR269" s="686" t="s">
        <v>1185</v>
      </c>
      <c r="AT269" s="686" t="s">
        <v>29</v>
      </c>
      <c r="AU269" s="686" t="s">
        <v>795</v>
      </c>
      <c r="AY269" s="629" t="s">
        <v>1063</v>
      </c>
      <c r="BE269" s="687">
        <f>IF(O269="základná",K269,0)</f>
        <v>0</v>
      </c>
      <c r="BF269" s="687">
        <f>IF(O269="znížená",K269,0)</f>
        <v>0</v>
      </c>
      <c r="BG269" s="687">
        <f>IF(O269="zákl. prenesená",K269,0)</f>
        <v>0</v>
      </c>
      <c r="BH269" s="687">
        <f>IF(O269="zníž. prenesená",K269,0)</f>
        <v>0</v>
      </c>
      <c r="BI269" s="687">
        <f>IF(O269="nulová",K269,0)</f>
        <v>0</v>
      </c>
      <c r="BJ269" s="629" t="s">
        <v>795</v>
      </c>
      <c r="BK269" s="687">
        <f>ROUND(P269*H269,2)</f>
        <v>0</v>
      </c>
      <c r="BL269" s="629" t="s">
        <v>1185</v>
      </c>
      <c r="BM269" s="686" t="s">
        <v>1384</v>
      </c>
    </row>
    <row r="270" spans="1:65" s="756" customFormat="1" ht="11.25">
      <c r="B270" s="757"/>
      <c r="C270" s="758"/>
      <c r="D270" s="759" t="s">
        <v>1143</v>
      </c>
      <c r="E270" s="760" t="s">
        <v>1043</v>
      </c>
      <c r="F270" s="761" t="s">
        <v>1385</v>
      </c>
      <c r="G270" s="758"/>
      <c r="H270" s="760" t="s">
        <v>1043</v>
      </c>
      <c r="I270" s="758"/>
      <c r="J270" s="758"/>
      <c r="K270" s="758"/>
      <c r="L270" s="758"/>
      <c r="M270" s="762"/>
      <c r="N270" s="763"/>
      <c r="O270" s="764"/>
      <c r="P270" s="764"/>
      <c r="Q270" s="764"/>
      <c r="R270" s="764"/>
      <c r="S270" s="764"/>
      <c r="T270" s="764"/>
      <c r="U270" s="764"/>
      <c r="V270" s="764"/>
      <c r="W270" s="764"/>
      <c r="X270" s="765"/>
      <c r="AT270" s="766" t="s">
        <v>1143</v>
      </c>
      <c r="AU270" s="766" t="s">
        <v>795</v>
      </c>
      <c r="AV270" s="756" t="s">
        <v>791</v>
      </c>
      <c r="AW270" s="756" t="s">
        <v>1145</v>
      </c>
      <c r="AX270" s="756" t="s">
        <v>788</v>
      </c>
      <c r="AY270" s="766" t="s">
        <v>1063</v>
      </c>
    </row>
    <row r="271" spans="1:65" s="767" customFormat="1" ht="11.25">
      <c r="B271" s="768"/>
      <c r="C271" s="769"/>
      <c r="D271" s="759" t="s">
        <v>1143</v>
      </c>
      <c r="E271" s="770" t="s">
        <v>1043</v>
      </c>
      <c r="F271" s="771" t="s">
        <v>1386</v>
      </c>
      <c r="G271" s="769"/>
      <c r="H271" s="772">
        <v>17</v>
      </c>
      <c r="I271" s="769"/>
      <c r="J271" s="769"/>
      <c r="K271" s="769"/>
      <c r="L271" s="769"/>
      <c r="M271" s="773"/>
      <c r="N271" s="774"/>
      <c r="O271" s="775"/>
      <c r="P271" s="775"/>
      <c r="Q271" s="775"/>
      <c r="R271" s="775"/>
      <c r="S271" s="775"/>
      <c r="T271" s="775"/>
      <c r="U271" s="775"/>
      <c r="V271" s="775"/>
      <c r="W271" s="775"/>
      <c r="X271" s="776"/>
      <c r="AT271" s="777" t="s">
        <v>1143</v>
      </c>
      <c r="AU271" s="777" t="s">
        <v>795</v>
      </c>
      <c r="AV271" s="767" t="s">
        <v>795</v>
      </c>
      <c r="AW271" s="767" t="s">
        <v>1145</v>
      </c>
      <c r="AX271" s="767" t="s">
        <v>788</v>
      </c>
      <c r="AY271" s="777" t="s">
        <v>1063</v>
      </c>
    </row>
    <row r="272" spans="1:65" s="756" customFormat="1" ht="11.25">
      <c r="B272" s="757"/>
      <c r="C272" s="758"/>
      <c r="D272" s="759" t="s">
        <v>1143</v>
      </c>
      <c r="E272" s="760" t="s">
        <v>1043</v>
      </c>
      <c r="F272" s="761" t="s">
        <v>1387</v>
      </c>
      <c r="G272" s="758"/>
      <c r="H272" s="760" t="s">
        <v>1043</v>
      </c>
      <c r="I272" s="758"/>
      <c r="J272" s="758"/>
      <c r="K272" s="758"/>
      <c r="L272" s="758"/>
      <c r="M272" s="762"/>
      <c r="N272" s="763"/>
      <c r="O272" s="764"/>
      <c r="P272" s="764"/>
      <c r="Q272" s="764"/>
      <c r="R272" s="764"/>
      <c r="S272" s="764"/>
      <c r="T272" s="764"/>
      <c r="U272" s="764"/>
      <c r="V272" s="764"/>
      <c r="W272" s="764"/>
      <c r="X272" s="765"/>
      <c r="AT272" s="766" t="s">
        <v>1143</v>
      </c>
      <c r="AU272" s="766" t="s">
        <v>795</v>
      </c>
      <c r="AV272" s="756" t="s">
        <v>791</v>
      </c>
      <c r="AW272" s="756" t="s">
        <v>1145</v>
      </c>
      <c r="AX272" s="756" t="s">
        <v>788</v>
      </c>
      <c r="AY272" s="766" t="s">
        <v>1063</v>
      </c>
    </row>
    <row r="273" spans="1:65" s="767" customFormat="1" ht="11.25">
      <c r="B273" s="768"/>
      <c r="C273" s="769"/>
      <c r="D273" s="759" t="s">
        <v>1143</v>
      </c>
      <c r="E273" s="770" t="s">
        <v>1043</v>
      </c>
      <c r="F273" s="771" t="s">
        <v>1388</v>
      </c>
      <c r="G273" s="769"/>
      <c r="H273" s="772">
        <v>7</v>
      </c>
      <c r="I273" s="769"/>
      <c r="J273" s="769"/>
      <c r="K273" s="769"/>
      <c r="L273" s="769"/>
      <c r="M273" s="773"/>
      <c r="N273" s="774"/>
      <c r="O273" s="775"/>
      <c r="P273" s="775"/>
      <c r="Q273" s="775"/>
      <c r="R273" s="775"/>
      <c r="S273" s="775"/>
      <c r="T273" s="775"/>
      <c r="U273" s="775"/>
      <c r="V273" s="775"/>
      <c r="W273" s="775"/>
      <c r="X273" s="776"/>
      <c r="AT273" s="777" t="s">
        <v>1143</v>
      </c>
      <c r="AU273" s="777" t="s">
        <v>795</v>
      </c>
      <c r="AV273" s="767" t="s">
        <v>795</v>
      </c>
      <c r="AW273" s="767" t="s">
        <v>1145</v>
      </c>
      <c r="AX273" s="767" t="s">
        <v>788</v>
      </c>
      <c r="AY273" s="777" t="s">
        <v>1063</v>
      </c>
    </row>
    <row r="274" spans="1:65" s="778" customFormat="1" ht="11.25">
      <c r="B274" s="779"/>
      <c r="C274" s="780"/>
      <c r="D274" s="759" t="s">
        <v>1143</v>
      </c>
      <c r="E274" s="781" t="s">
        <v>1043</v>
      </c>
      <c r="F274" s="782" t="s">
        <v>1153</v>
      </c>
      <c r="G274" s="780"/>
      <c r="H274" s="783">
        <v>24</v>
      </c>
      <c r="I274" s="780"/>
      <c r="J274" s="780"/>
      <c r="K274" s="780"/>
      <c r="L274" s="780"/>
      <c r="M274" s="784"/>
      <c r="N274" s="785"/>
      <c r="O274" s="786"/>
      <c r="P274" s="786"/>
      <c r="Q274" s="786"/>
      <c r="R274" s="786"/>
      <c r="S274" s="786"/>
      <c r="T274" s="786"/>
      <c r="U274" s="786"/>
      <c r="V274" s="786"/>
      <c r="W274" s="786"/>
      <c r="X274" s="787"/>
      <c r="AT274" s="788" t="s">
        <v>1143</v>
      </c>
      <c r="AU274" s="788" t="s">
        <v>795</v>
      </c>
      <c r="AV274" s="778" t="s">
        <v>1065</v>
      </c>
      <c r="AW274" s="778" t="s">
        <v>1145</v>
      </c>
      <c r="AX274" s="778" t="s">
        <v>791</v>
      </c>
      <c r="AY274" s="788" t="s">
        <v>1063</v>
      </c>
    </row>
    <row r="275" spans="1:65" s="634" customFormat="1" ht="16.5" customHeight="1">
      <c r="A275" s="705"/>
      <c r="B275" s="706"/>
      <c r="C275" s="744" t="s">
        <v>1389</v>
      </c>
      <c r="D275" s="744" t="s">
        <v>29</v>
      </c>
      <c r="E275" s="745" t="s">
        <v>1390</v>
      </c>
      <c r="F275" s="746" t="s">
        <v>1391</v>
      </c>
      <c r="G275" s="747" t="s">
        <v>14</v>
      </c>
      <c r="H275" s="748">
        <v>10</v>
      </c>
      <c r="I275" s="749"/>
      <c r="J275" s="749"/>
      <c r="K275" s="749">
        <f>ROUND(P275*H275,2)</f>
        <v>0</v>
      </c>
      <c r="L275" s="750"/>
      <c r="M275" s="631"/>
      <c r="N275" s="751" t="s">
        <v>1043</v>
      </c>
      <c r="O275" s="752" t="s">
        <v>1129</v>
      </c>
      <c r="P275" s="753">
        <f>I275+J275</f>
        <v>0</v>
      </c>
      <c r="Q275" s="753">
        <f>ROUND(I275*H275,2)</f>
        <v>0</v>
      </c>
      <c r="R275" s="753">
        <f>ROUND(J275*H275,2)</f>
        <v>0</v>
      </c>
      <c r="S275" s="754">
        <v>0.217</v>
      </c>
      <c r="T275" s="754">
        <f>S275*H275</f>
        <v>2.17</v>
      </c>
      <c r="U275" s="754">
        <v>4.2999999999999999E-4</v>
      </c>
      <c r="V275" s="754">
        <f>U275*H275</f>
        <v>4.3E-3</v>
      </c>
      <c r="W275" s="754">
        <v>0</v>
      </c>
      <c r="X275" s="755">
        <f>W275*H275</f>
        <v>0</v>
      </c>
      <c r="Y275" s="705"/>
      <c r="Z275" s="705"/>
      <c r="AA275" s="705"/>
      <c r="AB275" s="705"/>
      <c r="AC275" s="705"/>
      <c r="AD275" s="705"/>
      <c r="AE275" s="705"/>
      <c r="AR275" s="686" t="s">
        <v>1185</v>
      </c>
      <c r="AT275" s="686" t="s">
        <v>29</v>
      </c>
      <c r="AU275" s="686" t="s">
        <v>795</v>
      </c>
      <c r="AY275" s="629" t="s">
        <v>1063</v>
      </c>
      <c r="BE275" s="687">
        <f>IF(O275="základná",K275,0)</f>
        <v>0</v>
      </c>
      <c r="BF275" s="687">
        <f>IF(O275="znížená",K275,0)</f>
        <v>0</v>
      </c>
      <c r="BG275" s="687">
        <f>IF(O275="zákl. prenesená",K275,0)</f>
        <v>0</v>
      </c>
      <c r="BH275" s="687">
        <f>IF(O275="zníž. prenesená",K275,0)</f>
        <v>0</v>
      </c>
      <c r="BI275" s="687">
        <f>IF(O275="nulová",K275,0)</f>
        <v>0</v>
      </c>
      <c r="BJ275" s="629" t="s">
        <v>795</v>
      </c>
      <c r="BK275" s="687">
        <f>ROUND(P275*H275,2)</f>
        <v>0</v>
      </c>
      <c r="BL275" s="629" t="s">
        <v>1185</v>
      </c>
      <c r="BM275" s="686" t="s">
        <v>1392</v>
      </c>
    </row>
    <row r="276" spans="1:65" s="756" customFormat="1" ht="11.25">
      <c r="B276" s="757"/>
      <c r="C276" s="758"/>
      <c r="D276" s="759" t="s">
        <v>1143</v>
      </c>
      <c r="E276" s="760" t="s">
        <v>1043</v>
      </c>
      <c r="F276" s="761" t="s">
        <v>1385</v>
      </c>
      <c r="G276" s="758"/>
      <c r="H276" s="760" t="s">
        <v>1043</v>
      </c>
      <c r="I276" s="758"/>
      <c r="J276" s="758"/>
      <c r="K276" s="758"/>
      <c r="L276" s="758"/>
      <c r="M276" s="762"/>
      <c r="N276" s="763"/>
      <c r="O276" s="764"/>
      <c r="P276" s="764"/>
      <c r="Q276" s="764"/>
      <c r="R276" s="764"/>
      <c r="S276" s="764"/>
      <c r="T276" s="764"/>
      <c r="U276" s="764"/>
      <c r="V276" s="764"/>
      <c r="W276" s="764"/>
      <c r="X276" s="765"/>
      <c r="AT276" s="766" t="s">
        <v>1143</v>
      </c>
      <c r="AU276" s="766" t="s">
        <v>795</v>
      </c>
      <c r="AV276" s="756" t="s">
        <v>791</v>
      </c>
      <c r="AW276" s="756" t="s">
        <v>1145</v>
      </c>
      <c r="AX276" s="756" t="s">
        <v>788</v>
      </c>
      <c r="AY276" s="766" t="s">
        <v>1063</v>
      </c>
    </row>
    <row r="277" spans="1:65" s="767" customFormat="1" ht="11.25">
      <c r="B277" s="768"/>
      <c r="C277" s="769"/>
      <c r="D277" s="759" t="s">
        <v>1143</v>
      </c>
      <c r="E277" s="770" t="s">
        <v>1043</v>
      </c>
      <c r="F277" s="771" t="s">
        <v>1393</v>
      </c>
      <c r="G277" s="769"/>
      <c r="H277" s="772">
        <v>9</v>
      </c>
      <c r="I277" s="769"/>
      <c r="J277" s="769"/>
      <c r="K277" s="769"/>
      <c r="L277" s="769"/>
      <c r="M277" s="773"/>
      <c r="N277" s="774"/>
      <c r="O277" s="775"/>
      <c r="P277" s="775"/>
      <c r="Q277" s="775"/>
      <c r="R277" s="775"/>
      <c r="S277" s="775"/>
      <c r="T277" s="775"/>
      <c r="U277" s="775"/>
      <c r="V277" s="775"/>
      <c r="W277" s="775"/>
      <c r="X277" s="776"/>
      <c r="AT277" s="777" t="s">
        <v>1143</v>
      </c>
      <c r="AU277" s="777" t="s">
        <v>795</v>
      </c>
      <c r="AV277" s="767" t="s">
        <v>795</v>
      </c>
      <c r="AW277" s="767" t="s">
        <v>1145</v>
      </c>
      <c r="AX277" s="767" t="s">
        <v>788</v>
      </c>
      <c r="AY277" s="777" t="s">
        <v>1063</v>
      </c>
    </row>
    <row r="278" spans="1:65" s="756" customFormat="1" ht="11.25">
      <c r="B278" s="757"/>
      <c r="C278" s="758"/>
      <c r="D278" s="759" t="s">
        <v>1143</v>
      </c>
      <c r="E278" s="760" t="s">
        <v>1043</v>
      </c>
      <c r="F278" s="761" t="s">
        <v>1387</v>
      </c>
      <c r="G278" s="758"/>
      <c r="H278" s="760" t="s">
        <v>1043</v>
      </c>
      <c r="I278" s="758"/>
      <c r="J278" s="758"/>
      <c r="K278" s="758"/>
      <c r="L278" s="758"/>
      <c r="M278" s="762"/>
      <c r="N278" s="763"/>
      <c r="O278" s="764"/>
      <c r="P278" s="764"/>
      <c r="Q278" s="764"/>
      <c r="R278" s="764"/>
      <c r="S278" s="764"/>
      <c r="T278" s="764"/>
      <c r="U278" s="764"/>
      <c r="V278" s="764"/>
      <c r="W278" s="764"/>
      <c r="X278" s="765"/>
      <c r="AT278" s="766" t="s">
        <v>1143</v>
      </c>
      <c r="AU278" s="766" t="s">
        <v>795</v>
      </c>
      <c r="AV278" s="756" t="s">
        <v>791</v>
      </c>
      <c r="AW278" s="756" t="s">
        <v>1145</v>
      </c>
      <c r="AX278" s="756" t="s">
        <v>788</v>
      </c>
      <c r="AY278" s="766" t="s">
        <v>1063</v>
      </c>
    </row>
    <row r="279" spans="1:65" s="767" customFormat="1" ht="11.25">
      <c r="B279" s="768"/>
      <c r="C279" s="769"/>
      <c r="D279" s="759" t="s">
        <v>1143</v>
      </c>
      <c r="E279" s="770" t="s">
        <v>1043</v>
      </c>
      <c r="F279" s="771" t="s">
        <v>791</v>
      </c>
      <c r="G279" s="769"/>
      <c r="H279" s="772">
        <v>1</v>
      </c>
      <c r="I279" s="769"/>
      <c r="J279" s="769"/>
      <c r="K279" s="769"/>
      <c r="L279" s="769"/>
      <c r="M279" s="773"/>
      <c r="N279" s="774"/>
      <c r="O279" s="775"/>
      <c r="P279" s="775"/>
      <c r="Q279" s="775"/>
      <c r="R279" s="775"/>
      <c r="S279" s="775"/>
      <c r="T279" s="775"/>
      <c r="U279" s="775"/>
      <c r="V279" s="775"/>
      <c r="W279" s="775"/>
      <c r="X279" s="776"/>
      <c r="AT279" s="777" t="s">
        <v>1143</v>
      </c>
      <c r="AU279" s="777" t="s">
        <v>795</v>
      </c>
      <c r="AV279" s="767" t="s">
        <v>795</v>
      </c>
      <c r="AW279" s="767" t="s">
        <v>1145</v>
      </c>
      <c r="AX279" s="767" t="s">
        <v>788</v>
      </c>
      <c r="AY279" s="777" t="s">
        <v>1063</v>
      </c>
    </row>
    <row r="280" spans="1:65" s="778" customFormat="1" ht="11.25">
      <c r="B280" s="779"/>
      <c r="C280" s="780"/>
      <c r="D280" s="759" t="s">
        <v>1143</v>
      </c>
      <c r="E280" s="781" t="s">
        <v>1043</v>
      </c>
      <c r="F280" s="782" t="s">
        <v>1153</v>
      </c>
      <c r="G280" s="780"/>
      <c r="H280" s="783">
        <v>10</v>
      </c>
      <c r="I280" s="780"/>
      <c r="J280" s="780"/>
      <c r="K280" s="780"/>
      <c r="L280" s="780"/>
      <c r="M280" s="784"/>
      <c r="N280" s="785"/>
      <c r="O280" s="786"/>
      <c r="P280" s="786"/>
      <c r="Q280" s="786"/>
      <c r="R280" s="786"/>
      <c r="S280" s="786"/>
      <c r="T280" s="786"/>
      <c r="U280" s="786"/>
      <c r="V280" s="786"/>
      <c r="W280" s="786"/>
      <c r="X280" s="787"/>
      <c r="AT280" s="788" t="s">
        <v>1143</v>
      </c>
      <c r="AU280" s="788" t="s">
        <v>795</v>
      </c>
      <c r="AV280" s="778" t="s">
        <v>1065</v>
      </c>
      <c r="AW280" s="778" t="s">
        <v>1145</v>
      </c>
      <c r="AX280" s="778" t="s">
        <v>791</v>
      </c>
      <c r="AY280" s="788" t="s">
        <v>1063</v>
      </c>
    </row>
    <row r="281" spans="1:65" s="634" customFormat="1" ht="16.5" customHeight="1">
      <c r="A281" s="705"/>
      <c r="B281" s="706"/>
      <c r="C281" s="744" t="s">
        <v>1394</v>
      </c>
      <c r="D281" s="744" t="s">
        <v>29</v>
      </c>
      <c r="E281" s="745" t="s">
        <v>1395</v>
      </c>
      <c r="F281" s="746" t="s">
        <v>1396</v>
      </c>
      <c r="G281" s="747" t="s">
        <v>14</v>
      </c>
      <c r="H281" s="748">
        <v>4</v>
      </c>
      <c r="I281" s="749"/>
      <c r="J281" s="749"/>
      <c r="K281" s="749">
        <f>ROUND(P281*H281,2)</f>
        <v>0</v>
      </c>
      <c r="L281" s="750"/>
      <c r="M281" s="631"/>
      <c r="N281" s="751" t="s">
        <v>1043</v>
      </c>
      <c r="O281" s="752" t="s">
        <v>1129</v>
      </c>
      <c r="P281" s="753">
        <f>I281+J281</f>
        <v>0</v>
      </c>
      <c r="Q281" s="753">
        <f>ROUND(I281*H281,2)</f>
        <v>0</v>
      </c>
      <c r="R281" s="753">
        <f>ROUND(J281*H281,2)</f>
        <v>0</v>
      </c>
      <c r="S281" s="754">
        <v>0.23200000000000001</v>
      </c>
      <c r="T281" s="754">
        <f>S281*H281</f>
        <v>0.92800000000000005</v>
      </c>
      <c r="U281" s="754">
        <v>5.9000000000000003E-4</v>
      </c>
      <c r="V281" s="754">
        <f>U281*H281</f>
        <v>2.3600000000000001E-3</v>
      </c>
      <c r="W281" s="754">
        <v>0</v>
      </c>
      <c r="X281" s="755">
        <f>W281*H281</f>
        <v>0</v>
      </c>
      <c r="Y281" s="705"/>
      <c r="Z281" s="705"/>
      <c r="AA281" s="705"/>
      <c r="AB281" s="705"/>
      <c r="AC281" s="705"/>
      <c r="AD281" s="705"/>
      <c r="AE281" s="705"/>
      <c r="AR281" s="686" t="s">
        <v>1185</v>
      </c>
      <c r="AT281" s="686" t="s">
        <v>29</v>
      </c>
      <c r="AU281" s="686" t="s">
        <v>795</v>
      </c>
      <c r="AY281" s="629" t="s">
        <v>1063</v>
      </c>
      <c r="BE281" s="687">
        <f>IF(O281="základná",K281,0)</f>
        <v>0</v>
      </c>
      <c r="BF281" s="687">
        <f>IF(O281="znížená",K281,0)</f>
        <v>0</v>
      </c>
      <c r="BG281" s="687">
        <f>IF(O281="zákl. prenesená",K281,0)</f>
        <v>0</v>
      </c>
      <c r="BH281" s="687">
        <f>IF(O281="zníž. prenesená",K281,0)</f>
        <v>0</v>
      </c>
      <c r="BI281" s="687">
        <f>IF(O281="nulová",K281,0)</f>
        <v>0</v>
      </c>
      <c r="BJ281" s="629" t="s">
        <v>795</v>
      </c>
      <c r="BK281" s="687">
        <f>ROUND(P281*H281,2)</f>
        <v>0</v>
      </c>
      <c r="BL281" s="629" t="s">
        <v>1185</v>
      </c>
      <c r="BM281" s="686" t="s">
        <v>1397</v>
      </c>
    </row>
    <row r="282" spans="1:65" s="756" customFormat="1" ht="11.25">
      <c r="B282" s="757"/>
      <c r="C282" s="758"/>
      <c r="D282" s="759" t="s">
        <v>1143</v>
      </c>
      <c r="E282" s="760" t="s">
        <v>1043</v>
      </c>
      <c r="F282" s="761" t="s">
        <v>1385</v>
      </c>
      <c r="G282" s="758"/>
      <c r="H282" s="760" t="s">
        <v>1043</v>
      </c>
      <c r="I282" s="758"/>
      <c r="J282" s="758"/>
      <c r="K282" s="758"/>
      <c r="L282" s="758"/>
      <c r="M282" s="762"/>
      <c r="N282" s="763"/>
      <c r="O282" s="764"/>
      <c r="P282" s="764"/>
      <c r="Q282" s="764"/>
      <c r="R282" s="764"/>
      <c r="S282" s="764"/>
      <c r="T282" s="764"/>
      <c r="U282" s="764"/>
      <c r="V282" s="764"/>
      <c r="W282" s="764"/>
      <c r="X282" s="765"/>
      <c r="AT282" s="766" t="s">
        <v>1143</v>
      </c>
      <c r="AU282" s="766" t="s">
        <v>795</v>
      </c>
      <c r="AV282" s="756" t="s">
        <v>791</v>
      </c>
      <c r="AW282" s="756" t="s">
        <v>1145</v>
      </c>
      <c r="AX282" s="756" t="s">
        <v>788</v>
      </c>
      <c r="AY282" s="766" t="s">
        <v>1063</v>
      </c>
    </row>
    <row r="283" spans="1:65" s="767" customFormat="1" ht="11.25">
      <c r="B283" s="768"/>
      <c r="C283" s="769"/>
      <c r="D283" s="759" t="s">
        <v>1143</v>
      </c>
      <c r="E283" s="770" t="s">
        <v>1043</v>
      </c>
      <c r="F283" s="771" t="s">
        <v>1229</v>
      </c>
      <c r="G283" s="769"/>
      <c r="H283" s="772">
        <v>3.5</v>
      </c>
      <c r="I283" s="769"/>
      <c r="J283" s="769"/>
      <c r="K283" s="769"/>
      <c r="L283" s="769"/>
      <c r="M283" s="773"/>
      <c r="N283" s="774"/>
      <c r="O283" s="775"/>
      <c r="P283" s="775"/>
      <c r="Q283" s="775"/>
      <c r="R283" s="775"/>
      <c r="S283" s="775"/>
      <c r="T283" s="775"/>
      <c r="U283" s="775"/>
      <c r="V283" s="775"/>
      <c r="W283" s="775"/>
      <c r="X283" s="776"/>
      <c r="AT283" s="777" t="s">
        <v>1143</v>
      </c>
      <c r="AU283" s="777" t="s">
        <v>795</v>
      </c>
      <c r="AV283" s="767" t="s">
        <v>795</v>
      </c>
      <c r="AW283" s="767" t="s">
        <v>1145</v>
      </c>
      <c r="AX283" s="767" t="s">
        <v>788</v>
      </c>
      <c r="AY283" s="777" t="s">
        <v>1063</v>
      </c>
    </row>
    <row r="284" spans="1:65" s="756" customFormat="1" ht="11.25">
      <c r="B284" s="757"/>
      <c r="C284" s="758"/>
      <c r="D284" s="759" t="s">
        <v>1143</v>
      </c>
      <c r="E284" s="760" t="s">
        <v>1043</v>
      </c>
      <c r="F284" s="761" t="s">
        <v>1387</v>
      </c>
      <c r="G284" s="758"/>
      <c r="H284" s="760" t="s">
        <v>1043</v>
      </c>
      <c r="I284" s="758"/>
      <c r="J284" s="758"/>
      <c r="K284" s="758"/>
      <c r="L284" s="758"/>
      <c r="M284" s="762"/>
      <c r="N284" s="763"/>
      <c r="O284" s="764"/>
      <c r="P284" s="764"/>
      <c r="Q284" s="764"/>
      <c r="R284" s="764"/>
      <c r="S284" s="764"/>
      <c r="T284" s="764"/>
      <c r="U284" s="764"/>
      <c r="V284" s="764"/>
      <c r="W284" s="764"/>
      <c r="X284" s="765"/>
      <c r="AT284" s="766" t="s">
        <v>1143</v>
      </c>
      <c r="AU284" s="766" t="s">
        <v>795</v>
      </c>
      <c r="AV284" s="756" t="s">
        <v>791</v>
      </c>
      <c r="AW284" s="756" t="s">
        <v>1145</v>
      </c>
      <c r="AX284" s="756" t="s">
        <v>788</v>
      </c>
      <c r="AY284" s="766" t="s">
        <v>1063</v>
      </c>
    </row>
    <row r="285" spans="1:65" s="767" customFormat="1" ht="11.25">
      <c r="B285" s="768"/>
      <c r="C285" s="769"/>
      <c r="D285" s="759" t="s">
        <v>1143</v>
      </c>
      <c r="E285" s="770" t="s">
        <v>1043</v>
      </c>
      <c r="F285" s="771" t="s">
        <v>1398</v>
      </c>
      <c r="G285" s="769"/>
      <c r="H285" s="772">
        <v>0.5</v>
      </c>
      <c r="I285" s="769"/>
      <c r="J285" s="769"/>
      <c r="K285" s="769"/>
      <c r="L285" s="769"/>
      <c r="M285" s="773"/>
      <c r="N285" s="774"/>
      <c r="O285" s="775"/>
      <c r="P285" s="775"/>
      <c r="Q285" s="775"/>
      <c r="R285" s="775"/>
      <c r="S285" s="775"/>
      <c r="T285" s="775"/>
      <c r="U285" s="775"/>
      <c r="V285" s="775"/>
      <c r="W285" s="775"/>
      <c r="X285" s="776"/>
      <c r="AT285" s="777" t="s">
        <v>1143</v>
      </c>
      <c r="AU285" s="777" t="s">
        <v>795</v>
      </c>
      <c r="AV285" s="767" t="s">
        <v>795</v>
      </c>
      <c r="AW285" s="767" t="s">
        <v>1145</v>
      </c>
      <c r="AX285" s="767" t="s">
        <v>788</v>
      </c>
      <c r="AY285" s="777" t="s">
        <v>1063</v>
      </c>
    </row>
    <row r="286" spans="1:65" s="778" customFormat="1" ht="11.25">
      <c r="B286" s="779"/>
      <c r="C286" s="780"/>
      <c r="D286" s="759" t="s">
        <v>1143</v>
      </c>
      <c r="E286" s="781" t="s">
        <v>1043</v>
      </c>
      <c r="F286" s="782" t="s">
        <v>1153</v>
      </c>
      <c r="G286" s="780"/>
      <c r="H286" s="783">
        <v>4</v>
      </c>
      <c r="I286" s="780"/>
      <c r="J286" s="780"/>
      <c r="K286" s="780"/>
      <c r="L286" s="780"/>
      <c r="M286" s="784"/>
      <c r="N286" s="785"/>
      <c r="O286" s="786"/>
      <c r="P286" s="786"/>
      <c r="Q286" s="786"/>
      <c r="R286" s="786"/>
      <c r="S286" s="786"/>
      <c r="T286" s="786"/>
      <c r="U286" s="786"/>
      <c r="V286" s="786"/>
      <c r="W286" s="786"/>
      <c r="X286" s="787"/>
      <c r="AT286" s="788" t="s">
        <v>1143</v>
      </c>
      <c r="AU286" s="788" t="s">
        <v>795</v>
      </c>
      <c r="AV286" s="778" t="s">
        <v>1065</v>
      </c>
      <c r="AW286" s="778" t="s">
        <v>1145</v>
      </c>
      <c r="AX286" s="778" t="s">
        <v>791</v>
      </c>
      <c r="AY286" s="788" t="s">
        <v>1063</v>
      </c>
    </row>
    <row r="287" spans="1:65" s="634" customFormat="1" ht="21.75" customHeight="1">
      <c r="A287" s="705"/>
      <c r="B287" s="706"/>
      <c r="C287" s="744" t="s">
        <v>1399</v>
      </c>
      <c r="D287" s="744" t="s">
        <v>29</v>
      </c>
      <c r="E287" s="745" t="s">
        <v>1400</v>
      </c>
      <c r="F287" s="746" t="s">
        <v>1401</v>
      </c>
      <c r="G287" s="747" t="s">
        <v>19</v>
      </c>
      <c r="H287" s="748">
        <v>22</v>
      </c>
      <c r="I287" s="749"/>
      <c r="J287" s="749"/>
      <c r="K287" s="749">
        <f>ROUND(P287*H287,2)</f>
        <v>0</v>
      </c>
      <c r="L287" s="750"/>
      <c r="M287" s="631"/>
      <c r="N287" s="751" t="s">
        <v>1043</v>
      </c>
      <c r="O287" s="752" t="s">
        <v>1129</v>
      </c>
      <c r="P287" s="753">
        <f>I287+J287</f>
        <v>0</v>
      </c>
      <c r="Q287" s="753">
        <f>ROUND(I287*H287,2)</f>
        <v>0</v>
      </c>
      <c r="R287" s="753">
        <f>ROUND(J287*H287,2)</f>
        <v>0</v>
      </c>
      <c r="S287" s="754">
        <v>0.19</v>
      </c>
      <c r="T287" s="754">
        <f>S287*H287</f>
        <v>4.18</v>
      </c>
      <c r="U287" s="754">
        <v>0</v>
      </c>
      <c r="V287" s="754">
        <f>U287*H287</f>
        <v>0</v>
      </c>
      <c r="W287" s="754">
        <v>0</v>
      </c>
      <c r="X287" s="755">
        <f>W287*H287</f>
        <v>0</v>
      </c>
      <c r="Y287" s="705"/>
      <c r="Z287" s="705"/>
      <c r="AA287" s="705"/>
      <c r="AB287" s="705"/>
      <c r="AC287" s="705"/>
      <c r="AD287" s="705"/>
      <c r="AE287" s="705"/>
      <c r="AR287" s="686" t="s">
        <v>1185</v>
      </c>
      <c r="AT287" s="686" t="s">
        <v>29</v>
      </c>
      <c r="AU287" s="686" t="s">
        <v>795</v>
      </c>
      <c r="AY287" s="629" t="s">
        <v>1063</v>
      </c>
      <c r="BE287" s="687">
        <f>IF(O287="základná",K287,0)</f>
        <v>0</v>
      </c>
      <c r="BF287" s="687">
        <f>IF(O287="znížená",K287,0)</f>
        <v>0</v>
      </c>
      <c r="BG287" s="687">
        <f>IF(O287="zákl. prenesená",K287,0)</f>
        <v>0</v>
      </c>
      <c r="BH287" s="687">
        <f>IF(O287="zníž. prenesená",K287,0)</f>
        <v>0</v>
      </c>
      <c r="BI287" s="687">
        <f>IF(O287="nulová",K287,0)</f>
        <v>0</v>
      </c>
      <c r="BJ287" s="629" t="s">
        <v>795</v>
      </c>
      <c r="BK287" s="687">
        <f>ROUND(P287*H287,2)</f>
        <v>0</v>
      </c>
      <c r="BL287" s="629" t="s">
        <v>1185</v>
      </c>
      <c r="BM287" s="686" t="s">
        <v>1402</v>
      </c>
    </row>
    <row r="288" spans="1:65" s="756" customFormat="1" ht="11.25">
      <c r="B288" s="757"/>
      <c r="C288" s="758"/>
      <c r="D288" s="759" t="s">
        <v>1143</v>
      </c>
      <c r="E288" s="760" t="s">
        <v>1043</v>
      </c>
      <c r="F288" s="761" t="s">
        <v>1403</v>
      </c>
      <c r="G288" s="758"/>
      <c r="H288" s="760" t="s">
        <v>1043</v>
      </c>
      <c r="I288" s="758"/>
      <c r="J288" s="758"/>
      <c r="K288" s="758"/>
      <c r="L288" s="758"/>
      <c r="M288" s="762"/>
      <c r="N288" s="763"/>
      <c r="O288" s="764"/>
      <c r="P288" s="764"/>
      <c r="Q288" s="764"/>
      <c r="R288" s="764"/>
      <c r="S288" s="764"/>
      <c r="T288" s="764"/>
      <c r="U288" s="764"/>
      <c r="V288" s="764"/>
      <c r="W288" s="764"/>
      <c r="X288" s="765"/>
      <c r="AT288" s="766" t="s">
        <v>1143</v>
      </c>
      <c r="AU288" s="766" t="s">
        <v>795</v>
      </c>
      <c r="AV288" s="756" t="s">
        <v>791</v>
      </c>
      <c r="AW288" s="756" t="s">
        <v>1145</v>
      </c>
      <c r="AX288" s="756" t="s">
        <v>788</v>
      </c>
      <c r="AY288" s="766" t="s">
        <v>1063</v>
      </c>
    </row>
    <row r="289" spans="1:65" s="767" customFormat="1" ht="11.25">
      <c r="B289" s="768"/>
      <c r="C289" s="769"/>
      <c r="D289" s="759" t="s">
        <v>1143</v>
      </c>
      <c r="E289" s="770" t="s">
        <v>1043</v>
      </c>
      <c r="F289" s="771" t="s">
        <v>1404</v>
      </c>
      <c r="G289" s="769"/>
      <c r="H289" s="772">
        <v>22</v>
      </c>
      <c r="I289" s="769"/>
      <c r="J289" s="769"/>
      <c r="K289" s="769"/>
      <c r="L289" s="769"/>
      <c r="M289" s="773"/>
      <c r="N289" s="774"/>
      <c r="O289" s="775"/>
      <c r="P289" s="775"/>
      <c r="Q289" s="775"/>
      <c r="R289" s="775"/>
      <c r="S289" s="775"/>
      <c r="T289" s="775"/>
      <c r="U289" s="775"/>
      <c r="V289" s="775"/>
      <c r="W289" s="775"/>
      <c r="X289" s="776"/>
      <c r="AT289" s="777" t="s">
        <v>1143</v>
      </c>
      <c r="AU289" s="777" t="s">
        <v>795</v>
      </c>
      <c r="AV289" s="767" t="s">
        <v>795</v>
      </c>
      <c r="AW289" s="767" t="s">
        <v>1145</v>
      </c>
      <c r="AX289" s="767" t="s">
        <v>788</v>
      </c>
      <c r="AY289" s="777" t="s">
        <v>1063</v>
      </c>
    </row>
    <row r="290" spans="1:65" s="778" customFormat="1" ht="11.25">
      <c r="B290" s="779"/>
      <c r="C290" s="780"/>
      <c r="D290" s="759" t="s">
        <v>1143</v>
      </c>
      <c r="E290" s="781" t="s">
        <v>1043</v>
      </c>
      <c r="F290" s="782" t="s">
        <v>1153</v>
      </c>
      <c r="G290" s="780"/>
      <c r="H290" s="783">
        <v>22</v>
      </c>
      <c r="I290" s="780"/>
      <c r="J290" s="780"/>
      <c r="K290" s="780"/>
      <c r="L290" s="780"/>
      <c r="M290" s="784"/>
      <c r="N290" s="785"/>
      <c r="O290" s="786"/>
      <c r="P290" s="786"/>
      <c r="Q290" s="786"/>
      <c r="R290" s="786"/>
      <c r="S290" s="786"/>
      <c r="T290" s="786"/>
      <c r="U290" s="786"/>
      <c r="V290" s="786"/>
      <c r="W290" s="786"/>
      <c r="X290" s="787"/>
      <c r="AT290" s="788" t="s">
        <v>1143</v>
      </c>
      <c r="AU290" s="788" t="s">
        <v>795</v>
      </c>
      <c r="AV290" s="778" t="s">
        <v>1065</v>
      </c>
      <c r="AW290" s="778" t="s">
        <v>1145</v>
      </c>
      <c r="AX290" s="778" t="s">
        <v>791</v>
      </c>
      <c r="AY290" s="788" t="s">
        <v>1063</v>
      </c>
    </row>
    <row r="291" spans="1:65" s="634" customFormat="1" ht="16.5" customHeight="1">
      <c r="A291" s="705"/>
      <c r="B291" s="706"/>
      <c r="C291" s="744" t="s">
        <v>1405</v>
      </c>
      <c r="D291" s="744" t="s">
        <v>29</v>
      </c>
      <c r="E291" s="745" t="s">
        <v>1406</v>
      </c>
      <c r="F291" s="746" t="s">
        <v>1407</v>
      </c>
      <c r="G291" s="747" t="s">
        <v>19</v>
      </c>
      <c r="H291" s="748">
        <v>16</v>
      </c>
      <c r="I291" s="749"/>
      <c r="J291" s="749"/>
      <c r="K291" s="749">
        <f>ROUND(P291*H291,2)</f>
        <v>0</v>
      </c>
      <c r="L291" s="750"/>
      <c r="M291" s="631"/>
      <c r="N291" s="751" t="s">
        <v>1043</v>
      </c>
      <c r="O291" s="752" t="s">
        <v>1129</v>
      </c>
      <c r="P291" s="753">
        <f>I291+J291</f>
        <v>0</v>
      </c>
      <c r="Q291" s="753">
        <f>ROUND(I291*H291,2)</f>
        <v>0</v>
      </c>
      <c r="R291" s="753">
        <f>ROUND(J291*H291,2)</f>
        <v>0</v>
      </c>
      <c r="S291" s="754">
        <v>0.40100000000000002</v>
      </c>
      <c r="T291" s="754">
        <f>S291*H291</f>
        <v>6.4160000000000004</v>
      </c>
      <c r="U291" s="754">
        <v>0</v>
      </c>
      <c r="V291" s="754">
        <f>U291*H291</f>
        <v>0</v>
      </c>
      <c r="W291" s="754">
        <v>0</v>
      </c>
      <c r="X291" s="755">
        <f>W291*H291</f>
        <v>0</v>
      </c>
      <c r="Y291" s="705"/>
      <c r="Z291" s="705"/>
      <c r="AA291" s="705"/>
      <c r="AB291" s="705"/>
      <c r="AC291" s="705"/>
      <c r="AD291" s="705"/>
      <c r="AE291" s="705"/>
      <c r="AR291" s="686" t="s">
        <v>1185</v>
      </c>
      <c r="AT291" s="686" t="s">
        <v>29</v>
      </c>
      <c r="AU291" s="686" t="s">
        <v>795</v>
      </c>
      <c r="AY291" s="629" t="s">
        <v>1063</v>
      </c>
      <c r="BE291" s="687">
        <f>IF(O291="základná",K291,0)</f>
        <v>0</v>
      </c>
      <c r="BF291" s="687">
        <f>IF(O291="znížená",K291,0)</f>
        <v>0</v>
      </c>
      <c r="BG291" s="687">
        <f>IF(O291="zákl. prenesená",K291,0)</f>
        <v>0</v>
      </c>
      <c r="BH291" s="687">
        <f>IF(O291="zníž. prenesená",K291,0)</f>
        <v>0</v>
      </c>
      <c r="BI291" s="687">
        <f>IF(O291="nulová",K291,0)</f>
        <v>0</v>
      </c>
      <c r="BJ291" s="629" t="s">
        <v>795</v>
      </c>
      <c r="BK291" s="687">
        <f>ROUND(P291*H291,2)</f>
        <v>0</v>
      </c>
      <c r="BL291" s="629" t="s">
        <v>1185</v>
      </c>
      <c r="BM291" s="686" t="s">
        <v>1408</v>
      </c>
    </row>
    <row r="292" spans="1:65" s="756" customFormat="1" ht="11.25">
      <c r="B292" s="757"/>
      <c r="C292" s="758"/>
      <c r="D292" s="759" t="s">
        <v>1143</v>
      </c>
      <c r="E292" s="760" t="s">
        <v>1043</v>
      </c>
      <c r="F292" s="761" t="s">
        <v>1409</v>
      </c>
      <c r="G292" s="758"/>
      <c r="H292" s="760" t="s">
        <v>1043</v>
      </c>
      <c r="I292" s="758"/>
      <c r="J292" s="758"/>
      <c r="K292" s="758"/>
      <c r="L292" s="758"/>
      <c r="M292" s="762"/>
      <c r="N292" s="763"/>
      <c r="O292" s="764"/>
      <c r="P292" s="764"/>
      <c r="Q292" s="764"/>
      <c r="R292" s="764"/>
      <c r="S292" s="764"/>
      <c r="T292" s="764"/>
      <c r="U292" s="764"/>
      <c r="V292" s="764"/>
      <c r="W292" s="764"/>
      <c r="X292" s="765"/>
      <c r="AT292" s="766" t="s">
        <v>1143</v>
      </c>
      <c r="AU292" s="766" t="s">
        <v>795</v>
      </c>
      <c r="AV292" s="756" t="s">
        <v>791</v>
      </c>
      <c r="AW292" s="756" t="s">
        <v>1145</v>
      </c>
      <c r="AX292" s="756" t="s">
        <v>788</v>
      </c>
      <c r="AY292" s="766" t="s">
        <v>1063</v>
      </c>
    </row>
    <row r="293" spans="1:65" s="767" customFormat="1" ht="11.25">
      <c r="B293" s="768"/>
      <c r="C293" s="769"/>
      <c r="D293" s="759" t="s">
        <v>1143</v>
      </c>
      <c r="E293" s="770" t="s">
        <v>1043</v>
      </c>
      <c r="F293" s="771" t="s">
        <v>1410</v>
      </c>
      <c r="G293" s="769"/>
      <c r="H293" s="772">
        <v>16</v>
      </c>
      <c r="I293" s="769"/>
      <c r="J293" s="769"/>
      <c r="K293" s="769"/>
      <c r="L293" s="769"/>
      <c r="M293" s="773"/>
      <c r="N293" s="774"/>
      <c r="O293" s="775"/>
      <c r="P293" s="775"/>
      <c r="Q293" s="775"/>
      <c r="R293" s="775"/>
      <c r="S293" s="775"/>
      <c r="T293" s="775"/>
      <c r="U293" s="775"/>
      <c r="V293" s="775"/>
      <c r="W293" s="775"/>
      <c r="X293" s="776"/>
      <c r="AT293" s="777" t="s">
        <v>1143</v>
      </c>
      <c r="AU293" s="777" t="s">
        <v>795</v>
      </c>
      <c r="AV293" s="767" t="s">
        <v>795</v>
      </c>
      <c r="AW293" s="767" t="s">
        <v>1145</v>
      </c>
      <c r="AX293" s="767" t="s">
        <v>788</v>
      </c>
      <c r="AY293" s="777" t="s">
        <v>1063</v>
      </c>
    </row>
    <row r="294" spans="1:65" s="778" customFormat="1" ht="11.25">
      <c r="B294" s="779"/>
      <c r="C294" s="780"/>
      <c r="D294" s="759" t="s">
        <v>1143</v>
      </c>
      <c r="E294" s="781" t="s">
        <v>1043</v>
      </c>
      <c r="F294" s="782" t="s">
        <v>1153</v>
      </c>
      <c r="G294" s="780"/>
      <c r="H294" s="783">
        <v>16</v>
      </c>
      <c r="I294" s="780"/>
      <c r="J294" s="780"/>
      <c r="K294" s="780"/>
      <c r="L294" s="780"/>
      <c r="M294" s="784"/>
      <c r="N294" s="785"/>
      <c r="O294" s="786"/>
      <c r="P294" s="786"/>
      <c r="Q294" s="786"/>
      <c r="R294" s="786"/>
      <c r="S294" s="786"/>
      <c r="T294" s="786"/>
      <c r="U294" s="786"/>
      <c r="V294" s="786"/>
      <c r="W294" s="786"/>
      <c r="X294" s="787"/>
      <c r="AT294" s="788" t="s">
        <v>1143</v>
      </c>
      <c r="AU294" s="788" t="s">
        <v>795</v>
      </c>
      <c r="AV294" s="778" t="s">
        <v>1065</v>
      </c>
      <c r="AW294" s="778" t="s">
        <v>1145</v>
      </c>
      <c r="AX294" s="778" t="s">
        <v>791</v>
      </c>
      <c r="AY294" s="788" t="s">
        <v>1063</v>
      </c>
    </row>
    <row r="295" spans="1:65" s="634" customFormat="1" ht="21.75" customHeight="1">
      <c r="A295" s="705"/>
      <c r="B295" s="706"/>
      <c r="C295" s="744" t="s">
        <v>1411</v>
      </c>
      <c r="D295" s="744" t="s">
        <v>29</v>
      </c>
      <c r="E295" s="745" t="s">
        <v>1412</v>
      </c>
      <c r="F295" s="746" t="s">
        <v>1413</v>
      </c>
      <c r="G295" s="747" t="s">
        <v>19</v>
      </c>
      <c r="H295" s="748">
        <v>14</v>
      </c>
      <c r="I295" s="749"/>
      <c r="J295" s="749"/>
      <c r="K295" s="749">
        <f>ROUND(P295*H295,2)</f>
        <v>0</v>
      </c>
      <c r="L295" s="750"/>
      <c r="M295" s="631"/>
      <c r="N295" s="751" t="s">
        <v>1043</v>
      </c>
      <c r="O295" s="752" t="s">
        <v>1129</v>
      </c>
      <c r="P295" s="753">
        <f>I295+J295</f>
        <v>0</v>
      </c>
      <c r="Q295" s="753">
        <f>ROUND(I295*H295,2)</f>
        <v>0</v>
      </c>
      <c r="R295" s="753">
        <f>ROUND(J295*H295,2)</f>
        <v>0</v>
      </c>
      <c r="S295" s="754">
        <v>0.218</v>
      </c>
      <c r="T295" s="754">
        <f>S295*H295</f>
        <v>3.052</v>
      </c>
      <c r="U295" s="754">
        <v>1.2999999999999999E-4</v>
      </c>
      <c r="V295" s="754">
        <f>U295*H295</f>
        <v>1.8199999999999998E-3</v>
      </c>
      <c r="W295" s="754">
        <v>0</v>
      </c>
      <c r="X295" s="755">
        <f>W295*H295</f>
        <v>0</v>
      </c>
      <c r="Y295" s="705"/>
      <c r="Z295" s="705"/>
      <c r="AA295" s="705"/>
      <c r="AB295" s="705"/>
      <c r="AC295" s="705"/>
      <c r="AD295" s="705"/>
      <c r="AE295" s="705"/>
      <c r="AR295" s="686" t="s">
        <v>1185</v>
      </c>
      <c r="AT295" s="686" t="s">
        <v>29</v>
      </c>
      <c r="AU295" s="686" t="s">
        <v>795</v>
      </c>
      <c r="AY295" s="629" t="s">
        <v>1063</v>
      </c>
      <c r="BE295" s="687">
        <f>IF(O295="základná",K295,0)</f>
        <v>0</v>
      </c>
      <c r="BF295" s="687">
        <f>IF(O295="znížená",K295,0)</f>
        <v>0</v>
      </c>
      <c r="BG295" s="687">
        <f>IF(O295="zákl. prenesená",K295,0)</f>
        <v>0</v>
      </c>
      <c r="BH295" s="687">
        <f>IF(O295="zníž. prenesená",K295,0)</f>
        <v>0</v>
      </c>
      <c r="BI295" s="687">
        <f>IF(O295="nulová",K295,0)</f>
        <v>0</v>
      </c>
      <c r="BJ295" s="629" t="s">
        <v>795</v>
      </c>
      <c r="BK295" s="687">
        <f>ROUND(P295*H295,2)</f>
        <v>0</v>
      </c>
      <c r="BL295" s="629" t="s">
        <v>1185</v>
      </c>
      <c r="BM295" s="686" t="s">
        <v>1414</v>
      </c>
    </row>
    <row r="296" spans="1:65" s="756" customFormat="1" ht="11.25">
      <c r="B296" s="757"/>
      <c r="C296" s="758"/>
      <c r="D296" s="759" t="s">
        <v>1143</v>
      </c>
      <c r="E296" s="760" t="s">
        <v>1043</v>
      </c>
      <c r="F296" s="761" t="s">
        <v>1409</v>
      </c>
      <c r="G296" s="758"/>
      <c r="H296" s="760" t="s">
        <v>1043</v>
      </c>
      <c r="I296" s="758"/>
      <c r="J296" s="758"/>
      <c r="K296" s="758"/>
      <c r="L296" s="758"/>
      <c r="M296" s="762"/>
      <c r="N296" s="763"/>
      <c r="O296" s="764"/>
      <c r="P296" s="764"/>
      <c r="Q296" s="764"/>
      <c r="R296" s="764"/>
      <c r="S296" s="764"/>
      <c r="T296" s="764"/>
      <c r="U296" s="764"/>
      <c r="V296" s="764"/>
      <c r="W296" s="764"/>
      <c r="X296" s="765"/>
      <c r="AT296" s="766" t="s">
        <v>1143</v>
      </c>
      <c r="AU296" s="766" t="s">
        <v>795</v>
      </c>
      <c r="AV296" s="756" t="s">
        <v>791</v>
      </c>
      <c r="AW296" s="756" t="s">
        <v>1145</v>
      </c>
      <c r="AX296" s="756" t="s">
        <v>788</v>
      </c>
      <c r="AY296" s="766" t="s">
        <v>1063</v>
      </c>
    </row>
    <row r="297" spans="1:65" s="767" customFormat="1" ht="11.25">
      <c r="B297" s="768"/>
      <c r="C297" s="769"/>
      <c r="D297" s="759" t="s">
        <v>1143</v>
      </c>
      <c r="E297" s="770" t="s">
        <v>1043</v>
      </c>
      <c r="F297" s="771" t="s">
        <v>1415</v>
      </c>
      <c r="G297" s="769"/>
      <c r="H297" s="772">
        <v>14</v>
      </c>
      <c r="I297" s="769"/>
      <c r="J297" s="769"/>
      <c r="K297" s="769"/>
      <c r="L297" s="769"/>
      <c r="M297" s="773"/>
      <c r="N297" s="774"/>
      <c r="O297" s="775"/>
      <c r="P297" s="775"/>
      <c r="Q297" s="775"/>
      <c r="R297" s="775"/>
      <c r="S297" s="775"/>
      <c r="T297" s="775"/>
      <c r="U297" s="775"/>
      <c r="V297" s="775"/>
      <c r="W297" s="775"/>
      <c r="X297" s="776"/>
      <c r="AT297" s="777" t="s">
        <v>1143</v>
      </c>
      <c r="AU297" s="777" t="s">
        <v>795</v>
      </c>
      <c r="AV297" s="767" t="s">
        <v>795</v>
      </c>
      <c r="AW297" s="767" t="s">
        <v>1145</v>
      </c>
      <c r="AX297" s="767" t="s">
        <v>788</v>
      </c>
      <c r="AY297" s="777" t="s">
        <v>1063</v>
      </c>
    </row>
    <row r="298" spans="1:65" s="778" customFormat="1" ht="11.25">
      <c r="B298" s="779"/>
      <c r="C298" s="780"/>
      <c r="D298" s="759" t="s">
        <v>1143</v>
      </c>
      <c r="E298" s="781" t="s">
        <v>1043</v>
      </c>
      <c r="F298" s="782" t="s">
        <v>1153</v>
      </c>
      <c r="G298" s="780"/>
      <c r="H298" s="783">
        <v>14</v>
      </c>
      <c r="I298" s="780"/>
      <c r="J298" s="780"/>
      <c r="K298" s="780"/>
      <c r="L298" s="780"/>
      <c r="M298" s="784"/>
      <c r="N298" s="785"/>
      <c r="O298" s="786"/>
      <c r="P298" s="786"/>
      <c r="Q298" s="786"/>
      <c r="R298" s="786"/>
      <c r="S298" s="786"/>
      <c r="T298" s="786"/>
      <c r="U298" s="786"/>
      <c r="V298" s="786"/>
      <c r="W298" s="786"/>
      <c r="X298" s="787"/>
      <c r="AT298" s="788" t="s">
        <v>1143</v>
      </c>
      <c r="AU298" s="788" t="s">
        <v>795</v>
      </c>
      <c r="AV298" s="778" t="s">
        <v>1065</v>
      </c>
      <c r="AW298" s="778" t="s">
        <v>1145</v>
      </c>
      <c r="AX298" s="778" t="s">
        <v>791</v>
      </c>
      <c r="AY298" s="788" t="s">
        <v>1063</v>
      </c>
    </row>
    <row r="299" spans="1:65" s="634" customFormat="1" ht="21.75" customHeight="1">
      <c r="A299" s="705"/>
      <c r="B299" s="706"/>
      <c r="C299" s="744" t="s">
        <v>1416</v>
      </c>
      <c r="D299" s="744" t="s">
        <v>29</v>
      </c>
      <c r="E299" s="745" t="s">
        <v>1417</v>
      </c>
      <c r="F299" s="746" t="s">
        <v>1418</v>
      </c>
      <c r="G299" s="747" t="s">
        <v>1419</v>
      </c>
      <c r="H299" s="748">
        <v>1</v>
      </c>
      <c r="I299" s="749"/>
      <c r="J299" s="749"/>
      <c r="K299" s="749">
        <f>ROUND(P299*H299,2)</f>
        <v>0</v>
      </c>
      <c r="L299" s="750"/>
      <c r="M299" s="631"/>
      <c r="N299" s="751" t="s">
        <v>1043</v>
      </c>
      <c r="O299" s="752" t="s">
        <v>1129</v>
      </c>
      <c r="P299" s="753">
        <f>I299+J299</f>
        <v>0</v>
      </c>
      <c r="Q299" s="753">
        <f>ROUND(I299*H299,2)</f>
        <v>0</v>
      </c>
      <c r="R299" s="753">
        <f>ROUND(J299*H299,2)</f>
        <v>0</v>
      </c>
      <c r="S299" s="754">
        <v>0.434</v>
      </c>
      <c r="T299" s="754">
        <f>S299*H299</f>
        <v>0.434</v>
      </c>
      <c r="U299" s="754">
        <v>2.5999999999999998E-4</v>
      </c>
      <c r="V299" s="754">
        <f>U299*H299</f>
        <v>2.5999999999999998E-4</v>
      </c>
      <c r="W299" s="754">
        <v>0</v>
      </c>
      <c r="X299" s="755">
        <f>W299*H299</f>
        <v>0</v>
      </c>
      <c r="Y299" s="705"/>
      <c r="Z299" s="705"/>
      <c r="AA299" s="705"/>
      <c r="AB299" s="705"/>
      <c r="AC299" s="705"/>
      <c r="AD299" s="705"/>
      <c r="AE299" s="705"/>
      <c r="AR299" s="686" t="s">
        <v>1185</v>
      </c>
      <c r="AT299" s="686" t="s">
        <v>29</v>
      </c>
      <c r="AU299" s="686" t="s">
        <v>795</v>
      </c>
      <c r="AY299" s="629" t="s">
        <v>1063</v>
      </c>
      <c r="BE299" s="687">
        <f>IF(O299="základná",K299,0)</f>
        <v>0</v>
      </c>
      <c r="BF299" s="687">
        <f>IF(O299="znížená",K299,0)</f>
        <v>0</v>
      </c>
      <c r="BG299" s="687">
        <f>IF(O299="zákl. prenesená",K299,0)</f>
        <v>0</v>
      </c>
      <c r="BH299" s="687">
        <f>IF(O299="zníž. prenesená",K299,0)</f>
        <v>0</v>
      </c>
      <c r="BI299" s="687">
        <f>IF(O299="nulová",K299,0)</f>
        <v>0</v>
      </c>
      <c r="BJ299" s="629" t="s">
        <v>795</v>
      </c>
      <c r="BK299" s="687">
        <f>ROUND(P299*H299,2)</f>
        <v>0</v>
      </c>
      <c r="BL299" s="629" t="s">
        <v>1185</v>
      </c>
      <c r="BM299" s="686" t="s">
        <v>1420</v>
      </c>
    </row>
    <row r="300" spans="1:65" s="756" customFormat="1" ht="11.25">
      <c r="B300" s="757"/>
      <c r="C300" s="758"/>
      <c r="D300" s="759" t="s">
        <v>1143</v>
      </c>
      <c r="E300" s="760" t="s">
        <v>1043</v>
      </c>
      <c r="F300" s="761" t="s">
        <v>1421</v>
      </c>
      <c r="G300" s="758"/>
      <c r="H300" s="760" t="s">
        <v>1043</v>
      </c>
      <c r="I300" s="758"/>
      <c r="J300" s="758"/>
      <c r="K300" s="758"/>
      <c r="L300" s="758"/>
      <c r="M300" s="762"/>
      <c r="N300" s="763"/>
      <c r="O300" s="764"/>
      <c r="P300" s="764"/>
      <c r="Q300" s="764"/>
      <c r="R300" s="764"/>
      <c r="S300" s="764"/>
      <c r="T300" s="764"/>
      <c r="U300" s="764"/>
      <c r="V300" s="764"/>
      <c r="W300" s="764"/>
      <c r="X300" s="765"/>
      <c r="AT300" s="766" t="s">
        <v>1143</v>
      </c>
      <c r="AU300" s="766" t="s">
        <v>795</v>
      </c>
      <c r="AV300" s="756" t="s">
        <v>791</v>
      </c>
      <c r="AW300" s="756" t="s">
        <v>1145</v>
      </c>
      <c r="AX300" s="756" t="s">
        <v>788</v>
      </c>
      <c r="AY300" s="766" t="s">
        <v>1063</v>
      </c>
    </row>
    <row r="301" spans="1:65" s="767" customFormat="1" ht="11.25">
      <c r="B301" s="768"/>
      <c r="C301" s="769"/>
      <c r="D301" s="759" t="s">
        <v>1143</v>
      </c>
      <c r="E301" s="770" t="s">
        <v>1043</v>
      </c>
      <c r="F301" s="771" t="s">
        <v>791</v>
      </c>
      <c r="G301" s="769"/>
      <c r="H301" s="772">
        <v>1</v>
      </c>
      <c r="I301" s="769"/>
      <c r="J301" s="769"/>
      <c r="K301" s="769"/>
      <c r="L301" s="769"/>
      <c r="M301" s="773"/>
      <c r="N301" s="774"/>
      <c r="O301" s="775"/>
      <c r="P301" s="775"/>
      <c r="Q301" s="775"/>
      <c r="R301" s="775"/>
      <c r="S301" s="775"/>
      <c r="T301" s="775"/>
      <c r="U301" s="775"/>
      <c r="V301" s="775"/>
      <c r="W301" s="775"/>
      <c r="X301" s="776"/>
      <c r="AT301" s="777" t="s">
        <v>1143</v>
      </c>
      <c r="AU301" s="777" t="s">
        <v>795</v>
      </c>
      <c r="AV301" s="767" t="s">
        <v>795</v>
      </c>
      <c r="AW301" s="767" t="s">
        <v>1145</v>
      </c>
      <c r="AX301" s="767" t="s">
        <v>788</v>
      </c>
      <c r="AY301" s="777" t="s">
        <v>1063</v>
      </c>
    </row>
    <row r="302" spans="1:65" s="778" customFormat="1" ht="11.25">
      <c r="B302" s="779"/>
      <c r="C302" s="780"/>
      <c r="D302" s="759" t="s">
        <v>1143</v>
      </c>
      <c r="E302" s="781" t="s">
        <v>1043</v>
      </c>
      <c r="F302" s="782" t="s">
        <v>1153</v>
      </c>
      <c r="G302" s="780"/>
      <c r="H302" s="783">
        <v>1</v>
      </c>
      <c r="I302" s="780"/>
      <c r="J302" s="780"/>
      <c r="K302" s="780"/>
      <c r="L302" s="780"/>
      <c r="M302" s="784"/>
      <c r="N302" s="785"/>
      <c r="O302" s="786"/>
      <c r="P302" s="786"/>
      <c r="Q302" s="786"/>
      <c r="R302" s="786"/>
      <c r="S302" s="786"/>
      <c r="T302" s="786"/>
      <c r="U302" s="786"/>
      <c r="V302" s="786"/>
      <c r="W302" s="786"/>
      <c r="X302" s="787"/>
      <c r="AT302" s="788" t="s">
        <v>1143</v>
      </c>
      <c r="AU302" s="788" t="s">
        <v>795</v>
      </c>
      <c r="AV302" s="778" t="s">
        <v>1065</v>
      </c>
      <c r="AW302" s="778" t="s">
        <v>1145</v>
      </c>
      <c r="AX302" s="778" t="s">
        <v>791</v>
      </c>
      <c r="AY302" s="788" t="s">
        <v>1063</v>
      </c>
    </row>
    <row r="303" spans="1:65" s="634" customFormat="1" ht="21.75" customHeight="1">
      <c r="A303" s="705"/>
      <c r="B303" s="706"/>
      <c r="C303" s="789" t="s">
        <v>1422</v>
      </c>
      <c r="D303" s="789" t="s">
        <v>83</v>
      </c>
      <c r="E303" s="790" t="s">
        <v>1423</v>
      </c>
      <c r="F303" s="791" t="s">
        <v>1424</v>
      </c>
      <c r="G303" s="792" t="s">
        <v>19</v>
      </c>
      <c r="H303" s="793">
        <v>16</v>
      </c>
      <c r="I303" s="794"/>
      <c r="J303" s="795"/>
      <c r="K303" s="794">
        <f>ROUND(P303*H303,2)</f>
        <v>0</v>
      </c>
      <c r="L303" s="795"/>
      <c r="M303" s="701"/>
      <c r="N303" s="796" t="s">
        <v>1043</v>
      </c>
      <c r="O303" s="752" t="s">
        <v>1129</v>
      </c>
      <c r="P303" s="753">
        <f>I303+J303</f>
        <v>0</v>
      </c>
      <c r="Q303" s="753">
        <f>ROUND(I303*H303,2)</f>
        <v>0</v>
      </c>
      <c r="R303" s="753">
        <f>ROUND(J303*H303,2)</f>
        <v>0</v>
      </c>
      <c r="S303" s="754">
        <v>0</v>
      </c>
      <c r="T303" s="754">
        <f>S303*H303</f>
        <v>0</v>
      </c>
      <c r="U303" s="754">
        <v>1.8000000000000001E-4</v>
      </c>
      <c r="V303" s="754">
        <f>U303*H303</f>
        <v>2.8800000000000002E-3</v>
      </c>
      <c r="W303" s="754">
        <v>0</v>
      </c>
      <c r="X303" s="755">
        <f>W303*H303</f>
        <v>0</v>
      </c>
      <c r="Y303" s="705"/>
      <c r="Z303" s="705"/>
      <c r="AA303" s="705"/>
      <c r="AB303" s="705"/>
      <c r="AC303" s="705"/>
      <c r="AD303" s="705"/>
      <c r="AE303" s="705"/>
      <c r="AR303" s="686" t="s">
        <v>1190</v>
      </c>
      <c r="AT303" s="686" t="s">
        <v>83</v>
      </c>
      <c r="AU303" s="686" t="s">
        <v>795</v>
      </c>
      <c r="AY303" s="629" t="s">
        <v>1063</v>
      </c>
      <c r="BE303" s="687">
        <f>IF(O303="základná",K303,0)</f>
        <v>0</v>
      </c>
      <c r="BF303" s="687">
        <f>IF(O303="znížená",K303,0)</f>
        <v>0</v>
      </c>
      <c r="BG303" s="687">
        <f>IF(O303="zákl. prenesená",K303,0)</f>
        <v>0</v>
      </c>
      <c r="BH303" s="687">
        <f>IF(O303="zníž. prenesená",K303,0)</f>
        <v>0</v>
      </c>
      <c r="BI303" s="687">
        <f>IF(O303="nulová",K303,0)</f>
        <v>0</v>
      </c>
      <c r="BJ303" s="629" t="s">
        <v>795</v>
      </c>
      <c r="BK303" s="687">
        <f>ROUND(P303*H303,2)</f>
        <v>0</v>
      </c>
      <c r="BL303" s="629" t="s">
        <v>1185</v>
      </c>
      <c r="BM303" s="686" t="s">
        <v>1425</v>
      </c>
    </row>
    <row r="304" spans="1:65" s="756" customFormat="1" ht="11.25">
      <c r="B304" s="757"/>
      <c r="C304" s="758"/>
      <c r="D304" s="759" t="s">
        <v>1143</v>
      </c>
      <c r="E304" s="760" t="s">
        <v>1043</v>
      </c>
      <c r="F304" s="761" t="s">
        <v>1409</v>
      </c>
      <c r="G304" s="758"/>
      <c r="H304" s="760" t="s">
        <v>1043</v>
      </c>
      <c r="I304" s="758"/>
      <c r="J304" s="758"/>
      <c r="K304" s="758"/>
      <c r="L304" s="758"/>
      <c r="M304" s="762"/>
      <c r="N304" s="763"/>
      <c r="O304" s="764"/>
      <c r="P304" s="764"/>
      <c r="Q304" s="764"/>
      <c r="R304" s="764"/>
      <c r="S304" s="764"/>
      <c r="T304" s="764"/>
      <c r="U304" s="764"/>
      <c r="V304" s="764"/>
      <c r="W304" s="764"/>
      <c r="X304" s="765"/>
      <c r="AT304" s="766" t="s">
        <v>1143</v>
      </c>
      <c r="AU304" s="766" t="s">
        <v>795</v>
      </c>
      <c r="AV304" s="756" t="s">
        <v>791</v>
      </c>
      <c r="AW304" s="756" t="s">
        <v>1145</v>
      </c>
      <c r="AX304" s="756" t="s">
        <v>788</v>
      </c>
      <c r="AY304" s="766" t="s">
        <v>1063</v>
      </c>
    </row>
    <row r="305" spans="1:65" s="767" customFormat="1" ht="11.25">
      <c r="B305" s="768"/>
      <c r="C305" s="769"/>
      <c r="D305" s="759" t="s">
        <v>1143</v>
      </c>
      <c r="E305" s="770" t="s">
        <v>1043</v>
      </c>
      <c r="F305" s="771" t="s">
        <v>1410</v>
      </c>
      <c r="G305" s="769"/>
      <c r="H305" s="772">
        <v>16</v>
      </c>
      <c r="I305" s="769"/>
      <c r="J305" s="769"/>
      <c r="K305" s="769"/>
      <c r="L305" s="769"/>
      <c r="M305" s="773"/>
      <c r="N305" s="774"/>
      <c r="O305" s="775"/>
      <c r="P305" s="775"/>
      <c r="Q305" s="775"/>
      <c r="R305" s="775"/>
      <c r="S305" s="775"/>
      <c r="T305" s="775"/>
      <c r="U305" s="775"/>
      <c r="V305" s="775"/>
      <c r="W305" s="775"/>
      <c r="X305" s="776"/>
      <c r="AT305" s="777" t="s">
        <v>1143</v>
      </c>
      <c r="AU305" s="777" t="s">
        <v>795</v>
      </c>
      <c r="AV305" s="767" t="s">
        <v>795</v>
      </c>
      <c r="AW305" s="767" t="s">
        <v>1145</v>
      </c>
      <c r="AX305" s="767" t="s">
        <v>788</v>
      </c>
      <c r="AY305" s="777" t="s">
        <v>1063</v>
      </c>
    </row>
    <row r="306" spans="1:65" s="778" customFormat="1" ht="11.25">
      <c r="B306" s="779"/>
      <c r="C306" s="780"/>
      <c r="D306" s="759" t="s">
        <v>1143</v>
      </c>
      <c r="E306" s="781" t="s">
        <v>1043</v>
      </c>
      <c r="F306" s="782" t="s">
        <v>1153</v>
      </c>
      <c r="G306" s="780"/>
      <c r="H306" s="783">
        <v>16</v>
      </c>
      <c r="I306" s="780"/>
      <c r="J306" s="780"/>
      <c r="K306" s="780"/>
      <c r="L306" s="780"/>
      <c r="M306" s="784"/>
      <c r="N306" s="785"/>
      <c r="O306" s="786"/>
      <c r="P306" s="786"/>
      <c r="Q306" s="786"/>
      <c r="R306" s="786"/>
      <c r="S306" s="786"/>
      <c r="T306" s="786"/>
      <c r="U306" s="786"/>
      <c r="V306" s="786"/>
      <c r="W306" s="786"/>
      <c r="X306" s="787"/>
      <c r="AT306" s="788" t="s">
        <v>1143</v>
      </c>
      <c r="AU306" s="788" t="s">
        <v>795</v>
      </c>
      <c r="AV306" s="778" t="s">
        <v>1065</v>
      </c>
      <c r="AW306" s="778" t="s">
        <v>1145</v>
      </c>
      <c r="AX306" s="778" t="s">
        <v>791</v>
      </c>
      <c r="AY306" s="788" t="s">
        <v>1063</v>
      </c>
    </row>
    <row r="307" spans="1:65" s="634" customFormat="1" ht="21.75" customHeight="1">
      <c r="A307" s="705"/>
      <c r="B307" s="706"/>
      <c r="C307" s="789" t="s">
        <v>1426</v>
      </c>
      <c r="D307" s="789" t="s">
        <v>83</v>
      </c>
      <c r="E307" s="790" t="s">
        <v>1427</v>
      </c>
      <c r="F307" s="791" t="s">
        <v>1428</v>
      </c>
      <c r="G307" s="792" t="s">
        <v>19</v>
      </c>
      <c r="H307" s="793">
        <v>22</v>
      </c>
      <c r="I307" s="794"/>
      <c r="J307" s="795"/>
      <c r="K307" s="794">
        <f>ROUND(P307*H307,2)</f>
        <v>0</v>
      </c>
      <c r="L307" s="795"/>
      <c r="M307" s="701"/>
      <c r="N307" s="796" t="s">
        <v>1043</v>
      </c>
      <c r="O307" s="752" t="s">
        <v>1129</v>
      </c>
      <c r="P307" s="753">
        <f>I307+J307</f>
        <v>0</v>
      </c>
      <c r="Q307" s="753">
        <f>ROUND(I307*H307,2)</f>
        <v>0</v>
      </c>
      <c r="R307" s="753">
        <f>ROUND(J307*H307,2)</f>
        <v>0</v>
      </c>
      <c r="S307" s="754">
        <v>0</v>
      </c>
      <c r="T307" s="754">
        <f>S307*H307</f>
        <v>0</v>
      </c>
      <c r="U307" s="754">
        <v>1.3999999999999999E-4</v>
      </c>
      <c r="V307" s="754">
        <f>U307*H307</f>
        <v>3.0799999999999998E-3</v>
      </c>
      <c r="W307" s="754">
        <v>0</v>
      </c>
      <c r="X307" s="755">
        <f>W307*H307</f>
        <v>0</v>
      </c>
      <c r="Y307" s="705"/>
      <c r="Z307" s="705"/>
      <c r="AA307" s="705"/>
      <c r="AB307" s="705"/>
      <c r="AC307" s="705"/>
      <c r="AD307" s="705"/>
      <c r="AE307" s="705"/>
      <c r="AR307" s="686" t="s">
        <v>1190</v>
      </c>
      <c r="AT307" s="686" t="s">
        <v>83</v>
      </c>
      <c r="AU307" s="686" t="s">
        <v>795</v>
      </c>
      <c r="AY307" s="629" t="s">
        <v>1063</v>
      </c>
      <c r="BE307" s="687">
        <f>IF(O307="základná",K307,0)</f>
        <v>0</v>
      </c>
      <c r="BF307" s="687">
        <f>IF(O307="znížená",K307,0)</f>
        <v>0</v>
      </c>
      <c r="BG307" s="687">
        <f>IF(O307="zákl. prenesená",K307,0)</f>
        <v>0</v>
      </c>
      <c r="BH307" s="687">
        <f>IF(O307="zníž. prenesená",K307,0)</f>
        <v>0</v>
      </c>
      <c r="BI307" s="687">
        <f>IF(O307="nulová",K307,0)</f>
        <v>0</v>
      </c>
      <c r="BJ307" s="629" t="s">
        <v>795</v>
      </c>
      <c r="BK307" s="687">
        <f>ROUND(P307*H307,2)</f>
        <v>0</v>
      </c>
      <c r="BL307" s="629" t="s">
        <v>1185</v>
      </c>
      <c r="BM307" s="686" t="s">
        <v>1429</v>
      </c>
    </row>
    <row r="308" spans="1:65" s="756" customFormat="1" ht="11.25">
      <c r="B308" s="757"/>
      <c r="C308" s="758"/>
      <c r="D308" s="759" t="s">
        <v>1143</v>
      </c>
      <c r="E308" s="760" t="s">
        <v>1043</v>
      </c>
      <c r="F308" s="761" t="s">
        <v>1403</v>
      </c>
      <c r="G308" s="758"/>
      <c r="H308" s="760" t="s">
        <v>1043</v>
      </c>
      <c r="I308" s="758"/>
      <c r="J308" s="758"/>
      <c r="K308" s="758"/>
      <c r="L308" s="758"/>
      <c r="M308" s="762"/>
      <c r="N308" s="763"/>
      <c r="O308" s="764"/>
      <c r="P308" s="764"/>
      <c r="Q308" s="764"/>
      <c r="R308" s="764"/>
      <c r="S308" s="764"/>
      <c r="T308" s="764"/>
      <c r="U308" s="764"/>
      <c r="V308" s="764"/>
      <c r="W308" s="764"/>
      <c r="X308" s="765"/>
      <c r="AT308" s="766" t="s">
        <v>1143</v>
      </c>
      <c r="AU308" s="766" t="s">
        <v>795</v>
      </c>
      <c r="AV308" s="756" t="s">
        <v>791</v>
      </c>
      <c r="AW308" s="756" t="s">
        <v>1145</v>
      </c>
      <c r="AX308" s="756" t="s">
        <v>788</v>
      </c>
      <c r="AY308" s="766" t="s">
        <v>1063</v>
      </c>
    </row>
    <row r="309" spans="1:65" s="767" customFormat="1" ht="11.25">
      <c r="B309" s="768"/>
      <c r="C309" s="769"/>
      <c r="D309" s="759" t="s">
        <v>1143</v>
      </c>
      <c r="E309" s="770" t="s">
        <v>1043</v>
      </c>
      <c r="F309" s="771" t="s">
        <v>1404</v>
      </c>
      <c r="G309" s="769"/>
      <c r="H309" s="772">
        <v>22</v>
      </c>
      <c r="I309" s="769"/>
      <c r="J309" s="769"/>
      <c r="K309" s="769"/>
      <c r="L309" s="769"/>
      <c r="M309" s="773"/>
      <c r="N309" s="774"/>
      <c r="O309" s="775"/>
      <c r="P309" s="775"/>
      <c r="Q309" s="775"/>
      <c r="R309" s="775"/>
      <c r="S309" s="775"/>
      <c r="T309" s="775"/>
      <c r="U309" s="775"/>
      <c r="V309" s="775"/>
      <c r="W309" s="775"/>
      <c r="X309" s="776"/>
      <c r="AT309" s="777" t="s">
        <v>1143</v>
      </c>
      <c r="AU309" s="777" t="s">
        <v>795</v>
      </c>
      <c r="AV309" s="767" t="s">
        <v>795</v>
      </c>
      <c r="AW309" s="767" t="s">
        <v>1145</v>
      </c>
      <c r="AX309" s="767" t="s">
        <v>788</v>
      </c>
      <c r="AY309" s="777" t="s">
        <v>1063</v>
      </c>
    </row>
    <row r="310" spans="1:65" s="778" customFormat="1" ht="11.25">
      <c r="B310" s="779"/>
      <c r="C310" s="780"/>
      <c r="D310" s="759" t="s">
        <v>1143</v>
      </c>
      <c r="E310" s="781" t="s">
        <v>1043</v>
      </c>
      <c r="F310" s="782" t="s">
        <v>1153</v>
      </c>
      <c r="G310" s="780"/>
      <c r="H310" s="783">
        <v>22</v>
      </c>
      <c r="I310" s="780"/>
      <c r="J310" s="780"/>
      <c r="K310" s="780"/>
      <c r="L310" s="780"/>
      <c r="M310" s="784"/>
      <c r="N310" s="785"/>
      <c r="O310" s="786"/>
      <c r="P310" s="786"/>
      <c r="Q310" s="786"/>
      <c r="R310" s="786"/>
      <c r="S310" s="786"/>
      <c r="T310" s="786"/>
      <c r="U310" s="786"/>
      <c r="V310" s="786"/>
      <c r="W310" s="786"/>
      <c r="X310" s="787"/>
      <c r="AT310" s="788" t="s">
        <v>1143</v>
      </c>
      <c r="AU310" s="788" t="s">
        <v>795</v>
      </c>
      <c r="AV310" s="778" t="s">
        <v>1065</v>
      </c>
      <c r="AW310" s="778" t="s">
        <v>1145</v>
      </c>
      <c r="AX310" s="778" t="s">
        <v>791</v>
      </c>
      <c r="AY310" s="788" t="s">
        <v>1063</v>
      </c>
    </row>
    <row r="311" spans="1:65" s="634" customFormat="1" ht="21.75" customHeight="1">
      <c r="A311" s="705"/>
      <c r="B311" s="706"/>
      <c r="C311" s="744" t="s">
        <v>1430</v>
      </c>
      <c r="D311" s="744" t="s">
        <v>29</v>
      </c>
      <c r="E311" s="745" t="s">
        <v>1431</v>
      </c>
      <c r="F311" s="746" t="s">
        <v>1432</v>
      </c>
      <c r="G311" s="747" t="s">
        <v>19</v>
      </c>
      <c r="H311" s="748">
        <v>1</v>
      </c>
      <c r="I311" s="749"/>
      <c r="J311" s="749"/>
      <c r="K311" s="749">
        <f>ROUND(P311*H311,2)</f>
        <v>0</v>
      </c>
      <c r="L311" s="750"/>
      <c r="M311" s="631"/>
      <c r="N311" s="751" t="s">
        <v>1043</v>
      </c>
      <c r="O311" s="752" t="s">
        <v>1129</v>
      </c>
      <c r="P311" s="753">
        <f>I311+J311</f>
        <v>0</v>
      </c>
      <c r="Q311" s="753">
        <f>ROUND(I311*H311,2)</f>
        <v>0</v>
      </c>
      <c r="R311" s="753">
        <f>ROUND(J311*H311,2)</f>
        <v>0</v>
      </c>
      <c r="S311" s="754">
        <v>0.22800000000000001</v>
      </c>
      <c r="T311" s="754">
        <f>S311*H311</f>
        <v>0.22800000000000001</v>
      </c>
      <c r="U311" s="754">
        <v>5.0000000000000002E-5</v>
      </c>
      <c r="V311" s="754">
        <f>U311*H311</f>
        <v>5.0000000000000002E-5</v>
      </c>
      <c r="W311" s="754">
        <v>0</v>
      </c>
      <c r="X311" s="755">
        <f>W311*H311</f>
        <v>0</v>
      </c>
      <c r="Y311" s="705"/>
      <c r="Z311" s="705"/>
      <c r="AA311" s="705"/>
      <c r="AB311" s="705"/>
      <c r="AC311" s="705"/>
      <c r="AD311" s="705"/>
      <c r="AE311" s="705"/>
      <c r="AR311" s="686" t="s">
        <v>1185</v>
      </c>
      <c r="AT311" s="686" t="s">
        <v>29</v>
      </c>
      <c r="AU311" s="686" t="s">
        <v>795</v>
      </c>
      <c r="AY311" s="629" t="s">
        <v>1063</v>
      </c>
      <c r="BE311" s="687">
        <f>IF(O311="základná",K311,0)</f>
        <v>0</v>
      </c>
      <c r="BF311" s="687">
        <f>IF(O311="znížená",K311,0)</f>
        <v>0</v>
      </c>
      <c r="BG311" s="687">
        <f>IF(O311="zákl. prenesená",K311,0)</f>
        <v>0</v>
      </c>
      <c r="BH311" s="687">
        <f>IF(O311="zníž. prenesená",K311,0)</f>
        <v>0</v>
      </c>
      <c r="BI311" s="687">
        <f>IF(O311="nulová",K311,0)</f>
        <v>0</v>
      </c>
      <c r="BJ311" s="629" t="s">
        <v>795</v>
      </c>
      <c r="BK311" s="687">
        <f>ROUND(P311*H311,2)</f>
        <v>0</v>
      </c>
      <c r="BL311" s="629" t="s">
        <v>1185</v>
      </c>
      <c r="BM311" s="686" t="s">
        <v>1433</v>
      </c>
    </row>
    <row r="312" spans="1:65" s="756" customFormat="1" ht="11.25">
      <c r="B312" s="757"/>
      <c r="C312" s="758"/>
      <c r="D312" s="759" t="s">
        <v>1143</v>
      </c>
      <c r="E312" s="760" t="s">
        <v>1043</v>
      </c>
      <c r="F312" s="761" t="s">
        <v>1434</v>
      </c>
      <c r="G312" s="758"/>
      <c r="H312" s="760" t="s">
        <v>1043</v>
      </c>
      <c r="I312" s="758"/>
      <c r="J312" s="758"/>
      <c r="K312" s="758"/>
      <c r="L312" s="758"/>
      <c r="M312" s="762"/>
      <c r="N312" s="763"/>
      <c r="O312" s="764"/>
      <c r="P312" s="764"/>
      <c r="Q312" s="764"/>
      <c r="R312" s="764"/>
      <c r="S312" s="764"/>
      <c r="T312" s="764"/>
      <c r="U312" s="764"/>
      <c r="V312" s="764"/>
      <c r="W312" s="764"/>
      <c r="X312" s="765"/>
      <c r="AT312" s="766" t="s">
        <v>1143</v>
      </c>
      <c r="AU312" s="766" t="s">
        <v>795</v>
      </c>
      <c r="AV312" s="756" t="s">
        <v>791</v>
      </c>
      <c r="AW312" s="756" t="s">
        <v>1145</v>
      </c>
      <c r="AX312" s="756" t="s">
        <v>788</v>
      </c>
      <c r="AY312" s="766" t="s">
        <v>1063</v>
      </c>
    </row>
    <row r="313" spans="1:65" s="767" customFormat="1" ht="11.25">
      <c r="B313" s="768"/>
      <c r="C313" s="769"/>
      <c r="D313" s="759" t="s">
        <v>1143</v>
      </c>
      <c r="E313" s="770" t="s">
        <v>1043</v>
      </c>
      <c r="F313" s="771" t="s">
        <v>791</v>
      </c>
      <c r="G313" s="769"/>
      <c r="H313" s="772">
        <v>1</v>
      </c>
      <c r="I313" s="769"/>
      <c r="J313" s="769"/>
      <c r="K313" s="769"/>
      <c r="L313" s="769"/>
      <c r="M313" s="773"/>
      <c r="N313" s="774"/>
      <c r="O313" s="775"/>
      <c r="P313" s="775"/>
      <c r="Q313" s="775"/>
      <c r="R313" s="775"/>
      <c r="S313" s="775"/>
      <c r="T313" s="775"/>
      <c r="U313" s="775"/>
      <c r="V313" s="775"/>
      <c r="W313" s="775"/>
      <c r="X313" s="776"/>
      <c r="AT313" s="777" t="s">
        <v>1143</v>
      </c>
      <c r="AU313" s="777" t="s">
        <v>795</v>
      </c>
      <c r="AV313" s="767" t="s">
        <v>795</v>
      </c>
      <c r="AW313" s="767" t="s">
        <v>1145</v>
      </c>
      <c r="AX313" s="767" t="s">
        <v>788</v>
      </c>
      <c r="AY313" s="777" t="s">
        <v>1063</v>
      </c>
    </row>
    <row r="314" spans="1:65" s="778" customFormat="1" ht="11.25">
      <c r="B314" s="779"/>
      <c r="C314" s="780"/>
      <c r="D314" s="759" t="s">
        <v>1143</v>
      </c>
      <c r="E314" s="781" t="s">
        <v>1043</v>
      </c>
      <c r="F314" s="782" t="s">
        <v>1153</v>
      </c>
      <c r="G314" s="780"/>
      <c r="H314" s="783">
        <v>1</v>
      </c>
      <c r="I314" s="780"/>
      <c r="J314" s="780"/>
      <c r="K314" s="780"/>
      <c r="L314" s="780"/>
      <c r="M314" s="784"/>
      <c r="N314" s="785"/>
      <c r="O314" s="786"/>
      <c r="P314" s="786"/>
      <c r="Q314" s="786"/>
      <c r="R314" s="786"/>
      <c r="S314" s="786"/>
      <c r="T314" s="786"/>
      <c r="U314" s="786"/>
      <c r="V314" s="786"/>
      <c r="W314" s="786"/>
      <c r="X314" s="787"/>
      <c r="AT314" s="788" t="s">
        <v>1143</v>
      </c>
      <c r="AU314" s="788" t="s">
        <v>795</v>
      </c>
      <c r="AV314" s="778" t="s">
        <v>1065</v>
      </c>
      <c r="AW314" s="778" t="s">
        <v>1145</v>
      </c>
      <c r="AX314" s="778" t="s">
        <v>791</v>
      </c>
      <c r="AY314" s="788" t="s">
        <v>1063</v>
      </c>
    </row>
    <row r="315" spans="1:65" s="634" customFormat="1" ht="21.75" customHeight="1">
      <c r="A315" s="705"/>
      <c r="B315" s="706"/>
      <c r="C315" s="789" t="s">
        <v>1435</v>
      </c>
      <c r="D315" s="789" t="s">
        <v>83</v>
      </c>
      <c r="E315" s="790" t="s">
        <v>1436</v>
      </c>
      <c r="F315" s="791" t="s">
        <v>1437</v>
      </c>
      <c r="G315" s="792" t="s">
        <v>19</v>
      </c>
      <c r="H315" s="793">
        <v>1</v>
      </c>
      <c r="I315" s="794"/>
      <c r="J315" s="795"/>
      <c r="K315" s="794">
        <f>ROUND(P315*H315,2)</f>
        <v>0</v>
      </c>
      <c r="L315" s="795"/>
      <c r="M315" s="701"/>
      <c r="N315" s="796" t="s">
        <v>1043</v>
      </c>
      <c r="O315" s="752" t="s">
        <v>1129</v>
      </c>
      <c r="P315" s="753">
        <f>I315+J315</f>
        <v>0</v>
      </c>
      <c r="Q315" s="753">
        <f>ROUND(I315*H315,2)</f>
        <v>0</v>
      </c>
      <c r="R315" s="753">
        <f>ROUND(J315*H315,2)</f>
        <v>0</v>
      </c>
      <c r="S315" s="754">
        <v>0</v>
      </c>
      <c r="T315" s="754">
        <f>S315*H315</f>
        <v>0</v>
      </c>
      <c r="U315" s="754">
        <v>5.9000000000000003E-4</v>
      </c>
      <c r="V315" s="754">
        <f>U315*H315</f>
        <v>5.9000000000000003E-4</v>
      </c>
      <c r="W315" s="754">
        <v>0</v>
      </c>
      <c r="X315" s="755">
        <f>W315*H315</f>
        <v>0</v>
      </c>
      <c r="Y315" s="705"/>
      <c r="Z315" s="705"/>
      <c r="AA315" s="705"/>
      <c r="AB315" s="705"/>
      <c r="AC315" s="705"/>
      <c r="AD315" s="705"/>
      <c r="AE315" s="705"/>
      <c r="AR315" s="686" t="s">
        <v>1190</v>
      </c>
      <c r="AT315" s="686" t="s">
        <v>83</v>
      </c>
      <c r="AU315" s="686" t="s">
        <v>795</v>
      </c>
      <c r="AY315" s="629" t="s">
        <v>1063</v>
      </c>
      <c r="BE315" s="687">
        <f>IF(O315="základná",K315,0)</f>
        <v>0</v>
      </c>
      <c r="BF315" s="687">
        <f>IF(O315="znížená",K315,0)</f>
        <v>0</v>
      </c>
      <c r="BG315" s="687">
        <f>IF(O315="zákl. prenesená",K315,0)</f>
        <v>0</v>
      </c>
      <c r="BH315" s="687">
        <f>IF(O315="zníž. prenesená",K315,0)</f>
        <v>0</v>
      </c>
      <c r="BI315" s="687">
        <f>IF(O315="nulová",K315,0)</f>
        <v>0</v>
      </c>
      <c r="BJ315" s="629" t="s">
        <v>795</v>
      </c>
      <c r="BK315" s="687">
        <f>ROUND(P315*H315,2)</f>
        <v>0</v>
      </c>
      <c r="BL315" s="629" t="s">
        <v>1185</v>
      </c>
      <c r="BM315" s="686" t="s">
        <v>1438</v>
      </c>
    </row>
    <row r="316" spans="1:65" s="756" customFormat="1" ht="11.25">
      <c r="B316" s="757"/>
      <c r="C316" s="758"/>
      <c r="D316" s="759" t="s">
        <v>1143</v>
      </c>
      <c r="E316" s="760" t="s">
        <v>1043</v>
      </c>
      <c r="F316" s="761" t="s">
        <v>1434</v>
      </c>
      <c r="G316" s="758"/>
      <c r="H316" s="760" t="s">
        <v>1043</v>
      </c>
      <c r="I316" s="758"/>
      <c r="J316" s="758"/>
      <c r="K316" s="758"/>
      <c r="L316" s="758"/>
      <c r="M316" s="762"/>
      <c r="N316" s="763"/>
      <c r="O316" s="764"/>
      <c r="P316" s="764"/>
      <c r="Q316" s="764"/>
      <c r="R316" s="764"/>
      <c r="S316" s="764"/>
      <c r="T316" s="764"/>
      <c r="U316" s="764"/>
      <c r="V316" s="764"/>
      <c r="W316" s="764"/>
      <c r="X316" s="765"/>
      <c r="AT316" s="766" t="s">
        <v>1143</v>
      </c>
      <c r="AU316" s="766" t="s">
        <v>795</v>
      </c>
      <c r="AV316" s="756" t="s">
        <v>791</v>
      </c>
      <c r="AW316" s="756" t="s">
        <v>1145</v>
      </c>
      <c r="AX316" s="756" t="s">
        <v>788</v>
      </c>
      <c r="AY316" s="766" t="s">
        <v>1063</v>
      </c>
    </row>
    <row r="317" spans="1:65" s="767" customFormat="1" ht="11.25">
      <c r="B317" s="768"/>
      <c r="C317" s="769"/>
      <c r="D317" s="759" t="s">
        <v>1143</v>
      </c>
      <c r="E317" s="770" t="s">
        <v>1043</v>
      </c>
      <c r="F317" s="771" t="s">
        <v>791</v>
      </c>
      <c r="G317" s="769"/>
      <c r="H317" s="772">
        <v>1</v>
      </c>
      <c r="I317" s="769"/>
      <c r="J317" s="769"/>
      <c r="K317" s="769"/>
      <c r="L317" s="769"/>
      <c r="M317" s="773"/>
      <c r="N317" s="774"/>
      <c r="O317" s="775"/>
      <c r="P317" s="775"/>
      <c r="Q317" s="775"/>
      <c r="R317" s="775"/>
      <c r="S317" s="775"/>
      <c r="T317" s="775"/>
      <c r="U317" s="775"/>
      <c r="V317" s="775"/>
      <c r="W317" s="775"/>
      <c r="X317" s="776"/>
      <c r="AT317" s="777" t="s">
        <v>1143</v>
      </c>
      <c r="AU317" s="777" t="s">
        <v>795</v>
      </c>
      <c r="AV317" s="767" t="s">
        <v>795</v>
      </c>
      <c r="AW317" s="767" t="s">
        <v>1145</v>
      </c>
      <c r="AX317" s="767" t="s">
        <v>788</v>
      </c>
      <c r="AY317" s="777" t="s">
        <v>1063</v>
      </c>
    </row>
    <row r="318" spans="1:65" s="778" customFormat="1" ht="11.25">
      <c r="B318" s="779"/>
      <c r="C318" s="780"/>
      <c r="D318" s="759" t="s">
        <v>1143</v>
      </c>
      <c r="E318" s="781" t="s">
        <v>1043</v>
      </c>
      <c r="F318" s="782" t="s">
        <v>1153</v>
      </c>
      <c r="G318" s="780"/>
      <c r="H318" s="783">
        <v>1</v>
      </c>
      <c r="I318" s="780"/>
      <c r="J318" s="780"/>
      <c r="K318" s="780"/>
      <c r="L318" s="780"/>
      <c r="M318" s="784"/>
      <c r="N318" s="785"/>
      <c r="O318" s="786"/>
      <c r="P318" s="786"/>
      <c r="Q318" s="786"/>
      <c r="R318" s="786"/>
      <c r="S318" s="786"/>
      <c r="T318" s="786"/>
      <c r="U318" s="786"/>
      <c r="V318" s="786"/>
      <c r="W318" s="786"/>
      <c r="X318" s="787"/>
      <c r="AT318" s="788" t="s">
        <v>1143</v>
      </c>
      <c r="AU318" s="788" t="s">
        <v>795</v>
      </c>
      <c r="AV318" s="778" t="s">
        <v>1065</v>
      </c>
      <c r="AW318" s="778" t="s">
        <v>1145</v>
      </c>
      <c r="AX318" s="778" t="s">
        <v>791</v>
      </c>
      <c r="AY318" s="788" t="s">
        <v>1063</v>
      </c>
    </row>
    <row r="319" spans="1:65" s="634" customFormat="1" ht="16.5" customHeight="1">
      <c r="A319" s="705"/>
      <c r="B319" s="706"/>
      <c r="C319" s="744" t="s">
        <v>1439</v>
      </c>
      <c r="D319" s="744" t="s">
        <v>29</v>
      </c>
      <c r="E319" s="745" t="s">
        <v>1440</v>
      </c>
      <c r="F319" s="746" t="s">
        <v>1441</v>
      </c>
      <c r="G319" s="747" t="s">
        <v>19</v>
      </c>
      <c r="H319" s="748">
        <v>1</v>
      </c>
      <c r="I319" s="749"/>
      <c r="J319" s="749"/>
      <c r="K319" s="749">
        <f>ROUND(P319*H319,2)</f>
        <v>0</v>
      </c>
      <c r="L319" s="750"/>
      <c r="M319" s="631"/>
      <c r="N319" s="751" t="s">
        <v>1043</v>
      </c>
      <c r="O319" s="752" t="s">
        <v>1129</v>
      </c>
      <c r="P319" s="753">
        <f>I319+J319</f>
        <v>0</v>
      </c>
      <c r="Q319" s="753">
        <f>ROUND(I319*H319,2)</f>
        <v>0</v>
      </c>
      <c r="R319" s="753">
        <f>ROUND(J319*H319,2)</f>
        <v>0</v>
      </c>
      <c r="S319" s="754">
        <v>0.22800000000000001</v>
      </c>
      <c r="T319" s="754">
        <f>S319*H319</f>
        <v>0.22800000000000001</v>
      </c>
      <c r="U319" s="754">
        <v>5.0000000000000002E-5</v>
      </c>
      <c r="V319" s="754">
        <f>U319*H319</f>
        <v>5.0000000000000002E-5</v>
      </c>
      <c r="W319" s="754">
        <v>0</v>
      </c>
      <c r="X319" s="755">
        <f>W319*H319</f>
        <v>0</v>
      </c>
      <c r="Y319" s="705"/>
      <c r="Z319" s="705"/>
      <c r="AA319" s="705"/>
      <c r="AB319" s="705"/>
      <c r="AC319" s="705"/>
      <c r="AD319" s="705"/>
      <c r="AE319" s="705"/>
      <c r="AR319" s="686" t="s">
        <v>1185</v>
      </c>
      <c r="AT319" s="686" t="s">
        <v>29</v>
      </c>
      <c r="AU319" s="686" t="s">
        <v>795</v>
      </c>
      <c r="AY319" s="629" t="s">
        <v>1063</v>
      </c>
      <c r="BE319" s="687">
        <f>IF(O319="základná",K319,0)</f>
        <v>0</v>
      </c>
      <c r="BF319" s="687">
        <f>IF(O319="znížená",K319,0)</f>
        <v>0</v>
      </c>
      <c r="BG319" s="687">
        <f>IF(O319="zákl. prenesená",K319,0)</f>
        <v>0</v>
      </c>
      <c r="BH319" s="687">
        <f>IF(O319="zníž. prenesená",K319,0)</f>
        <v>0</v>
      </c>
      <c r="BI319" s="687">
        <f>IF(O319="nulová",K319,0)</f>
        <v>0</v>
      </c>
      <c r="BJ319" s="629" t="s">
        <v>795</v>
      </c>
      <c r="BK319" s="687">
        <f>ROUND(P319*H319,2)</f>
        <v>0</v>
      </c>
      <c r="BL319" s="629" t="s">
        <v>1185</v>
      </c>
      <c r="BM319" s="686" t="s">
        <v>1442</v>
      </c>
    </row>
    <row r="320" spans="1:65" s="756" customFormat="1" ht="11.25">
      <c r="B320" s="757"/>
      <c r="C320" s="758"/>
      <c r="D320" s="759" t="s">
        <v>1143</v>
      </c>
      <c r="E320" s="760" t="s">
        <v>1043</v>
      </c>
      <c r="F320" s="761" t="s">
        <v>1434</v>
      </c>
      <c r="G320" s="758"/>
      <c r="H320" s="760" t="s">
        <v>1043</v>
      </c>
      <c r="I320" s="758"/>
      <c r="J320" s="758"/>
      <c r="K320" s="758"/>
      <c r="L320" s="758"/>
      <c r="M320" s="762"/>
      <c r="N320" s="763"/>
      <c r="O320" s="764"/>
      <c r="P320" s="764"/>
      <c r="Q320" s="764"/>
      <c r="R320" s="764"/>
      <c r="S320" s="764"/>
      <c r="T320" s="764"/>
      <c r="U320" s="764"/>
      <c r="V320" s="764"/>
      <c r="W320" s="764"/>
      <c r="X320" s="765"/>
      <c r="AT320" s="766" t="s">
        <v>1143</v>
      </c>
      <c r="AU320" s="766" t="s">
        <v>795</v>
      </c>
      <c r="AV320" s="756" t="s">
        <v>791</v>
      </c>
      <c r="AW320" s="756" t="s">
        <v>1145</v>
      </c>
      <c r="AX320" s="756" t="s">
        <v>788</v>
      </c>
      <c r="AY320" s="766" t="s">
        <v>1063</v>
      </c>
    </row>
    <row r="321" spans="1:65" s="767" customFormat="1" ht="11.25">
      <c r="B321" s="768"/>
      <c r="C321" s="769"/>
      <c r="D321" s="759" t="s">
        <v>1143</v>
      </c>
      <c r="E321" s="770" t="s">
        <v>1043</v>
      </c>
      <c r="F321" s="771" t="s">
        <v>791</v>
      </c>
      <c r="G321" s="769"/>
      <c r="H321" s="772">
        <v>1</v>
      </c>
      <c r="I321" s="769"/>
      <c r="J321" s="769"/>
      <c r="K321" s="769"/>
      <c r="L321" s="769"/>
      <c r="M321" s="773"/>
      <c r="N321" s="774"/>
      <c r="O321" s="775"/>
      <c r="P321" s="775"/>
      <c r="Q321" s="775"/>
      <c r="R321" s="775"/>
      <c r="S321" s="775"/>
      <c r="T321" s="775"/>
      <c r="U321" s="775"/>
      <c r="V321" s="775"/>
      <c r="W321" s="775"/>
      <c r="X321" s="776"/>
      <c r="AT321" s="777" t="s">
        <v>1143</v>
      </c>
      <c r="AU321" s="777" t="s">
        <v>795</v>
      </c>
      <c r="AV321" s="767" t="s">
        <v>795</v>
      </c>
      <c r="AW321" s="767" t="s">
        <v>1145</v>
      </c>
      <c r="AX321" s="767" t="s">
        <v>788</v>
      </c>
      <c r="AY321" s="777" t="s">
        <v>1063</v>
      </c>
    </row>
    <row r="322" spans="1:65" s="778" customFormat="1" ht="11.25">
      <c r="B322" s="779"/>
      <c r="C322" s="780"/>
      <c r="D322" s="759" t="s">
        <v>1143</v>
      </c>
      <c r="E322" s="781" t="s">
        <v>1043</v>
      </c>
      <c r="F322" s="782" t="s">
        <v>1153</v>
      </c>
      <c r="G322" s="780"/>
      <c r="H322" s="783">
        <v>1</v>
      </c>
      <c r="I322" s="780"/>
      <c r="J322" s="780"/>
      <c r="K322" s="780"/>
      <c r="L322" s="780"/>
      <c r="M322" s="784"/>
      <c r="N322" s="785"/>
      <c r="O322" s="786"/>
      <c r="P322" s="786"/>
      <c r="Q322" s="786"/>
      <c r="R322" s="786"/>
      <c r="S322" s="786"/>
      <c r="T322" s="786"/>
      <c r="U322" s="786"/>
      <c r="V322" s="786"/>
      <c r="W322" s="786"/>
      <c r="X322" s="787"/>
      <c r="AT322" s="788" t="s">
        <v>1143</v>
      </c>
      <c r="AU322" s="788" t="s">
        <v>795</v>
      </c>
      <c r="AV322" s="778" t="s">
        <v>1065</v>
      </c>
      <c r="AW322" s="778" t="s">
        <v>1145</v>
      </c>
      <c r="AX322" s="778" t="s">
        <v>791</v>
      </c>
      <c r="AY322" s="788" t="s">
        <v>1063</v>
      </c>
    </row>
    <row r="323" spans="1:65" s="634" customFormat="1" ht="21.75" customHeight="1">
      <c r="A323" s="705"/>
      <c r="B323" s="706"/>
      <c r="C323" s="789" t="s">
        <v>1443</v>
      </c>
      <c r="D323" s="789" t="s">
        <v>83</v>
      </c>
      <c r="E323" s="790" t="s">
        <v>1444</v>
      </c>
      <c r="F323" s="791" t="s">
        <v>1445</v>
      </c>
      <c r="G323" s="792" t="s">
        <v>19</v>
      </c>
      <c r="H323" s="793">
        <v>1</v>
      </c>
      <c r="I323" s="794"/>
      <c r="J323" s="795"/>
      <c r="K323" s="794">
        <f>ROUND(P323*H323,2)</f>
        <v>0</v>
      </c>
      <c r="L323" s="795"/>
      <c r="M323" s="701"/>
      <c r="N323" s="796" t="s">
        <v>1043</v>
      </c>
      <c r="O323" s="752" t="s">
        <v>1129</v>
      </c>
      <c r="P323" s="753">
        <f>I323+J323</f>
        <v>0</v>
      </c>
      <c r="Q323" s="753">
        <f>ROUND(I323*H323,2)</f>
        <v>0</v>
      </c>
      <c r="R323" s="753">
        <f>ROUND(J323*H323,2)</f>
        <v>0</v>
      </c>
      <c r="S323" s="754">
        <v>0</v>
      </c>
      <c r="T323" s="754">
        <f>S323*H323</f>
        <v>0</v>
      </c>
      <c r="U323" s="754">
        <v>7.7999999999999999E-4</v>
      </c>
      <c r="V323" s="754">
        <f>U323*H323</f>
        <v>7.7999999999999999E-4</v>
      </c>
      <c r="W323" s="754">
        <v>0</v>
      </c>
      <c r="X323" s="755">
        <f>W323*H323</f>
        <v>0</v>
      </c>
      <c r="Y323" s="705"/>
      <c r="Z323" s="705"/>
      <c r="AA323" s="705"/>
      <c r="AB323" s="705"/>
      <c r="AC323" s="705"/>
      <c r="AD323" s="705"/>
      <c r="AE323" s="705"/>
      <c r="AR323" s="686" t="s">
        <v>1190</v>
      </c>
      <c r="AT323" s="686" t="s">
        <v>83</v>
      </c>
      <c r="AU323" s="686" t="s">
        <v>795</v>
      </c>
      <c r="AY323" s="629" t="s">
        <v>1063</v>
      </c>
      <c r="BE323" s="687">
        <f>IF(O323="základná",K323,0)</f>
        <v>0</v>
      </c>
      <c r="BF323" s="687">
        <f>IF(O323="znížená",K323,0)</f>
        <v>0</v>
      </c>
      <c r="BG323" s="687">
        <f>IF(O323="zákl. prenesená",K323,0)</f>
        <v>0</v>
      </c>
      <c r="BH323" s="687">
        <f>IF(O323="zníž. prenesená",K323,0)</f>
        <v>0</v>
      </c>
      <c r="BI323" s="687">
        <f>IF(O323="nulová",K323,0)</f>
        <v>0</v>
      </c>
      <c r="BJ323" s="629" t="s">
        <v>795</v>
      </c>
      <c r="BK323" s="687">
        <f>ROUND(P323*H323,2)</f>
        <v>0</v>
      </c>
      <c r="BL323" s="629" t="s">
        <v>1185</v>
      </c>
      <c r="BM323" s="686" t="s">
        <v>1446</v>
      </c>
    </row>
    <row r="324" spans="1:65" s="756" customFormat="1" ht="11.25">
      <c r="B324" s="757"/>
      <c r="C324" s="758"/>
      <c r="D324" s="759" t="s">
        <v>1143</v>
      </c>
      <c r="E324" s="760" t="s">
        <v>1043</v>
      </c>
      <c r="F324" s="761" t="s">
        <v>1434</v>
      </c>
      <c r="G324" s="758"/>
      <c r="H324" s="760" t="s">
        <v>1043</v>
      </c>
      <c r="I324" s="758"/>
      <c r="J324" s="758"/>
      <c r="K324" s="758"/>
      <c r="L324" s="758"/>
      <c r="M324" s="762"/>
      <c r="N324" s="763"/>
      <c r="O324" s="764"/>
      <c r="P324" s="764"/>
      <c r="Q324" s="764"/>
      <c r="R324" s="764"/>
      <c r="S324" s="764"/>
      <c r="T324" s="764"/>
      <c r="U324" s="764"/>
      <c r="V324" s="764"/>
      <c r="W324" s="764"/>
      <c r="X324" s="765"/>
      <c r="AT324" s="766" t="s">
        <v>1143</v>
      </c>
      <c r="AU324" s="766" t="s">
        <v>795</v>
      </c>
      <c r="AV324" s="756" t="s">
        <v>791</v>
      </c>
      <c r="AW324" s="756" t="s">
        <v>1145</v>
      </c>
      <c r="AX324" s="756" t="s">
        <v>788</v>
      </c>
      <c r="AY324" s="766" t="s">
        <v>1063</v>
      </c>
    </row>
    <row r="325" spans="1:65" s="767" customFormat="1" ht="11.25">
      <c r="B325" s="768"/>
      <c r="C325" s="769"/>
      <c r="D325" s="759" t="s">
        <v>1143</v>
      </c>
      <c r="E325" s="770" t="s">
        <v>1043</v>
      </c>
      <c r="F325" s="771" t="s">
        <v>791</v>
      </c>
      <c r="G325" s="769"/>
      <c r="H325" s="772">
        <v>1</v>
      </c>
      <c r="I325" s="769"/>
      <c r="J325" s="769"/>
      <c r="K325" s="769"/>
      <c r="L325" s="769"/>
      <c r="M325" s="773"/>
      <c r="N325" s="774"/>
      <c r="O325" s="775"/>
      <c r="P325" s="775"/>
      <c r="Q325" s="775"/>
      <c r="R325" s="775"/>
      <c r="S325" s="775"/>
      <c r="T325" s="775"/>
      <c r="U325" s="775"/>
      <c r="V325" s="775"/>
      <c r="W325" s="775"/>
      <c r="X325" s="776"/>
      <c r="AT325" s="777" t="s">
        <v>1143</v>
      </c>
      <c r="AU325" s="777" t="s">
        <v>795</v>
      </c>
      <c r="AV325" s="767" t="s">
        <v>795</v>
      </c>
      <c r="AW325" s="767" t="s">
        <v>1145</v>
      </c>
      <c r="AX325" s="767" t="s">
        <v>788</v>
      </c>
      <c r="AY325" s="777" t="s">
        <v>1063</v>
      </c>
    </row>
    <row r="326" spans="1:65" s="778" customFormat="1" ht="11.25">
      <c r="B326" s="779"/>
      <c r="C326" s="780"/>
      <c r="D326" s="759" t="s">
        <v>1143</v>
      </c>
      <c r="E326" s="781" t="s">
        <v>1043</v>
      </c>
      <c r="F326" s="782" t="s">
        <v>1153</v>
      </c>
      <c r="G326" s="780"/>
      <c r="H326" s="783">
        <v>1</v>
      </c>
      <c r="I326" s="780"/>
      <c r="J326" s="780"/>
      <c r="K326" s="780"/>
      <c r="L326" s="780"/>
      <c r="M326" s="784"/>
      <c r="N326" s="785"/>
      <c r="O326" s="786"/>
      <c r="P326" s="786"/>
      <c r="Q326" s="786"/>
      <c r="R326" s="786"/>
      <c r="S326" s="786"/>
      <c r="T326" s="786"/>
      <c r="U326" s="786"/>
      <c r="V326" s="786"/>
      <c r="W326" s="786"/>
      <c r="X326" s="787"/>
      <c r="AT326" s="788" t="s">
        <v>1143</v>
      </c>
      <c r="AU326" s="788" t="s">
        <v>795</v>
      </c>
      <c r="AV326" s="778" t="s">
        <v>1065</v>
      </c>
      <c r="AW326" s="778" t="s">
        <v>1145</v>
      </c>
      <c r="AX326" s="778" t="s">
        <v>791</v>
      </c>
      <c r="AY326" s="788" t="s">
        <v>1063</v>
      </c>
    </row>
    <row r="327" spans="1:65" s="634" customFormat="1" ht="21.75" customHeight="1">
      <c r="A327" s="705"/>
      <c r="B327" s="706"/>
      <c r="C327" s="744" t="s">
        <v>1447</v>
      </c>
      <c r="D327" s="744" t="s">
        <v>29</v>
      </c>
      <c r="E327" s="745" t="s">
        <v>1448</v>
      </c>
      <c r="F327" s="746" t="s">
        <v>1449</v>
      </c>
      <c r="G327" s="747" t="s">
        <v>19</v>
      </c>
      <c r="H327" s="748">
        <v>14</v>
      </c>
      <c r="I327" s="749"/>
      <c r="J327" s="749"/>
      <c r="K327" s="749">
        <f>ROUND(P327*H327,2)</f>
        <v>0</v>
      </c>
      <c r="L327" s="750"/>
      <c r="M327" s="631"/>
      <c r="N327" s="751" t="s">
        <v>1043</v>
      </c>
      <c r="O327" s="752" t="s">
        <v>1129</v>
      </c>
      <c r="P327" s="753">
        <f>I327+J327</f>
        <v>0</v>
      </c>
      <c r="Q327" s="753">
        <f>ROUND(I327*H327,2)</f>
        <v>0</v>
      </c>
      <c r="R327" s="753">
        <f>ROUND(J327*H327,2)</f>
        <v>0</v>
      </c>
      <c r="S327" s="754">
        <v>0.214</v>
      </c>
      <c r="T327" s="754">
        <f>S327*H327</f>
        <v>2.996</v>
      </c>
      <c r="U327" s="754">
        <v>8.0000000000000007E-5</v>
      </c>
      <c r="V327" s="754">
        <f>U327*H327</f>
        <v>1.1200000000000001E-3</v>
      </c>
      <c r="W327" s="754">
        <v>0</v>
      </c>
      <c r="X327" s="755">
        <f>W327*H327</f>
        <v>0</v>
      </c>
      <c r="Y327" s="705"/>
      <c r="Z327" s="705"/>
      <c r="AA327" s="705"/>
      <c r="AB327" s="705"/>
      <c r="AC327" s="705"/>
      <c r="AD327" s="705"/>
      <c r="AE327" s="705"/>
      <c r="AR327" s="686" t="s">
        <v>1185</v>
      </c>
      <c r="AT327" s="686" t="s">
        <v>29</v>
      </c>
      <c r="AU327" s="686" t="s">
        <v>795</v>
      </c>
      <c r="AY327" s="629" t="s">
        <v>1063</v>
      </c>
      <c r="BE327" s="687">
        <f>IF(O327="základná",K327,0)</f>
        <v>0</v>
      </c>
      <c r="BF327" s="687">
        <f>IF(O327="znížená",K327,0)</f>
        <v>0</v>
      </c>
      <c r="BG327" s="687">
        <f>IF(O327="zákl. prenesená",K327,0)</f>
        <v>0</v>
      </c>
      <c r="BH327" s="687">
        <f>IF(O327="zníž. prenesená",K327,0)</f>
        <v>0</v>
      </c>
      <c r="BI327" s="687">
        <f>IF(O327="nulová",K327,0)</f>
        <v>0</v>
      </c>
      <c r="BJ327" s="629" t="s">
        <v>795</v>
      </c>
      <c r="BK327" s="687">
        <f>ROUND(P327*H327,2)</f>
        <v>0</v>
      </c>
      <c r="BL327" s="629" t="s">
        <v>1185</v>
      </c>
      <c r="BM327" s="686" t="s">
        <v>1450</v>
      </c>
    </row>
    <row r="328" spans="1:65" s="756" customFormat="1" ht="11.25">
      <c r="B328" s="757"/>
      <c r="C328" s="758"/>
      <c r="D328" s="759" t="s">
        <v>1143</v>
      </c>
      <c r="E328" s="760" t="s">
        <v>1043</v>
      </c>
      <c r="F328" s="761" t="s">
        <v>1409</v>
      </c>
      <c r="G328" s="758"/>
      <c r="H328" s="760" t="s">
        <v>1043</v>
      </c>
      <c r="I328" s="758"/>
      <c r="J328" s="758"/>
      <c r="K328" s="758"/>
      <c r="L328" s="758"/>
      <c r="M328" s="762"/>
      <c r="N328" s="763"/>
      <c r="O328" s="764"/>
      <c r="P328" s="764"/>
      <c r="Q328" s="764"/>
      <c r="R328" s="764"/>
      <c r="S328" s="764"/>
      <c r="T328" s="764"/>
      <c r="U328" s="764"/>
      <c r="V328" s="764"/>
      <c r="W328" s="764"/>
      <c r="X328" s="765"/>
      <c r="AT328" s="766" t="s">
        <v>1143</v>
      </c>
      <c r="AU328" s="766" t="s">
        <v>795</v>
      </c>
      <c r="AV328" s="756" t="s">
        <v>791</v>
      </c>
      <c r="AW328" s="756" t="s">
        <v>1145</v>
      </c>
      <c r="AX328" s="756" t="s">
        <v>788</v>
      </c>
      <c r="AY328" s="766" t="s">
        <v>1063</v>
      </c>
    </row>
    <row r="329" spans="1:65" s="767" customFormat="1" ht="11.25">
      <c r="B329" s="768"/>
      <c r="C329" s="769"/>
      <c r="D329" s="759" t="s">
        <v>1143</v>
      </c>
      <c r="E329" s="770" t="s">
        <v>1043</v>
      </c>
      <c r="F329" s="771" t="s">
        <v>1415</v>
      </c>
      <c r="G329" s="769"/>
      <c r="H329" s="772">
        <v>14</v>
      </c>
      <c r="I329" s="769"/>
      <c r="J329" s="769"/>
      <c r="K329" s="769"/>
      <c r="L329" s="769"/>
      <c r="M329" s="773"/>
      <c r="N329" s="774"/>
      <c r="O329" s="775"/>
      <c r="P329" s="775"/>
      <c r="Q329" s="775"/>
      <c r="R329" s="775"/>
      <c r="S329" s="775"/>
      <c r="T329" s="775"/>
      <c r="U329" s="775"/>
      <c r="V329" s="775"/>
      <c r="W329" s="775"/>
      <c r="X329" s="776"/>
      <c r="AT329" s="777" t="s">
        <v>1143</v>
      </c>
      <c r="AU329" s="777" t="s">
        <v>795</v>
      </c>
      <c r="AV329" s="767" t="s">
        <v>795</v>
      </c>
      <c r="AW329" s="767" t="s">
        <v>1145</v>
      </c>
      <c r="AX329" s="767" t="s">
        <v>788</v>
      </c>
      <c r="AY329" s="777" t="s">
        <v>1063</v>
      </c>
    </row>
    <row r="330" spans="1:65" s="778" customFormat="1" ht="11.25">
      <c r="B330" s="779"/>
      <c r="C330" s="780"/>
      <c r="D330" s="759" t="s">
        <v>1143</v>
      </c>
      <c r="E330" s="781" t="s">
        <v>1043</v>
      </c>
      <c r="F330" s="782" t="s">
        <v>1153</v>
      </c>
      <c r="G330" s="780"/>
      <c r="H330" s="783">
        <v>14</v>
      </c>
      <c r="I330" s="780"/>
      <c r="J330" s="780"/>
      <c r="K330" s="780"/>
      <c r="L330" s="780"/>
      <c r="M330" s="784"/>
      <c r="N330" s="785"/>
      <c r="O330" s="786"/>
      <c r="P330" s="786"/>
      <c r="Q330" s="786"/>
      <c r="R330" s="786"/>
      <c r="S330" s="786"/>
      <c r="T330" s="786"/>
      <c r="U330" s="786"/>
      <c r="V330" s="786"/>
      <c r="W330" s="786"/>
      <c r="X330" s="787"/>
      <c r="AT330" s="788" t="s">
        <v>1143</v>
      </c>
      <c r="AU330" s="788" t="s">
        <v>795</v>
      </c>
      <c r="AV330" s="778" t="s">
        <v>1065</v>
      </c>
      <c r="AW330" s="778" t="s">
        <v>1145</v>
      </c>
      <c r="AX330" s="778" t="s">
        <v>791</v>
      </c>
      <c r="AY330" s="788" t="s">
        <v>1063</v>
      </c>
    </row>
    <row r="331" spans="1:65" s="634" customFormat="1" ht="21.75" customHeight="1">
      <c r="A331" s="705"/>
      <c r="B331" s="706"/>
      <c r="C331" s="789" t="s">
        <v>1451</v>
      </c>
      <c r="D331" s="789" t="s">
        <v>83</v>
      </c>
      <c r="E331" s="790" t="s">
        <v>1452</v>
      </c>
      <c r="F331" s="791" t="s">
        <v>1453</v>
      </c>
      <c r="G331" s="792" t="s">
        <v>19</v>
      </c>
      <c r="H331" s="793">
        <v>13</v>
      </c>
      <c r="I331" s="794"/>
      <c r="J331" s="795"/>
      <c r="K331" s="794">
        <f>ROUND(P331*H331,2)</f>
        <v>0</v>
      </c>
      <c r="L331" s="795"/>
      <c r="M331" s="701"/>
      <c r="N331" s="796" t="s">
        <v>1043</v>
      </c>
      <c r="O331" s="752" t="s">
        <v>1129</v>
      </c>
      <c r="P331" s="753">
        <f>I331+J331</f>
        <v>0</v>
      </c>
      <c r="Q331" s="753">
        <f>ROUND(I331*H331,2)</f>
        <v>0</v>
      </c>
      <c r="R331" s="753">
        <f>ROUND(J331*H331,2)</f>
        <v>0</v>
      </c>
      <c r="S331" s="754">
        <v>0</v>
      </c>
      <c r="T331" s="754">
        <f>S331*H331</f>
        <v>0</v>
      </c>
      <c r="U331" s="754">
        <v>2.4000000000000001E-4</v>
      </c>
      <c r="V331" s="754">
        <f>U331*H331</f>
        <v>3.1199999999999999E-3</v>
      </c>
      <c r="W331" s="754">
        <v>0</v>
      </c>
      <c r="X331" s="755">
        <f>W331*H331</f>
        <v>0</v>
      </c>
      <c r="Y331" s="705"/>
      <c r="Z331" s="705"/>
      <c r="AA331" s="705"/>
      <c r="AB331" s="705"/>
      <c r="AC331" s="705"/>
      <c r="AD331" s="705"/>
      <c r="AE331" s="705"/>
      <c r="AR331" s="686" t="s">
        <v>1190</v>
      </c>
      <c r="AT331" s="686" t="s">
        <v>83</v>
      </c>
      <c r="AU331" s="686" t="s">
        <v>795</v>
      </c>
      <c r="AY331" s="629" t="s">
        <v>1063</v>
      </c>
      <c r="BE331" s="687">
        <f>IF(O331="základná",K331,0)</f>
        <v>0</v>
      </c>
      <c r="BF331" s="687">
        <f>IF(O331="znížená",K331,0)</f>
        <v>0</v>
      </c>
      <c r="BG331" s="687">
        <f>IF(O331="zákl. prenesená",K331,0)</f>
        <v>0</v>
      </c>
      <c r="BH331" s="687">
        <f>IF(O331="zníž. prenesená",K331,0)</f>
        <v>0</v>
      </c>
      <c r="BI331" s="687">
        <f>IF(O331="nulová",K331,0)</f>
        <v>0</v>
      </c>
      <c r="BJ331" s="629" t="s">
        <v>795</v>
      </c>
      <c r="BK331" s="687">
        <f>ROUND(P331*H331,2)</f>
        <v>0</v>
      </c>
      <c r="BL331" s="629" t="s">
        <v>1185</v>
      </c>
      <c r="BM331" s="686" t="s">
        <v>1454</v>
      </c>
    </row>
    <row r="332" spans="1:65" s="756" customFormat="1" ht="11.25">
      <c r="B332" s="757"/>
      <c r="C332" s="758"/>
      <c r="D332" s="759" t="s">
        <v>1143</v>
      </c>
      <c r="E332" s="760" t="s">
        <v>1043</v>
      </c>
      <c r="F332" s="761" t="s">
        <v>1455</v>
      </c>
      <c r="G332" s="758"/>
      <c r="H332" s="760" t="s">
        <v>1043</v>
      </c>
      <c r="I332" s="758"/>
      <c r="J332" s="758"/>
      <c r="K332" s="758"/>
      <c r="L332" s="758"/>
      <c r="M332" s="762"/>
      <c r="N332" s="763"/>
      <c r="O332" s="764"/>
      <c r="P332" s="764"/>
      <c r="Q332" s="764"/>
      <c r="R332" s="764"/>
      <c r="S332" s="764"/>
      <c r="T332" s="764"/>
      <c r="U332" s="764"/>
      <c r="V332" s="764"/>
      <c r="W332" s="764"/>
      <c r="X332" s="765"/>
      <c r="AT332" s="766" t="s">
        <v>1143</v>
      </c>
      <c r="AU332" s="766" t="s">
        <v>795</v>
      </c>
      <c r="AV332" s="756" t="s">
        <v>791</v>
      </c>
      <c r="AW332" s="756" t="s">
        <v>1145</v>
      </c>
      <c r="AX332" s="756" t="s">
        <v>788</v>
      </c>
      <c r="AY332" s="766" t="s">
        <v>1063</v>
      </c>
    </row>
    <row r="333" spans="1:65" s="767" customFormat="1" ht="11.25">
      <c r="B333" s="768"/>
      <c r="C333" s="769"/>
      <c r="D333" s="759" t="s">
        <v>1143</v>
      </c>
      <c r="E333" s="770" t="s">
        <v>1043</v>
      </c>
      <c r="F333" s="771" t="s">
        <v>1456</v>
      </c>
      <c r="G333" s="769"/>
      <c r="H333" s="772">
        <v>13</v>
      </c>
      <c r="I333" s="769"/>
      <c r="J333" s="769"/>
      <c r="K333" s="769"/>
      <c r="L333" s="769"/>
      <c r="M333" s="773"/>
      <c r="N333" s="774"/>
      <c r="O333" s="775"/>
      <c r="P333" s="775"/>
      <c r="Q333" s="775"/>
      <c r="R333" s="775"/>
      <c r="S333" s="775"/>
      <c r="T333" s="775"/>
      <c r="U333" s="775"/>
      <c r="V333" s="775"/>
      <c r="W333" s="775"/>
      <c r="X333" s="776"/>
      <c r="AT333" s="777" t="s">
        <v>1143</v>
      </c>
      <c r="AU333" s="777" t="s">
        <v>795</v>
      </c>
      <c r="AV333" s="767" t="s">
        <v>795</v>
      </c>
      <c r="AW333" s="767" t="s">
        <v>1145</v>
      </c>
      <c r="AX333" s="767" t="s">
        <v>788</v>
      </c>
      <c r="AY333" s="777" t="s">
        <v>1063</v>
      </c>
    </row>
    <row r="334" spans="1:65" s="778" customFormat="1" ht="11.25">
      <c r="B334" s="779"/>
      <c r="C334" s="780"/>
      <c r="D334" s="759" t="s">
        <v>1143</v>
      </c>
      <c r="E334" s="781" t="s">
        <v>1043</v>
      </c>
      <c r="F334" s="782" t="s">
        <v>1153</v>
      </c>
      <c r="G334" s="780"/>
      <c r="H334" s="783">
        <v>13</v>
      </c>
      <c r="I334" s="780"/>
      <c r="J334" s="780"/>
      <c r="K334" s="780"/>
      <c r="L334" s="780"/>
      <c r="M334" s="784"/>
      <c r="N334" s="785"/>
      <c r="O334" s="786"/>
      <c r="P334" s="786"/>
      <c r="Q334" s="786"/>
      <c r="R334" s="786"/>
      <c r="S334" s="786"/>
      <c r="T334" s="786"/>
      <c r="U334" s="786"/>
      <c r="V334" s="786"/>
      <c r="W334" s="786"/>
      <c r="X334" s="787"/>
      <c r="AT334" s="788" t="s">
        <v>1143</v>
      </c>
      <c r="AU334" s="788" t="s">
        <v>795</v>
      </c>
      <c r="AV334" s="778" t="s">
        <v>1065</v>
      </c>
      <c r="AW334" s="778" t="s">
        <v>1145</v>
      </c>
      <c r="AX334" s="778" t="s">
        <v>791</v>
      </c>
      <c r="AY334" s="788" t="s">
        <v>1063</v>
      </c>
    </row>
    <row r="335" spans="1:65" s="634" customFormat="1" ht="21.75" customHeight="1">
      <c r="A335" s="705"/>
      <c r="B335" s="706"/>
      <c r="C335" s="789" t="s">
        <v>1457</v>
      </c>
      <c r="D335" s="789" t="s">
        <v>83</v>
      </c>
      <c r="E335" s="790" t="s">
        <v>1458</v>
      </c>
      <c r="F335" s="791" t="s">
        <v>1459</v>
      </c>
      <c r="G335" s="792" t="s">
        <v>19</v>
      </c>
      <c r="H335" s="793">
        <v>1</v>
      </c>
      <c r="I335" s="794"/>
      <c r="J335" s="795"/>
      <c r="K335" s="794">
        <f>ROUND(P335*H335,2)</f>
        <v>0</v>
      </c>
      <c r="L335" s="795"/>
      <c r="M335" s="701"/>
      <c r="N335" s="796" t="s">
        <v>1043</v>
      </c>
      <c r="O335" s="752" t="s">
        <v>1129</v>
      </c>
      <c r="P335" s="753">
        <f>I335+J335</f>
        <v>0</v>
      </c>
      <c r="Q335" s="753">
        <f>ROUND(I335*H335,2)</f>
        <v>0</v>
      </c>
      <c r="R335" s="753">
        <f>ROUND(J335*H335,2)</f>
        <v>0</v>
      </c>
      <c r="S335" s="754">
        <v>0</v>
      </c>
      <c r="T335" s="754">
        <f>S335*H335</f>
        <v>0</v>
      </c>
      <c r="U335" s="754">
        <v>2.4000000000000001E-4</v>
      </c>
      <c r="V335" s="754">
        <f>U335*H335</f>
        <v>2.4000000000000001E-4</v>
      </c>
      <c r="W335" s="754">
        <v>0</v>
      </c>
      <c r="X335" s="755">
        <f>W335*H335</f>
        <v>0</v>
      </c>
      <c r="Y335" s="705"/>
      <c r="Z335" s="705"/>
      <c r="AA335" s="705"/>
      <c r="AB335" s="705"/>
      <c r="AC335" s="705"/>
      <c r="AD335" s="705"/>
      <c r="AE335" s="705"/>
      <c r="AR335" s="686" t="s">
        <v>1190</v>
      </c>
      <c r="AT335" s="686" t="s">
        <v>83</v>
      </c>
      <c r="AU335" s="686" t="s">
        <v>795</v>
      </c>
      <c r="AY335" s="629" t="s">
        <v>1063</v>
      </c>
      <c r="BE335" s="687">
        <f>IF(O335="základná",K335,0)</f>
        <v>0</v>
      </c>
      <c r="BF335" s="687">
        <f>IF(O335="znížená",K335,0)</f>
        <v>0</v>
      </c>
      <c r="BG335" s="687">
        <f>IF(O335="zákl. prenesená",K335,0)</f>
        <v>0</v>
      </c>
      <c r="BH335" s="687">
        <f>IF(O335="zníž. prenesená",K335,0)</f>
        <v>0</v>
      </c>
      <c r="BI335" s="687">
        <f>IF(O335="nulová",K335,0)</f>
        <v>0</v>
      </c>
      <c r="BJ335" s="629" t="s">
        <v>795</v>
      </c>
      <c r="BK335" s="687">
        <f>ROUND(P335*H335,2)</f>
        <v>0</v>
      </c>
      <c r="BL335" s="629" t="s">
        <v>1185</v>
      </c>
      <c r="BM335" s="686" t="s">
        <v>1460</v>
      </c>
    </row>
    <row r="336" spans="1:65" s="756" customFormat="1" ht="11.25">
      <c r="B336" s="757"/>
      <c r="C336" s="758"/>
      <c r="D336" s="759" t="s">
        <v>1143</v>
      </c>
      <c r="E336" s="760" t="s">
        <v>1043</v>
      </c>
      <c r="F336" s="761" t="s">
        <v>1461</v>
      </c>
      <c r="G336" s="758"/>
      <c r="H336" s="760" t="s">
        <v>1043</v>
      </c>
      <c r="I336" s="758"/>
      <c r="J336" s="758"/>
      <c r="K336" s="758"/>
      <c r="L336" s="758"/>
      <c r="M336" s="762"/>
      <c r="N336" s="763"/>
      <c r="O336" s="764"/>
      <c r="P336" s="764"/>
      <c r="Q336" s="764"/>
      <c r="R336" s="764"/>
      <c r="S336" s="764"/>
      <c r="T336" s="764"/>
      <c r="U336" s="764"/>
      <c r="V336" s="764"/>
      <c r="W336" s="764"/>
      <c r="X336" s="765"/>
      <c r="AT336" s="766" t="s">
        <v>1143</v>
      </c>
      <c r="AU336" s="766" t="s">
        <v>795</v>
      </c>
      <c r="AV336" s="756" t="s">
        <v>791</v>
      </c>
      <c r="AW336" s="756" t="s">
        <v>1145</v>
      </c>
      <c r="AX336" s="756" t="s">
        <v>788</v>
      </c>
      <c r="AY336" s="766" t="s">
        <v>1063</v>
      </c>
    </row>
    <row r="337" spans="1:65" s="767" customFormat="1" ht="11.25">
      <c r="B337" s="768"/>
      <c r="C337" s="769"/>
      <c r="D337" s="759" t="s">
        <v>1143</v>
      </c>
      <c r="E337" s="770" t="s">
        <v>1043</v>
      </c>
      <c r="F337" s="771" t="s">
        <v>791</v>
      </c>
      <c r="G337" s="769"/>
      <c r="H337" s="772">
        <v>1</v>
      </c>
      <c r="I337" s="769"/>
      <c r="J337" s="769"/>
      <c r="K337" s="769"/>
      <c r="L337" s="769"/>
      <c r="M337" s="773"/>
      <c r="N337" s="774"/>
      <c r="O337" s="775"/>
      <c r="P337" s="775"/>
      <c r="Q337" s="775"/>
      <c r="R337" s="775"/>
      <c r="S337" s="775"/>
      <c r="T337" s="775"/>
      <c r="U337" s="775"/>
      <c r="V337" s="775"/>
      <c r="W337" s="775"/>
      <c r="X337" s="776"/>
      <c r="AT337" s="777" t="s">
        <v>1143</v>
      </c>
      <c r="AU337" s="777" t="s">
        <v>795</v>
      </c>
      <c r="AV337" s="767" t="s">
        <v>795</v>
      </c>
      <c r="AW337" s="767" t="s">
        <v>1145</v>
      </c>
      <c r="AX337" s="767" t="s">
        <v>788</v>
      </c>
      <c r="AY337" s="777" t="s">
        <v>1063</v>
      </c>
    </row>
    <row r="338" spans="1:65" s="778" customFormat="1" ht="11.25">
      <c r="B338" s="779"/>
      <c r="C338" s="780"/>
      <c r="D338" s="759" t="s">
        <v>1143</v>
      </c>
      <c r="E338" s="781" t="s">
        <v>1043</v>
      </c>
      <c r="F338" s="782" t="s">
        <v>1153</v>
      </c>
      <c r="G338" s="780"/>
      <c r="H338" s="783">
        <v>1</v>
      </c>
      <c r="I338" s="780"/>
      <c r="J338" s="780"/>
      <c r="K338" s="780"/>
      <c r="L338" s="780"/>
      <c r="M338" s="784"/>
      <c r="N338" s="785"/>
      <c r="O338" s="786"/>
      <c r="P338" s="786"/>
      <c r="Q338" s="786"/>
      <c r="R338" s="786"/>
      <c r="S338" s="786"/>
      <c r="T338" s="786"/>
      <c r="U338" s="786"/>
      <c r="V338" s="786"/>
      <c r="W338" s="786"/>
      <c r="X338" s="787"/>
      <c r="AT338" s="788" t="s">
        <v>1143</v>
      </c>
      <c r="AU338" s="788" t="s">
        <v>795</v>
      </c>
      <c r="AV338" s="778" t="s">
        <v>1065</v>
      </c>
      <c r="AW338" s="778" t="s">
        <v>1145</v>
      </c>
      <c r="AX338" s="778" t="s">
        <v>791</v>
      </c>
      <c r="AY338" s="788" t="s">
        <v>1063</v>
      </c>
    </row>
    <row r="339" spans="1:65" s="634" customFormat="1" ht="16.5" customHeight="1">
      <c r="A339" s="705"/>
      <c r="B339" s="706"/>
      <c r="C339" s="744" t="s">
        <v>1462</v>
      </c>
      <c r="D339" s="744" t="s">
        <v>29</v>
      </c>
      <c r="E339" s="745" t="s">
        <v>1463</v>
      </c>
      <c r="F339" s="746" t="s">
        <v>1464</v>
      </c>
      <c r="G339" s="747" t="s">
        <v>19</v>
      </c>
      <c r="H339" s="748">
        <v>19</v>
      </c>
      <c r="I339" s="749"/>
      <c r="J339" s="749"/>
      <c r="K339" s="749">
        <f>ROUND(P339*H339,2)</f>
        <v>0</v>
      </c>
      <c r="L339" s="750"/>
      <c r="M339" s="631"/>
      <c r="N339" s="751" t="s">
        <v>1043</v>
      </c>
      <c r="O339" s="752" t="s">
        <v>1129</v>
      </c>
      <c r="P339" s="753">
        <f>I339+J339</f>
        <v>0</v>
      </c>
      <c r="Q339" s="753">
        <f>ROUND(I339*H339,2)</f>
        <v>0</v>
      </c>
      <c r="R339" s="753">
        <f>ROUND(J339*H339,2)</f>
        <v>0</v>
      </c>
      <c r="S339" s="754">
        <v>0.125</v>
      </c>
      <c r="T339" s="754">
        <f>S339*H339</f>
        <v>2.375</v>
      </c>
      <c r="U339" s="754">
        <v>1.0000000000000001E-5</v>
      </c>
      <c r="V339" s="754">
        <f>U339*H339</f>
        <v>1.9000000000000001E-4</v>
      </c>
      <c r="W339" s="754">
        <v>0</v>
      </c>
      <c r="X339" s="755">
        <f>W339*H339</f>
        <v>0</v>
      </c>
      <c r="Y339" s="705"/>
      <c r="Z339" s="705"/>
      <c r="AA339" s="705"/>
      <c r="AB339" s="705"/>
      <c r="AC339" s="705"/>
      <c r="AD339" s="705"/>
      <c r="AE339" s="705"/>
      <c r="AR339" s="686" t="s">
        <v>1185</v>
      </c>
      <c r="AT339" s="686" t="s">
        <v>29</v>
      </c>
      <c r="AU339" s="686" t="s">
        <v>795</v>
      </c>
      <c r="AY339" s="629" t="s">
        <v>1063</v>
      </c>
      <c r="BE339" s="687">
        <f>IF(O339="základná",K339,0)</f>
        <v>0</v>
      </c>
      <c r="BF339" s="687">
        <f>IF(O339="znížená",K339,0)</f>
        <v>0</v>
      </c>
      <c r="BG339" s="687">
        <f>IF(O339="zákl. prenesená",K339,0)</f>
        <v>0</v>
      </c>
      <c r="BH339" s="687">
        <f>IF(O339="zníž. prenesená",K339,0)</f>
        <v>0</v>
      </c>
      <c r="BI339" s="687">
        <f>IF(O339="nulová",K339,0)</f>
        <v>0</v>
      </c>
      <c r="BJ339" s="629" t="s">
        <v>795</v>
      </c>
      <c r="BK339" s="687">
        <f>ROUND(P339*H339,2)</f>
        <v>0</v>
      </c>
      <c r="BL339" s="629" t="s">
        <v>1185</v>
      </c>
      <c r="BM339" s="686" t="s">
        <v>1465</v>
      </c>
    </row>
    <row r="340" spans="1:65" s="756" customFormat="1" ht="11.25">
      <c r="B340" s="757"/>
      <c r="C340" s="758"/>
      <c r="D340" s="759" t="s">
        <v>1143</v>
      </c>
      <c r="E340" s="760" t="s">
        <v>1043</v>
      </c>
      <c r="F340" s="761" t="s">
        <v>1455</v>
      </c>
      <c r="G340" s="758"/>
      <c r="H340" s="760" t="s">
        <v>1043</v>
      </c>
      <c r="I340" s="758"/>
      <c r="J340" s="758"/>
      <c r="K340" s="758"/>
      <c r="L340" s="758"/>
      <c r="M340" s="762"/>
      <c r="N340" s="763"/>
      <c r="O340" s="764"/>
      <c r="P340" s="764"/>
      <c r="Q340" s="764"/>
      <c r="R340" s="764"/>
      <c r="S340" s="764"/>
      <c r="T340" s="764"/>
      <c r="U340" s="764"/>
      <c r="V340" s="764"/>
      <c r="W340" s="764"/>
      <c r="X340" s="765"/>
      <c r="AT340" s="766" t="s">
        <v>1143</v>
      </c>
      <c r="AU340" s="766" t="s">
        <v>795</v>
      </c>
      <c r="AV340" s="756" t="s">
        <v>791</v>
      </c>
      <c r="AW340" s="756" t="s">
        <v>1145</v>
      </c>
      <c r="AX340" s="756" t="s">
        <v>788</v>
      </c>
      <c r="AY340" s="766" t="s">
        <v>1063</v>
      </c>
    </row>
    <row r="341" spans="1:65" s="767" customFormat="1" ht="11.25">
      <c r="B341" s="768"/>
      <c r="C341" s="769"/>
      <c r="D341" s="759" t="s">
        <v>1143</v>
      </c>
      <c r="E341" s="770" t="s">
        <v>1043</v>
      </c>
      <c r="F341" s="771" t="s">
        <v>1466</v>
      </c>
      <c r="G341" s="769"/>
      <c r="H341" s="772">
        <v>19</v>
      </c>
      <c r="I341" s="769"/>
      <c r="J341" s="769"/>
      <c r="K341" s="769"/>
      <c r="L341" s="769"/>
      <c r="M341" s="773"/>
      <c r="N341" s="774"/>
      <c r="O341" s="775"/>
      <c r="P341" s="775"/>
      <c r="Q341" s="775"/>
      <c r="R341" s="775"/>
      <c r="S341" s="775"/>
      <c r="T341" s="775"/>
      <c r="U341" s="775"/>
      <c r="V341" s="775"/>
      <c r="W341" s="775"/>
      <c r="X341" s="776"/>
      <c r="AT341" s="777" t="s">
        <v>1143</v>
      </c>
      <c r="AU341" s="777" t="s">
        <v>795</v>
      </c>
      <c r="AV341" s="767" t="s">
        <v>795</v>
      </c>
      <c r="AW341" s="767" t="s">
        <v>1145</v>
      </c>
      <c r="AX341" s="767" t="s">
        <v>788</v>
      </c>
      <c r="AY341" s="777" t="s">
        <v>1063</v>
      </c>
    </row>
    <row r="342" spans="1:65" s="778" customFormat="1" ht="11.25">
      <c r="B342" s="779"/>
      <c r="C342" s="780"/>
      <c r="D342" s="759" t="s">
        <v>1143</v>
      </c>
      <c r="E342" s="781" t="s">
        <v>1043</v>
      </c>
      <c r="F342" s="782" t="s">
        <v>1153</v>
      </c>
      <c r="G342" s="780"/>
      <c r="H342" s="783">
        <v>19</v>
      </c>
      <c r="I342" s="780"/>
      <c r="J342" s="780"/>
      <c r="K342" s="780"/>
      <c r="L342" s="780"/>
      <c r="M342" s="784"/>
      <c r="N342" s="785"/>
      <c r="O342" s="786"/>
      <c r="P342" s="786"/>
      <c r="Q342" s="786"/>
      <c r="R342" s="786"/>
      <c r="S342" s="786"/>
      <c r="T342" s="786"/>
      <c r="U342" s="786"/>
      <c r="V342" s="786"/>
      <c r="W342" s="786"/>
      <c r="X342" s="787"/>
      <c r="AT342" s="788" t="s">
        <v>1143</v>
      </c>
      <c r="AU342" s="788" t="s">
        <v>795</v>
      </c>
      <c r="AV342" s="778" t="s">
        <v>1065</v>
      </c>
      <c r="AW342" s="778" t="s">
        <v>1145</v>
      </c>
      <c r="AX342" s="778" t="s">
        <v>791</v>
      </c>
      <c r="AY342" s="788" t="s">
        <v>1063</v>
      </c>
    </row>
    <row r="343" spans="1:65" s="634" customFormat="1" ht="33" customHeight="1">
      <c r="A343" s="705"/>
      <c r="B343" s="706"/>
      <c r="C343" s="789" t="s">
        <v>1467</v>
      </c>
      <c r="D343" s="789" t="s">
        <v>83</v>
      </c>
      <c r="E343" s="790" t="s">
        <v>1468</v>
      </c>
      <c r="F343" s="791" t="s">
        <v>1469</v>
      </c>
      <c r="G343" s="792" t="s">
        <v>19</v>
      </c>
      <c r="H343" s="793">
        <v>13</v>
      </c>
      <c r="I343" s="794"/>
      <c r="J343" s="795"/>
      <c r="K343" s="794">
        <f>ROUND(P343*H343,2)</f>
        <v>0</v>
      </c>
      <c r="L343" s="795"/>
      <c r="M343" s="701"/>
      <c r="N343" s="796" t="s">
        <v>1043</v>
      </c>
      <c r="O343" s="752" t="s">
        <v>1129</v>
      </c>
      <c r="P343" s="753">
        <f>I343+J343</f>
        <v>0</v>
      </c>
      <c r="Q343" s="753">
        <f>ROUND(I343*H343,2)</f>
        <v>0</v>
      </c>
      <c r="R343" s="753">
        <f>ROUND(J343*H343,2)</f>
        <v>0</v>
      </c>
      <c r="S343" s="754">
        <v>0</v>
      </c>
      <c r="T343" s="754">
        <f>S343*H343</f>
        <v>0</v>
      </c>
      <c r="U343" s="754">
        <v>7.7999999999999999E-4</v>
      </c>
      <c r="V343" s="754">
        <f>U343*H343</f>
        <v>1.014E-2</v>
      </c>
      <c r="W343" s="754">
        <v>0</v>
      </c>
      <c r="X343" s="755">
        <f>W343*H343</f>
        <v>0</v>
      </c>
      <c r="Y343" s="705"/>
      <c r="Z343" s="705"/>
      <c r="AA343" s="705"/>
      <c r="AB343" s="705"/>
      <c r="AC343" s="705"/>
      <c r="AD343" s="705"/>
      <c r="AE343" s="705"/>
      <c r="AR343" s="686" t="s">
        <v>1190</v>
      </c>
      <c r="AT343" s="686" t="s">
        <v>83</v>
      </c>
      <c r="AU343" s="686" t="s">
        <v>795</v>
      </c>
      <c r="AY343" s="629" t="s">
        <v>1063</v>
      </c>
      <c r="BE343" s="687">
        <f>IF(O343="základná",K343,0)</f>
        <v>0</v>
      </c>
      <c r="BF343" s="687">
        <f>IF(O343="znížená",K343,0)</f>
        <v>0</v>
      </c>
      <c r="BG343" s="687">
        <f>IF(O343="zákl. prenesená",K343,0)</f>
        <v>0</v>
      </c>
      <c r="BH343" s="687">
        <f>IF(O343="zníž. prenesená",K343,0)</f>
        <v>0</v>
      </c>
      <c r="BI343" s="687">
        <f>IF(O343="nulová",K343,0)</f>
        <v>0</v>
      </c>
      <c r="BJ343" s="629" t="s">
        <v>795</v>
      </c>
      <c r="BK343" s="687">
        <f>ROUND(P343*H343,2)</f>
        <v>0</v>
      </c>
      <c r="BL343" s="629" t="s">
        <v>1185</v>
      </c>
      <c r="BM343" s="686" t="s">
        <v>1470</v>
      </c>
    </row>
    <row r="344" spans="1:65" s="756" customFormat="1" ht="11.25">
      <c r="B344" s="757"/>
      <c r="C344" s="758"/>
      <c r="D344" s="759" t="s">
        <v>1143</v>
      </c>
      <c r="E344" s="760" t="s">
        <v>1043</v>
      </c>
      <c r="F344" s="761" t="s">
        <v>1455</v>
      </c>
      <c r="G344" s="758"/>
      <c r="H344" s="760" t="s">
        <v>1043</v>
      </c>
      <c r="I344" s="758"/>
      <c r="J344" s="758"/>
      <c r="K344" s="758"/>
      <c r="L344" s="758"/>
      <c r="M344" s="762"/>
      <c r="N344" s="763"/>
      <c r="O344" s="764"/>
      <c r="P344" s="764"/>
      <c r="Q344" s="764"/>
      <c r="R344" s="764"/>
      <c r="S344" s="764"/>
      <c r="T344" s="764"/>
      <c r="U344" s="764"/>
      <c r="V344" s="764"/>
      <c r="W344" s="764"/>
      <c r="X344" s="765"/>
      <c r="AT344" s="766" t="s">
        <v>1143</v>
      </c>
      <c r="AU344" s="766" t="s">
        <v>795</v>
      </c>
      <c r="AV344" s="756" t="s">
        <v>791</v>
      </c>
      <c r="AW344" s="756" t="s">
        <v>1145</v>
      </c>
      <c r="AX344" s="756" t="s">
        <v>788</v>
      </c>
      <c r="AY344" s="766" t="s">
        <v>1063</v>
      </c>
    </row>
    <row r="345" spans="1:65" s="767" customFormat="1" ht="11.25">
      <c r="B345" s="768"/>
      <c r="C345" s="769"/>
      <c r="D345" s="759" t="s">
        <v>1143</v>
      </c>
      <c r="E345" s="770" t="s">
        <v>1043</v>
      </c>
      <c r="F345" s="771" t="s">
        <v>1456</v>
      </c>
      <c r="G345" s="769"/>
      <c r="H345" s="772">
        <v>13</v>
      </c>
      <c r="I345" s="769"/>
      <c r="J345" s="769"/>
      <c r="K345" s="769"/>
      <c r="L345" s="769"/>
      <c r="M345" s="773"/>
      <c r="N345" s="774"/>
      <c r="O345" s="775"/>
      <c r="P345" s="775"/>
      <c r="Q345" s="775"/>
      <c r="R345" s="775"/>
      <c r="S345" s="775"/>
      <c r="T345" s="775"/>
      <c r="U345" s="775"/>
      <c r="V345" s="775"/>
      <c r="W345" s="775"/>
      <c r="X345" s="776"/>
      <c r="AT345" s="777" t="s">
        <v>1143</v>
      </c>
      <c r="AU345" s="777" t="s">
        <v>795</v>
      </c>
      <c r="AV345" s="767" t="s">
        <v>795</v>
      </c>
      <c r="AW345" s="767" t="s">
        <v>1145</v>
      </c>
      <c r="AX345" s="767" t="s">
        <v>788</v>
      </c>
      <c r="AY345" s="777" t="s">
        <v>1063</v>
      </c>
    </row>
    <row r="346" spans="1:65" s="778" customFormat="1" ht="11.25">
      <c r="B346" s="779"/>
      <c r="C346" s="780"/>
      <c r="D346" s="759" t="s">
        <v>1143</v>
      </c>
      <c r="E346" s="781" t="s">
        <v>1043</v>
      </c>
      <c r="F346" s="782" t="s">
        <v>1153</v>
      </c>
      <c r="G346" s="780"/>
      <c r="H346" s="783">
        <v>13</v>
      </c>
      <c r="I346" s="780"/>
      <c r="J346" s="780"/>
      <c r="K346" s="780"/>
      <c r="L346" s="780"/>
      <c r="M346" s="784"/>
      <c r="N346" s="785"/>
      <c r="O346" s="786"/>
      <c r="P346" s="786"/>
      <c r="Q346" s="786"/>
      <c r="R346" s="786"/>
      <c r="S346" s="786"/>
      <c r="T346" s="786"/>
      <c r="U346" s="786"/>
      <c r="V346" s="786"/>
      <c r="W346" s="786"/>
      <c r="X346" s="787"/>
      <c r="AT346" s="788" t="s">
        <v>1143</v>
      </c>
      <c r="AU346" s="788" t="s">
        <v>795</v>
      </c>
      <c r="AV346" s="778" t="s">
        <v>1065</v>
      </c>
      <c r="AW346" s="778" t="s">
        <v>1145</v>
      </c>
      <c r="AX346" s="778" t="s">
        <v>791</v>
      </c>
      <c r="AY346" s="788" t="s">
        <v>1063</v>
      </c>
    </row>
    <row r="347" spans="1:65" s="634" customFormat="1" ht="33" customHeight="1">
      <c r="A347" s="705"/>
      <c r="B347" s="706"/>
      <c r="C347" s="789" t="s">
        <v>1471</v>
      </c>
      <c r="D347" s="789" t="s">
        <v>83</v>
      </c>
      <c r="E347" s="790" t="s">
        <v>1472</v>
      </c>
      <c r="F347" s="791" t="s">
        <v>1473</v>
      </c>
      <c r="G347" s="792" t="s">
        <v>19</v>
      </c>
      <c r="H347" s="793">
        <v>6</v>
      </c>
      <c r="I347" s="794"/>
      <c r="J347" s="795"/>
      <c r="K347" s="794">
        <f>ROUND(P347*H347,2)</f>
        <v>0</v>
      </c>
      <c r="L347" s="795"/>
      <c r="M347" s="701"/>
      <c r="N347" s="796" t="s">
        <v>1043</v>
      </c>
      <c r="O347" s="752" t="s">
        <v>1129</v>
      </c>
      <c r="P347" s="753">
        <f>I347+J347</f>
        <v>0</v>
      </c>
      <c r="Q347" s="753">
        <f>ROUND(I347*H347,2)</f>
        <v>0</v>
      </c>
      <c r="R347" s="753">
        <f>ROUND(J347*H347,2)</f>
        <v>0</v>
      </c>
      <c r="S347" s="754">
        <v>0</v>
      </c>
      <c r="T347" s="754">
        <f>S347*H347</f>
        <v>0</v>
      </c>
      <c r="U347" s="754">
        <v>1.5E-3</v>
      </c>
      <c r="V347" s="754">
        <f>U347*H347</f>
        <v>9.0000000000000011E-3</v>
      </c>
      <c r="W347" s="754">
        <v>0</v>
      </c>
      <c r="X347" s="755">
        <f>W347*H347</f>
        <v>0</v>
      </c>
      <c r="Y347" s="705"/>
      <c r="Z347" s="705"/>
      <c r="AA347" s="705"/>
      <c r="AB347" s="705"/>
      <c r="AC347" s="705"/>
      <c r="AD347" s="705"/>
      <c r="AE347" s="705"/>
      <c r="AR347" s="686" t="s">
        <v>1190</v>
      </c>
      <c r="AT347" s="686" t="s">
        <v>83</v>
      </c>
      <c r="AU347" s="686" t="s">
        <v>795</v>
      </c>
      <c r="AY347" s="629" t="s">
        <v>1063</v>
      </c>
      <c r="BE347" s="687">
        <f>IF(O347="základná",K347,0)</f>
        <v>0</v>
      </c>
      <c r="BF347" s="687">
        <f>IF(O347="znížená",K347,0)</f>
        <v>0</v>
      </c>
      <c r="BG347" s="687">
        <f>IF(O347="zákl. prenesená",K347,0)</f>
        <v>0</v>
      </c>
      <c r="BH347" s="687">
        <f>IF(O347="zníž. prenesená",K347,0)</f>
        <v>0</v>
      </c>
      <c r="BI347" s="687">
        <f>IF(O347="nulová",K347,0)</f>
        <v>0</v>
      </c>
      <c r="BJ347" s="629" t="s">
        <v>795</v>
      </c>
      <c r="BK347" s="687">
        <f>ROUND(P347*H347,2)</f>
        <v>0</v>
      </c>
      <c r="BL347" s="629" t="s">
        <v>1185</v>
      </c>
      <c r="BM347" s="686" t="s">
        <v>1474</v>
      </c>
    </row>
    <row r="348" spans="1:65" s="756" customFormat="1" ht="11.25">
      <c r="B348" s="757"/>
      <c r="C348" s="758"/>
      <c r="D348" s="759" t="s">
        <v>1143</v>
      </c>
      <c r="E348" s="760" t="s">
        <v>1043</v>
      </c>
      <c r="F348" s="761" t="s">
        <v>1475</v>
      </c>
      <c r="G348" s="758"/>
      <c r="H348" s="760" t="s">
        <v>1043</v>
      </c>
      <c r="I348" s="758"/>
      <c r="J348" s="758"/>
      <c r="K348" s="758"/>
      <c r="L348" s="758"/>
      <c r="M348" s="762"/>
      <c r="N348" s="763"/>
      <c r="O348" s="764"/>
      <c r="P348" s="764"/>
      <c r="Q348" s="764"/>
      <c r="R348" s="764"/>
      <c r="S348" s="764"/>
      <c r="T348" s="764"/>
      <c r="U348" s="764"/>
      <c r="V348" s="764"/>
      <c r="W348" s="764"/>
      <c r="X348" s="765"/>
      <c r="AT348" s="766" t="s">
        <v>1143</v>
      </c>
      <c r="AU348" s="766" t="s">
        <v>795</v>
      </c>
      <c r="AV348" s="756" t="s">
        <v>791</v>
      </c>
      <c r="AW348" s="756" t="s">
        <v>1145</v>
      </c>
      <c r="AX348" s="756" t="s">
        <v>788</v>
      </c>
      <c r="AY348" s="766" t="s">
        <v>1063</v>
      </c>
    </row>
    <row r="349" spans="1:65" s="767" customFormat="1" ht="11.25">
      <c r="B349" s="768"/>
      <c r="C349" s="769"/>
      <c r="D349" s="759" t="s">
        <v>1143</v>
      </c>
      <c r="E349" s="770" t="s">
        <v>1043</v>
      </c>
      <c r="F349" s="771" t="s">
        <v>1476</v>
      </c>
      <c r="G349" s="769"/>
      <c r="H349" s="772">
        <v>6</v>
      </c>
      <c r="I349" s="769"/>
      <c r="J349" s="769"/>
      <c r="K349" s="769"/>
      <c r="L349" s="769"/>
      <c r="M349" s="773"/>
      <c r="N349" s="774"/>
      <c r="O349" s="775"/>
      <c r="P349" s="775"/>
      <c r="Q349" s="775"/>
      <c r="R349" s="775"/>
      <c r="S349" s="775"/>
      <c r="T349" s="775"/>
      <c r="U349" s="775"/>
      <c r="V349" s="775"/>
      <c r="W349" s="775"/>
      <c r="X349" s="776"/>
      <c r="AT349" s="777" t="s">
        <v>1143</v>
      </c>
      <c r="AU349" s="777" t="s">
        <v>795</v>
      </c>
      <c r="AV349" s="767" t="s">
        <v>795</v>
      </c>
      <c r="AW349" s="767" t="s">
        <v>1145</v>
      </c>
      <c r="AX349" s="767" t="s">
        <v>788</v>
      </c>
      <c r="AY349" s="777" t="s">
        <v>1063</v>
      </c>
    </row>
    <row r="350" spans="1:65" s="778" customFormat="1" ht="11.25">
      <c r="B350" s="779"/>
      <c r="C350" s="780"/>
      <c r="D350" s="759" t="s">
        <v>1143</v>
      </c>
      <c r="E350" s="781" t="s">
        <v>1043</v>
      </c>
      <c r="F350" s="782" t="s">
        <v>1153</v>
      </c>
      <c r="G350" s="780"/>
      <c r="H350" s="783">
        <v>6</v>
      </c>
      <c r="I350" s="780"/>
      <c r="J350" s="780"/>
      <c r="K350" s="780"/>
      <c r="L350" s="780"/>
      <c r="M350" s="784"/>
      <c r="N350" s="785"/>
      <c r="O350" s="786"/>
      <c r="P350" s="786"/>
      <c r="Q350" s="786"/>
      <c r="R350" s="786"/>
      <c r="S350" s="786"/>
      <c r="T350" s="786"/>
      <c r="U350" s="786"/>
      <c r="V350" s="786"/>
      <c r="W350" s="786"/>
      <c r="X350" s="787"/>
      <c r="AT350" s="788" t="s">
        <v>1143</v>
      </c>
      <c r="AU350" s="788" t="s">
        <v>795</v>
      </c>
      <c r="AV350" s="778" t="s">
        <v>1065</v>
      </c>
      <c r="AW350" s="778" t="s">
        <v>1145</v>
      </c>
      <c r="AX350" s="778" t="s">
        <v>791</v>
      </c>
      <c r="AY350" s="788" t="s">
        <v>1063</v>
      </c>
    </row>
    <row r="351" spans="1:65" s="634" customFormat="1" ht="16.5" customHeight="1">
      <c r="A351" s="705"/>
      <c r="B351" s="706"/>
      <c r="C351" s="744" t="s">
        <v>1477</v>
      </c>
      <c r="D351" s="744" t="s">
        <v>29</v>
      </c>
      <c r="E351" s="745" t="s">
        <v>1478</v>
      </c>
      <c r="F351" s="746" t="s">
        <v>1479</v>
      </c>
      <c r="G351" s="747" t="s">
        <v>19</v>
      </c>
      <c r="H351" s="748">
        <v>1</v>
      </c>
      <c r="I351" s="749"/>
      <c r="J351" s="749"/>
      <c r="K351" s="749">
        <f>ROUND(P351*H351,2)</f>
        <v>0</v>
      </c>
      <c r="L351" s="750"/>
      <c r="M351" s="631"/>
      <c r="N351" s="751" t="s">
        <v>1043</v>
      </c>
      <c r="O351" s="752" t="s">
        <v>1129</v>
      </c>
      <c r="P351" s="753">
        <f>I351+J351</f>
        <v>0</v>
      </c>
      <c r="Q351" s="753">
        <f>ROUND(I351*H351,2)</f>
        <v>0</v>
      </c>
      <c r="R351" s="753">
        <f>ROUND(J351*H351,2)</f>
        <v>0</v>
      </c>
      <c r="S351" s="754">
        <v>0.19800000000000001</v>
      </c>
      <c r="T351" s="754">
        <f>S351*H351</f>
        <v>0.19800000000000001</v>
      </c>
      <c r="U351" s="754">
        <v>1.0000000000000001E-5</v>
      </c>
      <c r="V351" s="754">
        <f>U351*H351</f>
        <v>1.0000000000000001E-5</v>
      </c>
      <c r="W351" s="754">
        <v>0</v>
      </c>
      <c r="X351" s="755">
        <f>W351*H351</f>
        <v>0</v>
      </c>
      <c r="Y351" s="705"/>
      <c r="Z351" s="705"/>
      <c r="AA351" s="705"/>
      <c r="AB351" s="705"/>
      <c r="AC351" s="705"/>
      <c r="AD351" s="705"/>
      <c r="AE351" s="705"/>
      <c r="AR351" s="686" t="s">
        <v>1185</v>
      </c>
      <c r="AT351" s="686" t="s">
        <v>29</v>
      </c>
      <c r="AU351" s="686" t="s">
        <v>795</v>
      </c>
      <c r="AY351" s="629" t="s">
        <v>1063</v>
      </c>
      <c r="BE351" s="687">
        <f>IF(O351="základná",K351,0)</f>
        <v>0</v>
      </c>
      <c r="BF351" s="687">
        <f>IF(O351="znížená",K351,0)</f>
        <v>0</v>
      </c>
      <c r="BG351" s="687">
        <f>IF(O351="zákl. prenesená",K351,0)</f>
        <v>0</v>
      </c>
      <c r="BH351" s="687">
        <f>IF(O351="zníž. prenesená",K351,0)</f>
        <v>0</v>
      </c>
      <c r="BI351" s="687">
        <f>IF(O351="nulová",K351,0)</f>
        <v>0</v>
      </c>
      <c r="BJ351" s="629" t="s">
        <v>795</v>
      </c>
      <c r="BK351" s="687">
        <f>ROUND(P351*H351,2)</f>
        <v>0</v>
      </c>
      <c r="BL351" s="629" t="s">
        <v>1185</v>
      </c>
      <c r="BM351" s="686" t="s">
        <v>1480</v>
      </c>
    </row>
    <row r="352" spans="1:65" s="756" customFormat="1" ht="11.25">
      <c r="B352" s="757"/>
      <c r="C352" s="758"/>
      <c r="D352" s="759" t="s">
        <v>1143</v>
      </c>
      <c r="E352" s="760" t="s">
        <v>1043</v>
      </c>
      <c r="F352" s="761" t="s">
        <v>1461</v>
      </c>
      <c r="G352" s="758"/>
      <c r="H352" s="760" t="s">
        <v>1043</v>
      </c>
      <c r="I352" s="758"/>
      <c r="J352" s="758"/>
      <c r="K352" s="758"/>
      <c r="L352" s="758"/>
      <c r="M352" s="762"/>
      <c r="N352" s="763"/>
      <c r="O352" s="764"/>
      <c r="P352" s="764"/>
      <c r="Q352" s="764"/>
      <c r="R352" s="764"/>
      <c r="S352" s="764"/>
      <c r="T352" s="764"/>
      <c r="U352" s="764"/>
      <c r="V352" s="764"/>
      <c r="W352" s="764"/>
      <c r="X352" s="765"/>
      <c r="AT352" s="766" t="s">
        <v>1143</v>
      </c>
      <c r="AU352" s="766" t="s">
        <v>795</v>
      </c>
      <c r="AV352" s="756" t="s">
        <v>791</v>
      </c>
      <c r="AW352" s="756" t="s">
        <v>1145</v>
      </c>
      <c r="AX352" s="756" t="s">
        <v>788</v>
      </c>
      <c r="AY352" s="766" t="s">
        <v>1063</v>
      </c>
    </row>
    <row r="353" spans="1:65" s="767" customFormat="1" ht="11.25">
      <c r="B353" s="768"/>
      <c r="C353" s="769"/>
      <c r="D353" s="759" t="s">
        <v>1143</v>
      </c>
      <c r="E353" s="770" t="s">
        <v>1043</v>
      </c>
      <c r="F353" s="771" t="s">
        <v>791</v>
      </c>
      <c r="G353" s="769"/>
      <c r="H353" s="772">
        <v>1</v>
      </c>
      <c r="I353" s="769"/>
      <c r="J353" s="769"/>
      <c r="K353" s="769"/>
      <c r="L353" s="769"/>
      <c r="M353" s="773"/>
      <c r="N353" s="774"/>
      <c r="O353" s="775"/>
      <c r="P353" s="775"/>
      <c r="Q353" s="775"/>
      <c r="R353" s="775"/>
      <c r="S353" s="775"/>
      <c r="T353" s="775"/>
      <c r="U353" s="775"/>
      <c r="V353" s="775"/>
      <c r="W353" s="775"/>
      <c r="X353" s="776"/>
      <c r="AT353" s="777" t="s">
        <v>1143</v>
      </c>
      <c r="AU353" s="777" t="s">
        <v>795</v>
      </c>
      <c r="AV353" s="767" t="s">
        <v>795</v>
      </c>
      <c r="AW353" s="767" t="s">
        <v>1145</v>
      </c>
      <c r="AX353" s="767" t="s">
        <v>788</v>
      </c>
      <c r="AY353" s="777" t="s">
        <v>1063</v>
      </c>
    </row>
    <row r="354" spans="1:65" s="778" customFormat="1" ht="11.25">
      <c r="B354" s="779"/>
      <c r="C354" s="780"/>
      <c r="D354" s="759" t="s">
        <v>1143</v>
      </c>
      <c r="E354" s="781" t="s">
        <v>1043</v>
      </c>
      <c r="F354" s="782" t="s">
        <v>1153</v>
      </c>
      <c r="G354" s="780"/>
      <c r="H354" s="783">
        <v>1</v>
      </c>
      <c r="I354" s="780"/>
      <c r="J354" s="780"/>
      <c r="K354" s="780"/>
      <c r="L354" s="780"/>
      <c r="M354" s="784"/>
      <c r="N354" s="785"/>
      <c r="O354" s="786"/>
      <c r="P354" s="786"/>
      <c r="Q354" s="786"/>
      <c r="R354" s="786"/>
      <c r="S354" s="786"/>
      <c r="T354" s="786"/>
      <c r="U354" s="786"/>
      <c r="V354" s="786"/>
      <c r="W354" s="786"/>
      <c r="X354" s="787"/>
      <c r="AT354" s="788" t="s">
        <v>1143</v>
      </c>
      <c r="AU354" s="788" t="s">
        <v>795</v>
      </c>
      <c r="AV354" s="778" t="s">
        <v>1065</v>
      </c>
      <c r="AW354" s="778" t="s">
        <v>1145</v>
      </c>
      <c r="AX354" s="778" t="s">
        <v>791</v>
      </c>
      <c r="AY354" s="788" t="s">
        <v>1063</v>
      </c>
    </row>
    <row r="355" spans="1:65" s="634" customFormat="1" ht="33" customHeight="1">
      <c r="A355" s="705"/>
      <c r="B355" s="706"/>
      <c r="C355" s="789" t="s">
        <v>1481</v>
      </c>
      <c r="D355" s="789" t="s">
        <v>83</v>
      </c>
      <c r="E355" s="790" t="s">
        <v>1482</v>
      </c>
      <c r="F355" s="791" t="s">
        <v>1483</v>
      </c>
      <c r="G355" s="792" t="s">
        <v>19</v>
      </c>
      <c r="H355" s="793">
        <v>1</v>
      </c>
      <c r="I355" s="794"/>
      <c r="J355" s="795"/>
      <c r="K355" s="794">
        <f>ROUND(P355*H355,2)</f>
        <v>0</v>
      </c>
      <c r="L355" s="795"/>
      <c r="M355" s="701"/>
      <c r="N355" s="796" t="s">
        <v>1043</v>
      </c>
      <c r="O355" s="752" t="s">
        <v>1129</v>
      </c>
      <c r="P355" s="753">
        <f>I355+J355</f>
        <v>0</v>
      </c>
      <c r="Q355" s="753">
        <f>ROUND(I355*H355,2)</f>
        <v>0</v>
      </c>
      <c r="R355" s="753">
        <f>ROUND(J355*H355,2)</f>
        <v>0</v>
      </c>
      <c r="S355" s="754">
        <v>0</v>
      </c>
      <c r="T355" s="754">
        <f>S355*H355</f>
        <v>0</v>
      </c>
      <c r="U355" s="754">
        <v>8.4999999999999995E-4</v>
      </c>
      <c r="V355" s="754">
        <f>U355*H355</f>
        <v>8.4999999999999995E-4</v>
      </c>
      <c r="W355" s="754">
        <v>0</v>
      </c>
      <c r="X355" s="755">
        <f>W355*H355</f>
        <v>0</v>
      </c>
      <c r="Y355" s="705"/>
      <c r="Z355" s="705"/>
      <c r="AA355" s="705"/>
      <c r="AB355" s="705"/>
      <c r="AC355" s="705"/>
      <c r="AD355" s="705"/>
      <c r="AE355" s="705"/>
      <c r="AR355" s="686" t="s">
        <v>1190</v>
      </c>
      <c r="AT355" s="686" t="s">
        <v>83</v>
      </c>
      <c r="AU355" s="686" t="s">
        <v>795</v>
      </c>
      <c r="AY355" s="629" t="s">
        <v>1063</v>
      </c>
      <c r="BE355" s="687">
        <f>IF(O355="základná",K355,0)</f>
        <v>0</v>
      </c>
      <c r="BF355" s="687">
        <f>IF(O355="znížená",K355,0)</f>
        <v>0</v>
      </c>
      <c r="BG355" s="687">
        <f>IF(O355="zákl. prenesená",K355,0)</f>
        <v>0</v>
      </c>
      <c r="BH355" s="687">
        <f>IF(O355="zníž. prenesená",K355,0)</f>
        <v>0</v>
      </c>
      <c r="BI355" s="687">
        <f>IF(O355="nulová",K355,0)</f>
        <v>0</v>
      </c>
      <c r="BJ355" s="629" t="s">
        <v>795</v>
      </c>
      <c r="BK355" s="687">
        <f>ROUND(P355*H355,2)</f>
        <v>0</v>
      </c>
      <c r="BL355" s="629" t="s">
        <v>1185</v>
      </c>
      <c r="BM355" s="686" t="s">
        <v>1484</v>
      </c>
    </row>
    <row r="356" spans="1:65" s="756" customFormat="1" ht="11.25">
      <c r="B356" s="757"/>
      <c r="C356" s="758"/>
      <c r="D356" s="759" t="s">
        <v>1143</v>
      </c>
      <c r="E356" s="760" t="s">
        <v>1043</v>
      </c>
      <c r="F356" s="761" t="s">
        <v>1461</v>
      </c>
      <c r="G356" s="758"/>
      <c r="H356" s="760" t="s">
        <v>1043</v>
      </c>
      <c r="I356" s="758"/>
      <c r="J356" s="758"/>
      <c r="K356" s="758"/>
      <c r="L356" s="758"/>
      <c r="M356" s="762"/>
      <c r="N356" s="763"/>
      <c r="O356" s="764"/>
      <c r="P356" s="764"/>
      <c r="Q356" s="764"/>
      <c r="R356" s="764"/>
      <c r="S356" s="764"/>
      <c r="T356" s="764"/>
      <c r="U356" s="764"/>
      <c r="V356" s="764"/>
      <c r="W356" s="764"/>
      <c r="X356" s="765"/>
      <c r="AT356" s="766" t="s">
        <v>1143</v>
      </c>
      <c r="AU356" s="766" t="s">
        <v>795</v>
      </c>
      <c r="AV356" s="756" t="s">
        <v>791</v>
      </c>
      <c r="AW356" s="756" t="s">
        <v>1145</v>
      </c>
      <c r="AX356" s="756" t="s">
        <v>788</v>
      </c>
      <c r="AY356" s="766" t="s">
        <v>1063</v>
      </c>
    </row>
    <row r="357" spans="1:65" s="767" customFormat="1" ht="11.25">
      <c r="B357" s="768"/>
      <c r="C357" s="769"/>
      <c r="D357" s="759" t="s">
        <v>1143</v>
      </c>
      <c r="E357" s="770" t="s">
        <v>1043</v>
      </c>
      <c r="F357" s="771" t="s">
        <v>791</v>
      </c>
      <c r="G357" s="769"/>
      <c r="H357" s="772">
        <v>1</v>
      </c>
      <c r="I357" s="769"/>
      <c r="J357" s="769"/>
      <c r="K357" s="769"/>
      <c r="L357" s="769"/>
      <c r="M357" s="773"/>
      <c r="N357" s="774"/>
      <c r="O357" s="775"/>
      <c r="P357" s="775"/>
      <c r="Q357" s="775"/>
      <c r="R357" s="775"/>
      <c r="S357" s="775"/>
      <c r="T357" s="775"/>
      <c r="U357" s="775"/>
      <c r="V357" s="775"/>
      <c r="W357" s="775"/>
      <c r="X357" s="776"/>
      <c r="AT357" s="777" t="s">
        <v>1143</v>
      </c>
      <c r="AU357" s="777" t="s">
        <v>795</v>
      </c>
      <c r="AV357" s="767" t="s">
        <v>795</v>
      </c>
      <c r="AW357" s="767" t="s">
        <v>1145</v>
      </c>
      <c r="AX357" s="767" t="s">
        <v>788</v>
      </c>
      <c r="AY357" s="777" t="s">
        <v>1063</v>
      </c>
    </row>
    <row r="358" spans="1:65" s="778" customFormat="1" ht="11.25">
      <c r="B358" s="779"/>
      <c r="C358" s="780"/>
      <c r="D358" s="759" t="s">
        <v>1143</v>
      </c>
      <c r="E358" s="781" t="s">
        <v>1043</v>
      </c>
      <c r="F358" s="782" t="s">
        <v>1153</v>
      </c>
      <c r="G358" s="780"/>
      <c r="H358" s="783">
        <v>1</v>
      </c>
      <c r="I358" s="780"/>
      <c r="J358" s="780"/>
      <c r="K358" s="780"/>
      <c r="L358" s="780"/>
      <c r="M358" s="784"/>
      <c r="N358" s="785"/>
      <c r="O358" s="786"/>
      <c r="P358" s="786"/>
      <c r="Q358" s="786"/>
      <c r="R358" s="786"/>
      <c r="S358" s="786"/>
      <c r="T358" s="786"/>
      <c r="U358" s="786"/>
      <c r="V358" s="786"/>
      <c r="W358" s="786"/>
      <c r="X358" s="787"/>
      <c r="AT358" s="788" t="s">
        <v>1143</v>
      </c>
      <c r="AU358" s="788" t="s">
        <v>795</v>
      </c>
      <c r="AV358" s="778" t="s">
        <v>1065</v>
      </c>
      <c r="AW358" s="778" t="s">
        <v>1145</v>
      </c>
      <c r="AX358" s="778" t="s">
        <v>791</v>
      </c>
      <c r="AY358" s="788" t="s">
        <v>1063</v>
      </c>
    </row>
    <row r="359" spans="1:65" s="634" customFormat="1" ht="21.75" customHeight="1">
      <c r="A359" s="705"/>
      <c r="B359" s="706"/>
      <c r="C359" s="744" t="s">
        <v>1485</v>
      </c>
      <c r="D359" s="744" t="s">
        <v>29</v>
      </c>
      <c r="E359" s="745" t="s">
        <v>1486</v>
      </c>
      <c r="F359" s="746" t="s">
        <v>1487</v>
      </c>
      <c r="G359" s="747" t="s">
        <v>14</v>
      </c>
      <c r="H359" s="748">
        <v>38</v>
      </c>
      <c r="I359" s="749"/>
      <c r="J359" s="749"/>
      <c r="K359" s="749">
        <f>ROUND(P359*H359,2)</f>
        <v>0</v>
      </c>
      <c r="L359" s="750"/>
      <c r="M359" s="631"/>
      <c r="N359" s="751" t="s">
        <v>1043</v>
      </c>
      <c r="O359" s="752" t="s">
        <v>1129</v>
      </c>
      <c r="P359" s="753">
        <f>I359+J359</f>
        <v>0</v>
      </c>
      <c r="Q359" s="753">
        <f>ROUND(I359*H359,2)</f>
        <v>0</v>
      </c>
      <c r="R359" s="753">
        <f>ROUND(J359*H359,2)</f>
        <v>0</v>
      </c>
      <c r="S359" s="754">
        <v>6.4000000000000001E-2</v>
      </c>
      <c r="T359" s="754">
        <f>S359*H359</f>
        <v>2.4319999999999999</v>
      </c>
      <c r="U359" s="754">
        <v>1.8000000000000001E-4</v>
      </c>
      <c r="V359" s="754">
        <f>U359*H359</f>
        <v>6.8400000000000006E-3</v>
      </c>
      <c r="W359" s="754">
        <v>0</v>
      </c>
      <c r="X359" s="755">
        <f>W359*H359</f>
        <v>0</v>
      </c>
      <c r="Y359" s="705"/>
      <c r="Z359" s="705"/>
      <c r="AA359" s="705"/>
      <c r="AB359" s="705"/>
      <c r="AC359" s="705"/>
      <c r="AD359" s="705"/>
      <c r="AE359" s="705"/>
      <c r="AR359" s="686" t="s">
        <v>1185</v>
      </c>
      <c r="AT359" s="686" t="s">
        <v>29</v>
      </c>
      <c r="AU359" s="686" t="s">
        <v>795</v>
      </c>
      <c r="AY359" s="629" t="s">
        <v>1063</v>
      </c>
      <c r="BE359" s="687">
        <f>IF(O359="základná",K359,0)</f>
        <v>0</v>
      </c>
      <c r="BF359" s="687">
        <f>IF(O359="znížená",K359,0)</f>
        <v>0</v>
      </c>
      <c r="BG359" s="687">
        <f>IF(O359="zákl. prenesená",K359,0)</f>
        <v>0</v>
      </c>
      <c r="BH359" s="687">
        <f>IF(O359="zníž. prenesená",K359,0)</f>
        <v>0</v>
      </c>
      <c r="BI359" s="687">
        <f>IF(O359="nulová",K359,0)</f>
        <v>0</v>
      </c>
      <c r="BJ359" s="629" t="s">
        <v>795</v>
      </c>
      <c r="BK359" s="687">
        <f>ROUND(P359*H359,2)</f>
        <v>0</v>
      </c>
      <c r="BL359" s="629" t="s">
        <v>1185</v>
      </c>
      <c r="BM359" s="686" t="s">
        <v>1488</v>
      </c>
    </row>
    <row r="360" spans="1:65" s="767" customFormat="1" ht="11.25">
      <c r="B360" s="768"/>
      <c r="C360" s="769"/>
      <c r="D360" s="759" t="s">
        <v>1143</v>
      </c>
      <c r="E360" s="770" t="s">
        <v>1043</v>
      </c>
      <c r="F360" s="771" t="s">
        <v>1187</v>
      </c>
      <c r="G360" s="769"/>
      <c r="H360" s="772">
        <v>38</v>
      </c>
      <c r="I360" s="769"/>
      <c r="J360" s="769"/>
      <c r="K360" s="769"/>
      <c r="L360" s="769"/>
      <c r="M360" s="773"/>
      <c r="N360" s="774"/>
      <c r="O360" s="775"/>
      <c r="P360" s="775"/>
      <c r="Q360" s="775"/>
      <c r="R360" s="775"/>
      <c r="S360" s="775"/>
      <c r="T360" s="775"/>
      <c r="U360" s="775"/>
      <c r="V360" s="775"/>
      <c r="W360" s="775"/>
      <c r="X360" s="776"/>
      <c r="AT360" s="777" t="s">
        <v>1143</v>
      </c>
      <c r="AU360" s="777" t="s">
        <v>795</v>
      </c>
      <c r="AV360" s="767" t="s">
        <v>795</v>
      </c>
      <c r="AW360" s="767" t="s">
        <v>1145</v>
      </c>
      <c r="AX360" s="767" t="s">
        <v>788</v>
      </c>
      <c r="AY360" s="777" t="s">
        <v>1063</v>
      </c>
    </row>
    <row r="361" spans="1:65" s="778" customFormat="1" ht="11.25">
      <c r="B361" s="779"/>
      <c r="C361" s="780"/>
      <c r="D361" s="759" t="s">
        <v>1143</v>
      </c>
      <c r="E361" s="781" t="s">
        <v>1043</v>
      </c>
      <c r="F361" s="782" t="s">
        <v>1153</v>
      </c>
      <c r="G361" s="780"/>
      <c r="H361" s="783">
        <v>38</v>
      </c>
      <c r="I361" s="780"/>
      <c r="J361" s="780"/>
      <c r="K361" s="780"/>
      <c r="L361" s="780"/>
      <c r="M361" s="784"/>
      <c r="N361" s="785"/>
      <c r="O361" s="786"/>
      <c r="P361" s="786"/>
      <c r="Q361" s="786"/>
      <c r="R361" s="786"/>
      <c r="S361" s="786"/>
      <c r="T361" s="786"/>
      <c r="U361" s="786"/>
      <c r="V361" s="786"/>
      <c r="W361" s="786"/>
      <c r="X361" s="787"/>
      <c r="AT361" s="788" t="s">
        <v>1143</v>
      </c>
      <c r="AU361" s="788" t="s">
        <v>795</v>
      </c>
      <c r="AV361" s="778" t="s">
        <v>1065</v>
      </c>
      <c r="AW361" s="778" t="s">
        <v>1145</v>
      </c>
      <c r="AX361" s="778" t="s">
        <v>791</v>
      </c>
      <c r="AY361" s="788" t="s">
        <v>1063</v>
      </c>
    </row>
    <row r="362" spans="1:65" s="634" customFormat="1" ht="21.75" customHeight="1">
      <c r="A362" s="705"/>
      <c r="B362" s="706"/>
      <c r="C362" s="744" t="s">
        <v>1489</v>
      </c>
      <c r="D362" s="744" t="s">
        <v>29</v>
      </c>
      <c r="E362" s="745" t="s">
        <v>1490</v>
      </c>
      <c r="F362" s="746" t="s">
        <v>1491</v>
      </c>
      <c r="G362" s="747" t="s">
        <v>14</v>
      </c>
      <c r="H362" s="748">
        <v>38</v>
      </c>
      <c r="I362" s="749"/>
      <c r="J362" s="749"/>
      <c r="K362" s="749">
        <f>ROUND(P362*H362,2)</f>
        <v>0</v>
      </c>
      <c r="L362" s="750"/>
      <c r="M362" s="631"/>
      <c r="N362" s="751" t="s">
        <v>1043</v>
      </c>
      <c r="O362" s="752" t="s">
        <v>1129</v>
      </c>
      <c r="P362" s="753">
        <f>I362+J362</f>
        <v>0</v>
      </c>
      <c r="Q362" s="753">
        <f>ROUND(I362*H362,2)</f>
        <v>0</v>
      </c>
      <c r="R362" s="753">
        <f>ROUND(J362*H362,2)</f>
        <v>0</v>
      </c>
      <c r="S362" s="754">
        <v>5.8000000000000003E-2</v>
      </c>
      <c r="T362" s="754">
        <f>S362*H362</f>
        <v>2.2040000000000002</v>
      </c>
      <c r="U362" s="754">
        <v>1.0000000000000001E-5</v>
      </c>
      <c r="V362" s="754">
        <f>U362*H362</f>
        <v>3.8000000000000002E-4</v>
      </c>
      <c r="W362" s="754">
        <v>0</v>
      </c>
      <c r="X362" s="755">
        <f>W362*H362</f>
        <v>0</v>
      </c>
      <c r="Y362" s="705"/>
      <c r="Z362" s="705"/>
      <c r="AA362" s="705"/>
      <c r="AB362" s="705"/>
      <c r="AC362" s="705"/>
      <c r="AD362" s="705"/>
      <c r="AE362" s="705"/>
      <c r="AR362" s="686" t="s">
        <v>1185</v>
      </c>
      <c r="AT362" s="686" t="s">
        <v>29</v>
      </c>
      <c r="AU362" s="686" t="s">
        <v>795</v>
      </c>
      <c r="AY362" s="629" t="s">
        <v>1063</v>
      </c>
      <c r="BE362" s="687">
        <f>IF(O362="základná",K362,0)</f>
        <v>0</v>
      </c>
      <c r="BF362" s="687">
        <f>IF(O362="znížená",K362,0)</f>
        <v>0</v>
      </c>
      <c r="BG362" s="687">
        <f>IF(O362="zákl. prenesená",K362,0)</f>
        <v>0</v>
      </c>
      <c r="BH362" s="687">
        <f>IF(O362="zníž. prenesená",K362,0)</f>
        <v>0</v>
      </c>
      <c r="BI362" s="687">
        <f>IF(O362="nulová",K362,0)</f>
        <v>0</v>
      </c>
      <c r="BJ362" s="629" t="s">
        <v>795</v>
      </c>
      <c r="BK362" s="687">
        <f>ROUND(P362*H362,2)</f>
        <v>0</v>
      </c>
      <c r="BL362" s="629" t="s">
        <v>1185</v>
      </c>
      <c r="BM362" s="686" t="s">
        <v>1492</v>
      </c>
    </row>
    <row r="363" spans="1:65" s="767" customFormat="1" ht="11.25">
      <c r="B363" s="768"/>
      <c r="C363" s="769"/>
      <c r="D363" s="759" t="s">
        <v>1143</v>
      </c>
      <c r="E363" s="770" t="s">
        <v>1043</v>
      </c>
      <c r="F363" s="771" t="s">
        <v>1187</v>
      </c>
      <c r="G363" s="769"/>
      <c r="H363" s="772">
        <v>38</v>
      </c>
      <c r="I363" s="769"/>
      <c r="J363" s="769"/>
      <c r="K363" s="769"/>
      <c r="L363" s="769"/>
      <c r="M363" s="773"/>
      <c r="N363" s="774"/>
      <c r="O363" s="775"/>
      <c r="P363" s="775"/>
      <c r="Q363" s="775"/>
      <c r="R363" s="775"/>
      <c r="S363" s="775"/>
      <c r="T363" s="775"/>
      <c r="U363" s="775"/>
      <c r="V363" s="775"/>
      <c r="W363" s="775"/>
      <c r="X363" s="776"/>
      <c r="AT363" s="777" t="s">
        <v>1143</v>
      </c>
      <c r="AU363" s="777" t="s">
        <v>795</v>
      </c>
      <c r="AV363" s="767" t="s">
        <v>795</v>
      </c>
      <c r="AW363" s="767" t="s">
        <v>1145</v>
      </c>
      <c r="AX363" s="767" t="s">
        <v>788</v>
      </c>
      <c r="AY363" s="777" t="s">
        <v>1063</v>
      </c>
    </row>
    <row r="364" spans="1:65" s="778" customFormat="1" ht="11.25">
      <c r="B364" s="779"/>
      <c r="C364" s="780"/>
      <c r="D364" s="759" t="s">
        <v>1143</v>
      </c>
      <c r="E364" s="781" t="s">
        <v>1043</v>
      </c>
      <c r="F364" s="782" t="s">
        <v>1153</v>
      </c>
      <c r="G364" s="780"/>
      <c r="H364" s="783">
        <v>38</v>
      </c>
      <c r="I364" s="780"/>
      <c r="J364" s="780"/>
      <c r="K364" s="780"/>
      <c r="L364" s="780"/>
      <c r="M364" s="784"/>
      <c r="N364" s="785"/>
      <c r="O364" s="786"/>
      <c r="P364" s="786"/>
      <c r="Q364" s="786"/>
      <c r="R364" s="786"/>
      <c r="S364" s="786"/>
      <c r="T364" s="786"/>
      <c r="U364" s="786"/>
      <c r="V364" s="786"/>
      <c r="W364" s="786"/>
      <c r="X364" s="787"/>
      <c r="AT364" s="788" t="s">
        <v>1143</v>
      </c>
      <c r="AU364" s="788" t="s">
        <v>795</v>
      </c>
      <c r="AV364" s="778" t="s">
        <v>1065</v>
      </c>
      <c r="AW364" s="778" t="s">
        <v>1145</v>
      </c>
      <c r="AX364" s="778" t="s">
        <v>791</v>
      </c>
      <c r="AY364" s="788" t="s">
        <v>1063</v>
      </c>
    </row>
    <row r="365" spans="1:65" s="634" customFormat="1" ht="21.75" customHeight="1">
      <c r="A365" s="705"/>
      <c r="B365" s="706"/>
      <c r="C365" s="744" t="s">
        <v>1493</v>
      </c>
      <c r="D365" s="744" t="s">
        <v>29</v>
      </c>
      <c r="E365" s="745" t="s">
        <v>1494</v>
      </c>
      <c r="F365" s="746" t="s">
        <v>1495</v>
      </c>
      <c r="G365" s="747" t="s">
        <v>15</v>
      </c>
      <c r="H365" s="748">
        <v>5.5E-2</v>
      </c>
      <c r="I365" s="749"/>
      <c r="J365" s="749"/>
      <c r="K365" s="749">
        <f>ROUND(P365*H365,2)</f>
        <v>0</v>
      </c>
      <c r="L365" s="750"/>
      <c r="M365" s="631"/>
      <c r="N365" s="751" t="s">
        <v>1043</v>
      </c>
      <c r="O365" s="752" t="s">
        <v>1129</v>
      </c>
      <c r="P365" s="753">
        <f>I365+J365</f>
        <v>0</v>
      </c>
      <c r="Q365" s="753">
        <f>ROUND(I365*H365,2)</f>
        <v>0</v>
      </c>
      <c r="R365" s="753">
        <f>ROUND(J365*H365,2)</f>
        <v>0</v>
      </c>
      <c r="S365" s="754">
        <v>1.2589999999999999</v>
      </c>
      <c r="T365" s="754">
        <f>S365*H365</f>
        <v>6.9245000000000001E-2</v>
      </c>
      <c r="U365" s="754">
        <v>0</v>
      </c>
      <c r="V365" s="754">
        <f>U365*H365</f>
        <v>0</v>
      </c>
      <c r="W365" s="754">
        <v>0</v>
      </c>
      <c r="X365" s="755">
        <f>W365*H365</f>
        <v>0</v>
      </c>
      <c r="Y365" s="705"/>
      <c r="Z365" s="705"/>
      <c r="AA365" s="705"/>
      <c r="AB365" s="705"/>
      <c r="AC365" s="705"/>
      <c r="AD365" s="705"/>
      <c r="AE365" s="705"/>
      <c r="AR365" s="686" t="s">
        <v>1185</v>
      </c>
      <c r="AT365" s="686" t="s">
        <v>29</v>
      </c>
      <c r="AU365" s="686" t="s">
        <v>795</v>
      </c>
      <c r="AY365" s="629" t="s">
        <v>1063</v>
      </c>
      <c r="BE365" s="687">
        <f>IF(O365="základná",K365,0)</f>
        <v>0</v>
      </c>
      <c r="BF365" s="687">
        <f>IF(O365="znížená",K365,0)</f>
        <v>0</v>
      </c>
      <c r="BG365" s="687">
        <f>IF(O365="zákl. prenesená",K365,0)</f>
        <v>0</v>
      </c>
      <c r="BH365" s="687">
        <f>IF(O365="zníž. prenesená",K365,0)</f>
        <v>0</v>
      </c>
      <c r="BI365" s="687">
        <f>IF(O365="nulová",K365,0)</f>
        <v>0</v>
      </c>
      <c r="BJ365" s="629" t="s">
        <v>795</v>
      </c>
      <c r="BK365" s="687">
        <f>ROUND(P365*H365,2)</f>
        <v>0</v>
      </c>
      <c r="BL365" s="629" t="s">
        <v>1185</v>
      </c>
      <c r="BM365" s="686" t="s">
        <v>1496</v>
      </c>
    </row>
    <row r="366" spans="1:65" s="661" customFormat="1" ht="22.9" customHeight="1">
      <c r="B366" s="732"/>
      <c r="C366" s="733"/>
      <c r="D366" s="734" t="s">
        <v>491</v>
      </c>
      <c r="E366" s="742" t="s">
        <v>1497</v>
      </c>
      <c r="F366" s="742" t="s">
        <v>1498</v>
      </c>
      <c r="G366" s="733"/>
      <c r="H366" s="733"/>
      <c r="I366" s="733"/>
      <c r="J366" s="733"/>
      <c r="K366" s="743">
        <f>BK366</f>
        <v>0</v>
      </c>
      <c r="L366" s="733"/>
      <c r="M366" s="662"/>
      <c r="N366" s="737"/>
      <c r="O366" s="738"/>
      <c r="P366" s="738"/>
      <c r="Q366" s="739">
        <f>SUM(Q367:Q556)</f>
        <v>0</v>
      </c>
      <c r="R366" s="739">
        <f>SUM(R367:R556)</f>
        <v>0</v>
      </c>
      <c r="S366" s="738"/>
      <c r="T366" s="740">
        <f>SUM(T367:T556)</f>
        <v>48.277701000000015</v>
      </c>
      <c r="U366" s="738"/>
      <c r="V366" s="740">
        <f>SUM(V367:V556)</f>
        <v>0.34908000000000011</v>
      </c>
      <c r="W366" s="738"/>
      <c r="X366" s="741">
        <f>SUM(X367:X556)</f>
        <v>0</v>
      </c>
      <c r="AR366" s="663" t="s">
        <v>795</v>
      </c>
      <c r="AT366" s="670" t="s">
        <v>491</v>
      </c>
      <c r="AU366" s="670" t="s">
        <v>791</v>
      </c>
      <c r="AY366" s="663" t="s">
        <v>1063</v>
      </c>
      <c r="BK366" s="671">
        <f>SUM(BK367:BK556)</f>
        <v>0</v>
      </c>
    </row>
    <row r="367" spans="1:65" s="634" customFormat="1" ht="21.75" customHeight="1">
      <c r="A367" s="705"/>
      <c r="B367" s="706"/>
      <c r="C367" s="744" t="s">
        <v>1499</v>
      </c>
      <c r="D367" s="744" t="s">
        <v>29</v>
      </c>
      <c r="E367" s="745" t="s">
        <v>1500</v>
      </c>
      <c r="F367" s="746" t="s">
        <v>1501</v>
      </c>
      <c r="G367" s="747" t="s">
        <v>19</v>
      </c>
      <c r="H367" s="748">
        <v>4</v>
      </c>
      <c r="I367" s="749"/>
      <c r="J367" s="749"/>
      <c r="K367" s="749">
        <f>ROUND(P367*H367,2)</f>
        <v>0</v>
      </c>
      <c r="L367" s="750"/>
      <c r="M367" s="631"/>
      <c r="N367" s="751" t="s">
        <v>1043</v>
      </c>
      <c r="O367" s="752" t="s">
        <v>1129</v>
      </c>
      <c r="P367" s="753">
        <f>I367+J367</f>
        <v>0</v>
      </c>
      <c r="Q367" s="753">
        <f>ROUND(I367*H367,2)</f>
        <v>0</v>
      </c>
      <c r="R367" s="753">
        <f>ROUND(J367*H367,2)</f>
        <v>0</v>
      </c>
      <c r="S367" s="754">
        <v>2.41</v>
      </c>
      <c r="T367" s="754">
        <f>S367*H367</f>
        <v>9.64</v>
      </c>
      <c r="U367" s="754">
        <v>0</v>
      </c>
      <c r="V367" s="754">
        <f>U367*H367</f>
        <v>0</v>
      </c>
      <c r="W367" s="754">
        <v>0</v>
      </c>
      <c r="X367" s="755">
        <f>W367*H367</f>
        <v>0</v>
      </c>
      <c r="Y367" s="705"/>
      <c r="Z367" s="705"/>
      <c r="AA367" s="705"/>
      <c r="AB367" s="705"/>
      <c r="AC367" s="705"/>
      <c r="AD367" s="705"/>
      <c r="AE367" s="705"/>
      <c r="AR367" s="686" t="s">
        <v>1185</v>
      </c>
      <c r="AT367" s="686" t="s">
        <v>29</v>
      </c>
      <c r="AU367" s="686" t="s">
        <v>795</v>
      </c>
      <c r="AY367" s="629" t="s">
        <v>1063</v>
      </c>
      <c r="BE367" s="687">
        <f>IF(O367="základná",K367,0)</f>
        <v>0</v>
      </c>
      <c r="BF367" s="687">
        <f>IF(O367="znížená",K367,0)</f>
        <v>0</v>
      </c>
      <c r="BG367" s="687">
        <f>IF(O367="zákl. prenesená",K367,0)</f>
        <v>0</v>
      </c>
      <c r="BH367" s="687">
        <f>IF(O367="zníž. prenesená",K367,0)</f>
        <v>0</v>
      </c>
      <c r="BI367" s="687">
        <f>IF(O367="nulová",K367,0)</f>
        <v>0</v>
      </c>
      <c r="BJ367" s="629" t="s">
        <v>795</v>
      </c>
      <c r="BK367" s="687">
        <f>ROUND(P367*H367,2)</f>
        <v>0</v>
      </c>
      <c r="BL367" s="629" t="s">
        <v>1185</v>
      </c>
      <c r="BM367" s="686" t="s">
        <v>1502</v>
      </c>
    </row>
    <row r="368" spans="1:65" s="756" customFormat="1" ht="11.25">
      <c r="B368" s="757"/>
      <c r="C368" s="758"/>
      <c r="D368" s="759" t="s">
        <v>1143</v>
      </c>
      <c r="E368" s="760" t="s">
        <v>1043</v>
      </c>
      <c r="F368" s="761" t="s">
        <v>1503</v>
      </c>
      <c r="G368" s="758"/>
      <c r="H368" s="760" t="s">
        <v>1043</v>
      </c>
      <c r="I368" s="758"/>
      <c r="J368" s="758"/>
      <c r="K368" s="758"/>
      <c r="L368" s="758"/>
      <c r="M368" s="762"/>
      <c r="N368" s="763"/>
      <c r="O368" s="764"/>
      <c r="P368" s="764"/>
      <c r="Q368" s="764"/>
      <c r="R368" s="764"/>
      <c r="S368" s="764"/>
      <c r="T368" s="764"/>
      <c r="U368" s="764"/>
      <c r="V368" s="764"/>
      <c r="W368" s="764"/>
      <c r="X368" s="765"/>
      <c r="AT368" s="766" t="s">
        <v>1143</v>
      </c>
      <c r="AU368" s="766" t="s">
        <v>795</v>
      </c>
      <c r="AV368" s="756" t="s">
        <v>791</v>
      </c>
      <c r="AW368" s="756" t="s">
        <v>1145</v>
      </c>
      <c r="AX368" s="756" t="s">
        <v>788</v>
      </c>
      <c r="AY368" s="766" t="s">
        <v>1063</v>
      </c>
    </row>
    <row r="369" spans="1:65" s="767" customFormat="1" ht="11.25">
      <c r="B369" s="768"/>
      <c r="C369" s="769"/>
      <c r="D369" s="759" t="s">
        <v>1143</v>
      </c>
      <c r="E369" s="770" t="s">
        <v>1043</v>
      </c>
      <c r="F369" s="771" t="s">
        <v>1504</v>
      </c>
      <c r="G369" s="769"/>
      <c r="H369" s="772">
        <v>4</v>
      </c>
      <c r="I369" s="769"/>
      <c r="J369" s="769"/>
      <c r="K369" s="769"/>
      <c r="L369" s="769"/>
      <c r="M369" s="773"/>
      <c r="N369" s="774"/>
      <c r="O369" s="775"/>
      <c r="P369" s="775"/>
      <c r="Q369" s="775"/>
      <c r="R369" s="775"/>
      <c r="S369" s="775"/>
      <c r="T369" s="775"/>
      <c r="U369" s="775"/>
      <c r="V369" s="775"/>
      <c r="W369" s="775"/>
      <c r="X369" s="776"/>
      <c r="AT369" s="777" t="s">
        <v>1143</v>
      </c>
      <c r="AU369" s="777" t="s">
        <v>795</v>
      </c>
      <c r="AV369" s="767" t="s">
        <v>795</v>
      </c>
      <c r="AW369" s="767" t="s">
        <v>1145</v>
      </c>
      <c r="AX369" s="767" t="s">
        <v>788</v>
      </c>
      <c r="AY369" s="777" t="s">
        <v>1063</v>
      </c>
    </row>
    <row r="370" spans="1:65" s="778" customFormat="1" ht="11.25">
      <c r="B370" s="779"/>
      <c r="C370" s="780"/>
      <c r="D370" s="759" t="s">
        <v>1143</v>
      </c>
      <c r="E370" s="781" t="s">
        <v>1043</v>
      </c>
      <c r="F370" s="782" t="s">
        <v>1153</v>
      </c>
      <c r="G370" s="780"/>
      <c r="H370" s="783">
        <v>4</v>
      </c>
      <c r="I370" s="780"/>
      <c r="J370" s="780"/>
      <c r="K370" s="780"/>
      <c r="L370" s="780"/>
      <c r="M370" s="784"/>
      <c r="N370" s="785"/>
      <c r="O370" s="786"/>
      <c r="P370" s="786"/>
      <c r="Q370" s="786"/>
      <c r="R370" s="786"/>
      <c r="S370" s="786"/>
      <c r="T370" s="786"/>
      <c r="U370" s="786"/>
      <c r="V370" s="786"/>
      <c r="W370" s="786"/>
      <c r="X370" s="787"/>
      <c r="AT370" s="788" t="s">
        <v>1143</v>
      </c>
      <c r="AU370" s="788" t="s">
        <v>795</v>
      </c>
      <c r="AV370" s="778" t="s">
        <v>1065</v>
      </c>
      <c r="AW370" s="778" t="s">
        <v>1145</v>
      </c>
      <c r="AX370" s="778" t="s">
        <v>791</v>
      </c>
      <c r="AY370" s="788" t="s">
        <v>1063</v>
      </c>
    </row>
    <row r="371" spans="1:65" s="634" customFormat="1" ht="33" customHeight="1">
      <c r="A371" s="705"/>
      <c r="B371" s="706"/>
      <c r="C371" s="789" t="s">
        <v>1505</v>
      </c>
      <c r="D371" s="789" t="s">
        <v>83</v>
      </c>
      <c r="E371" s="790" t="s">
        <v>1506</v>
      </c>
      <c r="F371" s="791" t="s">
        <v>1507</v>
      </c>
      <c r="G371" s="792" t="s">
        <v>19</v>
      </c>
      <c r="H371" s="793">
        <v>4</v>
      </c>
      <c r="I371" s="794"/>
      <c r="J371" s="795"/>
      <c r="K371" s="794">
        <f>ROUND(P371*H371,2)</f>
        <v>0</v>
      </c>
      <c r="L371" s="795"/>
      <c r="M371" s="701"/>
      <c r="N371" s="796" t="s">
        <v>1043</v>
      </c>
      <c r="O371" s="752" t="s">
        <v>1129</v>
      </c>
      <c r="P371" s="753">
        <f>I371+J371</f>
        <v>0</v>
      </c>
      <c r="Q371" s="753">
        <f>ROUND(I371*H371,2)</f>
        <v>0</v>
      </c>
      <c r="R371" s="753">
        <f>ROUND(J371*H371,2)</f>
        <v>0</v>
      </c>
      <c r="S371" s="754">
        <v>0</v>
      </c>
      <c r="T371" s="754">
        <f>S371*H371</f>
        <v>0</v>
      </c>
      <c r="U371" s="754">
        <v>1.6049999999999998E-2</v>
      </c>
      <c r="V371" s="754">
        <f>U371*H371</f>
        <v>6.4199999999999993E-2</v>
      </c>
      <c r="W371" s="754">
        <v>0</v>
      </c>
      <c r="X371" s="755">
        <f>W371*H371</f>
        <v>0</v>
      </c>
      <c r="Y371" s="705"/>
      <c r="Z371" s="705"/>
      <c r="AA371" s="705"/>
      <c r="AB371" s="705"/>
      <c r="AC371" s="705"/>
      <c r="AD371" s="705"/>
      <c r="AE371" s="705"/>
      <c r="AR371" s="686" t="s">
        <v>1190</v>
      </c>
      <c r="AT371" s="686" t="s">
        <v>83</v>
      </c>
      <c r="AU371" s="686" t="s">
        <v>795</v>
      </c>
      <c r="AY371" s="629" t="s">
        <v>1063</v>
      </c>
      <c r="BE371" s="687">
        <f>IF(O371="základná",K371,0)</f>
        <v>0</v>
      </c>
      <c r="BF371" s="687">
        <f>IF(O371="znížená",K371,0)</f>
        <v>0</v>
      </c>
      <c r="BG371" s="687">
        <f>IF(O371="zákl. prenesená",K371,0)</f>
        <v>0</v>
      </c>
      <c r="BH371" s="687">
        <f>IF(O371="zníž. prenesená",K371,0)</f>
        <v>0</v>
      </c>
      <c r="BI371" s="687">
        <f>IF(O371="nulová",K371,0)</f>
        <v>0</v>
      </c>
      <c r="BJ371" s="629" t="s">
        <v>795</v>
      </c>
      <c r="BK371" s="687">
        <f>ROUND(P371*H371,2)</f>
        <v>0</v>
      </c>
      <c r="BL371" s="629" t="s">
        <v>1185</v>
      </c>
      <c r="BM371" s="686" t="s">
        <v>1508</v>
      </c>
    </row>
    <row r="372" spans="1:65" s="756" customFormat="1" ht="11.25">
      <c r="B372" s="757"/>
      <c r="C372" s="758"/>
      <c r="D372" s="759" t="s">
        <v>1143</v>
      </c>
      <c r="E372" s="760" t="s">
        <v>1043</v>
      </c>
      <c r="F372" s="761" t="s">
        <v>1503</v>
      </c>
      <c r="G372" s="758"/>
      <c r="H372" s="760" t="s">
        <v>1043</v>
      </c>
      <c r="I372" s="758"/>
      <c r="J372" s="758"/>
      <c r="K372" s="758"/>
      <c r="L372" s="758"/>
      <c r="M372" s="762"/>
      <c r="N372" s="763"/>
      <c r="O372" s="764"/>
      <c r="P372" s="764"/>
      <c r="Q372" s="764"/>
      <c r="R372" s="764"/>
      <c r="S372" s="764"/>
      <c r="T372" s="764"/>
      <c r="U372" s="764"/>
      <c r="V372" s="764"/>
      <c r="W372" s="764"/>
      <c r="X372" s="765"/>
      <c r="AT372" s="766" t="s">
        <v>1143</v>
      </c>
      <c r="AU372" s="766" t="s">
        <v>795</v>
      </c>
      <c r="AV372" s="756" t="s">
        <v>791</v>
      </c>
      <c r="AW372" s="756" t="s">
        <v>1145</v>
      </c>
      <c r="AX372" s="756" t="s">
        <v>788</v>
      </c>
      <c r="AY372" s="766" t="s">
        <v>1063</v>
      </c>
    </row>
    <row r="373" spans="1:65" s="767" customFormat="1" ht="11.25">
      <c r="B373" s="768"/>
      <c r="C373" s="769"/>
      <c r="D373" s="759" t="s">
        <v>1143</v>
      </c>
      <c r="E373" s="770" t="s">
        <v>1043</v>
      </c>
      <c r="F373" s="771" t="s">
        <v>1504</v>
      </c>
      <c r="G373" s="769"/>
      <c r="H373" s="772">
        <v>4</v>
      </c>
      <c r="I373" s="769"/>
      <c r="J373" s="769"/>
      <c r="K373" s="769"/>
      <c r="L373" s="769"/>
      <c r="M373" s="773"/>
      <c r="N373" s="774"/>
      <c r="O373" s="775"/>
      <c r="P373" s="775"/>
      <c r="Q373" s="775"/>
      <c r="R373" s="775"/>
      <c r="S373" s="775"/>
      <c r="T373" s="775"/>
      <c r="U373" s="775"/>
      <c r="V373" s="775"/>
      <c r="W373" s="775"/>
      <c r="X373" s="776"/>
      <c r="AT373" s="777" t="s">
        <v>1143</v>
      </c>
      <c r="AU373" s="777" t="s">
        <v>795</v>
      </c>
      <c r="AV373" s="767" t="s">
        <v>795</v>
      </c>
      <c r="AW373" s="767" t="s">
        <v>1145</v>
      </c>
      <c r="AX373" s="767" t="s">
        <v>788</v>
      </c>
      <c r="AY373" s="777" t="s">
        <v>1063</v>
      </c>
    </row>
    <row r="374" spans="1:65" s="778" customFormat="1" ht="11.25">
      <c r="B374" s="779"/>
      <c r="C374" s="780"/>
      <c r="D374" s="759" t="s">
        <v>1143</v>
      </c>
      <c r="E374" s="781" t="s">
        <v>1043</v>
      </c>
      <c r="F374" s="782" t="s">
        <v>1153</v>
      </c>
      <c r="G374" s="780"/>
      <c r="H374" s="783">
        <v>4</v>
      </c>
      <c r="I374" s="780"/>
      <c r="J374" s="780"/>
      <c r="K374" s="780"/>
      <c r="L374" s="780"/>
      <c r="M374" s="784"/>
      <c r="N374" s="785"/>
      <c r="O374" s="786"/>
      <c r="P374" s="786"/>
      <c r="Q374" s="786"/>
      <c r="R374" s="786"/>
      <c r="S374" s="786"/>
      <c r="T374" s="786"/>
      <c r="U374" s="786"/>
      <c r="V374" s="786"/>
      <c r="W374" s="786"/>
      <c r="X374" s="787"/>
      <c r="AT374" s="788" t="s">
        <v>1143</v>
      </c>
      <c r="AU374" s="788" t="s">
        <v>795</v>
      </c>
      <c r="AV374" s="778" t="s">
        <v>1065</v>
      </c>
      <c r="AW374" s="778" t="s">
        <v>1145</v>
      </c>
      <c r="AX374" s="778" t="s">
        <v>791</v>
      </c>
      <c r="AY374" s="788" t="s">
        <v>1063</v>
      </c>
    </row>
    <row r="375" spans="1:65" s="634" customFormat="1" ht="16.5" customHeight="1">
      <c r="A375" s="705"/>
      <c r="B375" s="706"/>
      <c r="C375" s="744" t="s">
        <v>1509</v>
      </c>
      <c r="D375" s="744" t="s">
        <v>29</v>
      </c>
      <c r="E375" s="745" t="s">
        <v>1510</v>
      </c>
      <c r="F375" s="746" t="s">
        <v>1511</v>
      </c>
      <c r="G375" s="747" t="s">
        <v>19</v>
      </c>
      <c r="H375" s="748">
        <v>4</v>
      </c>
      <c r="I375" s="749"/>
      <c r="J375" s="749"/>
      <c r="K375" s="749">
        <f>ROUND(P375*H375,2)</f>
        <v>0</v>
      </c>
      <c r="L375" s="750"/>
      <c r="M375" s="631"/>
      <c r="N375" s="751" t="s">
        <v>1043</v>
      </c>
      <c r="O375" s="752" t="s">
        <v>1129</v>
      </c>
      <c r="P375" s="753">
        <f>I375+J375</f>
        <v>0</v>
      </c>
      <c r="Q375" s="753">
        <f>ROUND(I375*H375,2)</f>
        <v>0</v>
      </c>
      <c r="R375" s="753">
        <f>ROUND(J375*H375,2)</f>
        <v>0</v>
      </c>
      <c r="S375" s="754">
        <v>0.32700000000000001</v>
      </c>
      <c r="T375" s="754">
        <f>S375*H375</f>
        <v>1.3080000000000001</v>
      </c>
      <c r="U375" s="754">
        <v>0</v>
      </c>
      <c r="V375" s="754">
        <f>U375*H375</f>
        <v>0</v>
      </c>
      <c r="W375" s="754">
        <v>0</v>
      </c>
      <c r="X375" s="755">
        <f>W375*H375</f>
        <v>0</v>
      </c>
      <c r="Y375" s="705"/>
      <c r="Z375" s="705"/>
      <c r="AA375" s="705"/>
      <c r="AB375" s="705"/>
      <c r="AC375" s="705"/>
      <c r="AD375" s="705"/>
      <c r="AE375" s="705"/>
      <c r="AR375" s="686" t="s">
        <v>1185</v>
      </c>
      <c r="AT375" s="686" t="s">
        <v>29</v>
      </c>
      <c r="AU375" s="686" t="s">
        <v>795</v>
      </c>
      <c r="AY375" s="629" t="s">
        <v>1063</v>
      </c>
      <c r="BE375" s="687">
        <f>IF(O375="základná",K375,0)</f>
        <v>0</v>
      </c>
      <c r="BF375" s="687">
        <f>IF(O375="znížená",K375,0)</f>
        <v>0</v>
      </c>
      <c r="BG375" s="687">
        <f>IF(O375="zákl. prenesená",K375,0)</f>
        <v>0</v>
      </c>
      <c r="BH375" s="687">
        <f>IF(O375="zníž. prenesená",K375,0)</f>
        <v>0</v>
      </c>
      <c r="BI375" s="687">
        <f>IF(O375="nulová",K375,0)</f>
        <v>0</v>
      </c>
      <c r="BJ375" s="629" t="s">
        <v>795</v>
      </c>
      <c r="BK375" s="687">
        <f>ROUND(P375*H375,2)</f>
        <v>0</v>
      </c>
      <c r="BL375" s="629" t="s">
        <v>1185</v>
      </c>
      <c r="BM375" s="686" t="s">
        <v>1512</v>
      </c>
    </row>
    <row r="376" spans="1:65" s="756" customFormat="1" ht="11.25">
      <c r="B376" s="757"/>
      <c r="C376" s="758"/>
      <c r="D376" s="759" t="s">
        <v>1143</v>
      </c>
      <c r="E376" s="760" t="s">
        <v>1043</v>
      </c>
      <c r="F376" s="761" t="s">
        <v>1503</v>
      </c>
      <c r="G376" s="758"/>
      <c r="H376" s="760" t="s">
        <v>1043</v>
      </c>
      <c r="I376" s="758"/>
      <c r="J376" s="758"/>
      <c r="K376" s="758"/>
      <c r="L376" s="758"/>
      <c r="M376" s="762"/>
      <c r="N376" s="763"/>
      <c r="O376" s="764"/>
      <c r="P376" s="764"/>
      <c r="Q376" s="764"/>
      <c r="R376" s="764"/>
      <c r="S376" s="764"/>
      <c r="T376" s="764"/>
      <c r="U376" s="764"/>
      <c r="V376" s="764"/>
      <c r="W376" s="764"/>
      <c r="X376" s="765"/>
      <c r="AT376" s="766" t="s">
        <v>1143</v>
      </c>
      <c r="AU376" s="766" t="s">
        <v>795</v>
      </c>
      <c r="AV376" s="756" t="s">
        <v>791</v>
      </c>
      <c r="AW376" s="756" t="s">
        <v>1145</v>
      </c>
      <c r="AX376" s="756" t="s">
        <v>788</v>
      </c>
      <c r="AY376" s="766" t="s">
        <v>1063</v>
      </c>
    </row>
    <row r="377" spans="1:65" s="767" customFormat="1" ht="11.25">
      <c r="B377" s="768"/>
      <c r="C377" s="769"/>
      <c r="D377" s="759" t="s">
        <v>1143</v>
      </c>
      <c r="E377" s="770" t="s">
        <v>1043</v>
      </c>
      <c r="F377" s="771" t="s">
        <v>1504</v>
      </c>
      <c r="G377" s="769"/>
      <c r="H377" s="772">
        <v>4</v>
      </c>
      <c r="I377" s="769"/>
      <c r="J377" s="769"/>
      <c r="K377" s="769"/>
      <c r="L377" s="769"/>
      <c r="M377" s="773"/>
      <c r="N377" s="774"/>
      <c r="O377" s="775"/>
      <c r="P377" s="775"/>
      <c r="Q377" s="775"/>
      <c r="R377" s="775"/>
      <c r="S377" s="775"/>
      <c r="T377" s="775"/>
      <c r="U377" s="775"/>
      <c r="V377" s="775"/>
      <c r="W377" s="775"/>
      <c r="X377" s="776"/>
      <c r="AT377" s="777" t="s">
        <v>1143</v>
      </c>
      <c r="AU377" s="777" t="s">
        <v>795</v>
      </c>
      <c r="AV377" s="767" t="s">
        <v>795</v>
      </c>
      <c r="AW377" s="767" t="s">
        <v>1145</v>
      </c>
      <c r="AX377" s="767" t="s">
        <v>788</v>
      </c>
      <c r="AY377" s="777" t="s">
        <v>1063</v>
      </c>
    </row>
    <row r="378" spans="1:65" s="778" customFormat="1" ht="11.25">
      <c r="B378" s="779"/>
      <c r="C378" s="780"/>
      <c r="D378" s="759" t="s">
        <v>1143</v>
      </c>
      <c r="E378" s="781" t="s">
        <v>1043</v>
      </c>
      <c r="F378" s="782" t="s">
        <v>1153</v>
      </c>
      <c r="G378" s="780"/>
      <c r="H378" s="783">
        <v>4</v>
      </c>
      <c r="I378" s="780"/>
      <c r="J378" s="780"/>
      <c r="K378" s="780"/>
      <c r="L378" s="780"/>
      <c r="M378" s="784"/>
      <c r="N378" s="785"/>
      <c r="O378" s="786"/>
      <c r="P378" s="786"/>
      <c r="Q378" s="786"/>
      <c r="R378" s="786"/>
      <c r="S378" s="786"/>
      <c r="T378" s="786"/>
      <c r="U378" s="786"/>
      <c r="V378" s="786"/>
      <c r="W378" s="786"/>
      <c r="X378" s="787"/>
      <c r="AT378" s="788" t="s">
        <v>1143</v>
      </c>
      <c r="AU378" s="788" t="s">
        <v>795</v>
      </c>
      <c r="AV378" s="778" t="s">
        <v>1065</v>
      </c>
      <c r="AW378" s="778" t="s">
        <v>1145</v>
      </c>
      <c r="AX378" s="778" t="s">
        <v>791</v>
      </c>
      <c r="AY378" s="788" t="s">
        <v>1063</v>
      </c>
    </row>
    <row r="379" spans="1:65" s="634" customFormat="1" ht="21.75" customHeight="1">
      <c r="A379" s="705"/>
      <c r="B379" s="706"/>
      <c r="C379" s="789" t="s">
        <v>1513</v>
      </c>
      <c r="D379" s="789" t="s">
        <v>83</v>
      </c>
      <c r="E379" s="790" t="s">
        <v>1514</v>
      </c>
      <c r="F379" s="791" t="s">
        <v>1515</v>
      </c>
      <c r="G379" s="792" t="s">
        <v>19</v>
      </c>
      <c r="H379" s="793">
        <v>4</v>
      </c>
      <c r="I379" s="794"/>
      <c r="J379" s="795"/>
      <c r="K379" s="794">
        <f>ROUND(P379*H379,2)</f>
        <v>0</v>
      </c>
      <c r="L379" s="795"/>
      <c r="M379" s="701"/>
      <c r="N379" s="796" t="s">
        <v>1043</v>
      </c>
      <c r="O379" s="752" t="s">
        <v>1129</v>
      </c>
      <c r="P379" s="753">
        <f>I379+J379</f>
        <v>0</v>
      </c>
      <c r="Q379" s="753">
        <f>ROUND(I379*H379,2)</f>
        <v>0</v>
      </c>
      <c r="R379" s="753">
        <f>ROUND(J379*H379,2)</f>
        <v>0</v>
      </c>
      <c r="S379" s="754">
        <v>0</v>
      </c>
      <c r="T379" s="754">
        <f>S379*H379</f>
        <v>0</v>
      </c>
      <c r="U379" s="754">
        <v>1.35E-2</v>
      </c>
      <c r="V379" s="754">
        <f>U379*H379</f>
        <v>5.3999999999999999E-2</v>
      </c>
      <c r="W379" s="754">
        <v>0</v>
      </c>
      <c r="X379" s="755">
        <f>W379*H379</f>
        <v>0</v>
      </c>
      <c r="Y379" s="705"/>
      <c r="Z379" s="705"/>
      <c r="AA379" s="705"/>
      <c r="AB379" s="705"/>
      <c r="AC379" s="705"/>
      <c r="AD379" s="705"/>
      <c r="AE379" s="705"/>
      <c r="AR379" s="686" t="s">
        <v>1190</v>
      </c>
      <c r="AT379" s="686" t="s">
        <v>83</v>
      </c>
      <c r="AU379" s="686" t="s">
        <v>795</v>
      </c>
      <c r="AY379" s="629" t="s">
        <v>1063</v>
      </c>
      <c r="BE379" s="687">
        <f>IF(O379="základná",K379,0)</f>
        <v>0</v>
      </c>
      <c r="BF379" s="687">
        <f>IF(O379="znížená",K379,0)</f>
        <v>0</v>
      </c>
      <c r="BG379" s="687">
        <f>IF(O379="zákl. prenesená",K379,0)</f>
        <v>0</v>
      </c>
      <c r="BH379" s="687">
        <f>IF(O379="zníž. prenesená",K379,0)</f>
        <v>0</v>
      </c>
      <c r="BI379" s="687">
        <f>IF(O379="nulová",K379,0)</f>
        <v>0</v>
      </c>
      <c r="BJ379" s="629" t="s">
        <v>795</v>
      </c>
      <c r="BK379" s="687">
        <f>ROUND(P379*H379,2)</f>
        <v>0</v>
      </c>
      <c r="BL379" s="629" t="s">
        <v>1185</v>
      </c>
      <c r="BM379" s="686" t="s">
        <v>1516</v>
      </c>
    </row>
    <row r="380" spans="1:65" s="756" customFormat="1" ht="11.25">
      <c r="B380" s="757"/>
      <c r="C380" s="758"/>
      <c r="D380" s="759" t="s">
        <v>1143</v>
      </c>
      <c r="E380" s="760" t="s">
        <v>1043</v>
      </c>
      <c r="F380" s="761" t="s">
        <v>1503</v>
      </c>
      <c r="G380" s="758"/>
      <c r="H380" s="760" t="s">
        <v>1043</v>
      </c>
      <c r="I380" s="758"/>
      <c r="J380" s="758"/>
      <c r="K380" s="758"/>
      <c r="L380" s="758"/>
      <c r="M380" s="762"/>
      <c r="N380" s="763"/>
      <c r="O380" s="764"/>
      <c r="P380" s="764"/>
      <c r="Q380" s="764"/>
      <c r="R380" s="764"/>
      <c r="S380" s="764"/>
      <c r="T380" s="764"/>
      <c r="U380" s="764"/>
      <c r="V380" s="764"/>
      <c r="W380" s="764"/>
      <c r="X380" s="765"/>
      <c r="AT380" s="766" t="s">
        <v>1143</v>
      </c>
      <c r="AU380" s="766" t="s">
        <v>795</v>
      </c>
      <c r="AV380" s="756" t="s">
        <v>791</v>
      </c>
      <c r="AW380" s="756" t="s">
        <v>1145</v>
      </c>
      <c r="AX380" s="756" t="s">
        <v>788</v>
      </c>
      <c r="AY380" s="766" t="s">
        <v>1063</v>
      </c>
    </row>
    <row r="381" spans="1:65" s="767" customFormat="1" ht="11.25">
      <c r="B381" s="768"/>
      <c r="C381" s="769"/>
      <c r="D381" s="759" t="s">
        <v>1143</v>
      </c>
      <c r="E381" s="770" t="s">
        <v>1043</v>
      </c>
      <c r="F381" s="771" t="s">
        <v>1504</v>
      </c>
      <c r="G381" s="769"/>
      <c r="H381" s="772">
        <v>4</v>
      </c>
      <c r="I381" s="769"/>
      <c r="J381" s="769"/>
      <c r="K381" s="769"/>
      <c r="L381" s="769"/>
      <c r="M381" s="773"/>
      <c r="N381" s="774"/>
      <c r="O381" s="775"/>
      <c r="P381" s="775"/>
      <c r="Q381" s="775"/>
      <c r="R381" s="775"/>
      <c r="S381" s="775"/>
      <c r="T381" s="775"/>
      <c r="U381" s="775"/>
      <c r="V381" s="775"/>
      <c r="W381" s="775"/>
      <c r="X381" s="776"/>
      <c r="AT381" s="777" t="s">
        <v>1143</v>
      </c>
      <c r="AU381" s="777" t="s">
        <v>795</v>
      </c>
      <c r="AV381" s="767" t="s">
        <v>795</v>
      </c>
      <c r="AW381" s="767" t="s">
        <v>1145</v>
      </c>
      <c r="AX381" s="767" t="s">
        <v>788</v>
      </c>
      <c r="AY381" s="777" t="s">
        <v>1063</v>
      </c>
    </row>
    <row r="382" spans="1:65" s="778" customFormat="1" ht="11.25">
      <c r="B382" s="779"/>
      <c r="C382" s="780"/>
      <c r="D382" s="759" t="s">
        <v>1143</v>
      </c>
      <c r="E382" s="781" t="s">
        <v>1043</v>
      </c>
      <c r="F382" s="782" t="s">
        <v>1153</v>
      </c>
      <c r="G382" s="780"/>
      <c r="H382" s="783">
        <v>4</v>
      </c>
      <c r="I382" s="780"/>
      <c r="J382" s="780"/>
      <c r="K382" s="780"/>
      <c r="L382" s="780"/>
      <c r="M382" s="784"/>
      <c r="N382" s="785"/>
      <c r="O382" s="786"/>
      <c r="P382" s="786"/>
      <c r="Q382" s="786"/>
      <c r="R382" s="786"/>
      <c r="S382" s="786"/>
      <c r="T382" s="786"/>
      <c r="U382" s="786"/>
      <c r="V382" s="786"/>
      <c r="W382" s="786"/>
      <c r="X382" s="787"/>
      <c r="AT382" s="788" t="s">
        <v>1143</v>
      </c>
      <c r="AU382" s="788" t="s">
        <v>795</v>
      </c>
      <c r="AV382" s="778" t="s">
        <v>1065</v>
      </c>
      <c r="AW382" s="778" t="s">
        <v>1145</v>
      </c>
      <c r="AX382" s="778" t="s">
        <v>791</v>
      </c>
      <c r="AY382" s="788" t="s">
        <v>1063</v>
      </c>
    </row>
    <row r="383" spans="1:65" s="634" customFormat="1" ht="16.5" customHeight="1">
      <c r="A383" s="705"/>
      <c r="B383" s="706"/>
      <c r="C383" s="744" t="s">
        <v>1517</v>
      </c>
      <c r="D383" s="744" t="s">
        <v>29</v>
      </c>
      <c r="E383" s="745" t="s">
        <v>1518</v>
      </c>
      <c r="F383" s="746" t="s">
        <v>1519</v>
      </c>
      <c r="G383" s="747" t="s">
        <v>19</v>
      </c>
      <c r="H383" s="748">
        <v>4</v>
      </c>
      <c r="I383" s="749"/>
      <c r="J383" s="749"/>
      <c r="K383" s="749">
        <f>ROUND(P383*H383,2)</f>
        <v>0</v>
      </c>
      <c r="L383" s="750"/>
      <c r="M383" s="631"/>
      <c r="N383" s="751" t="s">
        <v>1043</v>
      </c>
      <c r="O383" s="752" t="s">
        <v>1129</v>
      </c>
      <c r="P383" s="753">
        <f>I383+J383</f>
        <v>0</v>
      </c>
      <c r="Q383" s="753">
        <f>ROUND(I383*H383,2)</f>
        <v>0</v>
      </c>
      <c r="R383" s="753">
        <f>ROUND(J383*H383,2)</f>
        <v>0</v>
      </c>
      <c r="S383" s="754">
        <v>0.13400000000000001</v>
      </c>
      <c r="T383" s="754">
        <f>S383*H383</f>
        <v>0.53600000000000003</v>
      </c>
      <c r="U383" s="754">
        <v>0</v>
      </c>
      <c r="V383" s="754">
        <f>U383*H383</f>
        <v>0</v>
      </c>
      <c r="W383" s="754">
        <v>0</v>
      </c>
      <c r="X383" s="755">
        <f>W383*H383</f>
        <v>0</v>
      </c>
      <c r="Y383" s="705"/>
      <c r="Z383" s="705"/>
      <c r="AA383" s="705"/>
      <c r="AB383" s="705"/>
      <c r="AC383" s="705"/>
      <c r="AD383" s="705"/>
      <c r="AE383" s="705"/>
      <c r="AR383" s="686" t="s">
        <v>1185</v>
      </c>
      <c r="AT383" s="686" t="s">
        <v>29</v>
      </c>
      <c r="AU383" s="686" t="s">
        <v>795</v>
      </c>
      <c r="AY383" s="629" t="s">
        <v>1063</v>
      </c>
      <c r="BE383" s="687">
        <f>IF(O383="základná",K383,0)</f>
        <v>0</v>
      </c>
      <c r="BF383" s="687">
        <f>IF(O383="znížená",K383,0)</f>
        <v>0</v>
      </c>
      <c r="BG383" s="687">
        <f>IF(O383="zákl. prenesená",K383,0)</f>
        <v>0</v>
      </c>
      <c r="BH383" s="687">
        <f>IF(O383="zníž. prenesená",K383,0)</f>
        <v>0</v>
      </c>
      <c r="BI383" s="687">
        <f>IF(O383="nulová",K383,0)</f>
        <v>0</v>
      </c>
      <c r="BJ383" s="629" t="s">
        <v>795</v>
      </c>
      <c r="BK383" s="687">
        <f>ROUND(P383*H383,2)</f>
        <v>0</v>
      </c>
      <c r="BL383" s="629" t="s">
        <v>1185</v>
      </c>
      <c r="BM383" s="686" t="s">
        <v>1520</v>
      </c>
    </row>
    <row r="384" spans="1:65" s="756" customFormat="1" ht="11.25">
      <c r="B384" s="757"/>
      <c r="C384" s="758"/>
      <c r="D384" s="759" t="s">
        <v>1143</v>
      </c>
      <c r="E384" s="760" t="s">
        <v>1043</v>
      </c>
      <c r="F384" s="761" t="s">
        <v>1503</v>
      </c>
      <c r="G384" s="758"/>
      <c r="H384" s="760" t="s">
        <v>1043</v>
      </c>
      <c r="I384" s="758"/>
      <c r="J384" s="758"/>
      <c r="K384" s="758"/>
      <c r="L384" s="758"/>
      <c r="M384" s="762"/>
      <c r="N384" s="763"/>
      <c r="O384" s="764"/>
      <c r="P384" s="764"/>
      <c r="Q384" s="764"/>
      <c r="R384" s="764"/>
      <c r="S384" s="764"/>
      <c r="T384" s="764"/>
      <c r="U384" s="764"/>
      <c r="V384" s="764"/>
      <c r="W384" s="764"/>
      <c r="X384" s="765"/>
      <c r="AT384" s="766" t="s">
        <v>1143</v>
      </c>
      <c r="AU384" s="766" t="s">
        <v>795</v>
      </c>
      <c r="AV384" s="756" t="s">
        <v>791</v>
      </c>
      <c r="AW384" s="756" t="s">
        <v>1145</v>
      </c>
      <c r="AX384" s="756" t="s">
        <v>788</v>
      </c>
      <c r="AY384" s="766" t="s">
        <v>1063</v>
      </c>
    </row>
    <row r="385" spans="1:65" s="767" customFormat="1" ht="11.25">
      <c r="B385" s="768"/>
      <c r="C385" s="769"/>
      <c r="D385" s="759" t="s">
        <v>1143</v>
      </c>
      <c r="E385" s="770" t="s">
        <v>1043</v>
      </c>
      <c r="F385" s="771" t="s">
        <v>1504</v>
      </c>
      <c r="G385" s="769"/>
      <c r="H385" s="772">
        <v>4</v>
      </c>
      <c r="I385" s="769"/>
      <c r="J385" s="769"/>
      <c r="K385" s="769"/>
      <c r="L385" s="769"/>
      <c r="M385" s="773"/>
      <c r="N385" s="774"/>
      <c r="O385" s="775"/>
      <c r="P385" s="775"/>
      <c r="Q385" s="775"/>
      <c r="R385" s="775"/>
      <c r="S385" s="775"/>
      <c r="T385" s="775"/>
      <c r="U385" s="775"/>
      <c r="V385" s="775"/>
      <c r="W385" s="775"/>
      <c r="X385" s="776"/>
      <c r="AT385" s="777" t="s">
        <v>1143</v>
      </c>
      <c r="AU385" s="777" t="s">
        <v>795</v>
      </c>
      <c r="AV385" s="767" t="s">
        <v>795</v>
      </c>
      <c r="AW385" s="767" t="s">
        <v>1145</v>
      </c>
      <c r="AX385" s="767" t="s">
        <v>788</v>
      </c>
      <c r="AY385" s="777" t="s">
        <v>1063</v>
      </c>
    </row>
    <row r="386" spans="1:65" s="778" customFormat="1" ht="11.25">
      <c r="B386" s="779"/>
      <c r="C386" s="780"/>
      <c r="D386" s="759" t="s">
        <v>1143</v>
      </c>
      <c r="E386" s="781" t="s">
        <v>1043</v>
      </c>
      <c r="F386" s="782" t="s">
        <v>1153</v>
      </c>
      <c r="G386" s="780"/>
      <c r="H386" s="783">
        <v>4</v>
      </c>
      <c r="I386" s="780"/>
      <c r="J386" s="780"/>
      <c r="K386" s="780"/>
      <c r="L386" s="780"/>
      <c r="M386" s="784"/>
      <c r="N386" s="785"/>
      <c r="O386" s="786"/>
      <c r="P386" s="786"/>
      <c r="Q386" s="786"/>
      <c r="R386" s="786"/>
      <c r="S386" s="786"/>
      <c r="T386" s="786"/>
      <c r="U386" s="786"/>
      <c r="V386" s="786"/>
      <c r="W386" s="786"/>
      <c r="X386" s="787"/>
      <c r="AT386" s="788" t="s">
        <v>1143</v>
      </c>
      <c r="AU386" s="788" t="s">
        <v>795</v>
      </c>
      <c r="AV386" s="778" t="s">
        <v>1065</v>
      </c>
      <c r="AW386" s="778" t="s">
        <v>1145</v>
      </c>
      <c r="AX386" s="778" t="s">
        <v>791</v>
      </c>
      <c r="AY386" s="788" t="s">
        <v>1063</v>
      </c>
    </row>
    <row r="387" spans="1:65" s="634" customFormat="1" ht="21.75" customHeight="1">
      <c r="A387" s="705"/>
      <c r="B387" s="706"/>
      <c r="C387" s="789" t="s">
        <v>1521</v>
      </c>
      <c r="D387" s="789" t="s">
        <v>83</v>
      </c>
      <c r="E387" s="790" t="s">
        <v>1522</v>
      </c>
      <c r="F387" s="791" t="s">
        <v>1523</v>
      </c>
      <c r="G387" s="792" t="s">
        <v>19</v>
      </c>
      <c r="H387" s="793">
        <v>4</v>
      </c>
      <c r="I387" s="794"/>
      <c r="J387" s="795"/>
      <c r="K387" s="794">
        <f>ROUND(P387*H387,2)</f>
        <v>0</v>
      </c>
      <c r="L387" s="795"/>
      <c r="M387" s="701"/>
      <c r="N387" s="796" t="s">
        <v>1043</v>
      </c>
      <c r="O387" s="752" t="s">
        <v>1129</v>
      </c>
      <c r="P387" s="753">
        <f>I387+J387</f>
        <v>0</v>
      </c>
      <c r="Q387" s="753">
        <f>ROUND(I387*H387,2)</f>
        <v>0</v>
      </c>
      <c r="R387" s="753">
        <f>ROUND(J387*H387,2)</f>
        <v>0</v>
      </c>
      <c r="S387" s="754">
        <v>0</v>
      </c>
      <c r="T387" s="754">
        <f>S387*H387</f>
        <v>0</v>
      </c>
      <c r="U387" s="754">
        <v>2.5000000000000001E-3</v>
      </c>
      <c r="V387" s="754">
        <f>U387*H387</f>
        <v>0.01</v>
      </c>
      <c r="W387" s="754">
        <v>0</v>
      </c>
      <c r="X387" s="755">
        <f>W387*H387</f>
        <v>0</v>
      </c>
      <c r="Y387" s="705"/>
      <c r="Z387" s="705"/>
      <c r="AA387" s="705"/>
      <c r="AB387" s="705"/>
      <c r="AC387" s="705"/>
      <c r="AD387" s="705"/>
      <c r="AE387" s="705"/>
      <c r="AR387" s="686" t="s">
        <v>1190</v>
      </c>
      <c r="AT387" s="686" t="s">
        <v>83</v>
      </c>
      <c r="AU387" s="686" t="s">
        <v>795</v>
      </c>
      <c r="AY387" s="629" t="s">
        <v>1063</v>
      </c>
      <c r="BE387" s="687">
        <f>IF(O387="základná",K387,0)</f>
        <v>0</v>
      </c>
      <c r="BF387" s="687">
        <f>IF(O387="znížená",K387,0)</f>
        <v>0</v>
      </c>
      <c r="BG387" s="687">
        <f>IF(O387="zákl. prenesená",K387,0)</f>
        <v>0</v>
      </c>
      <c r="BH387" s="687">
        <f>IF(O387="zníž. prenesená",K387,0)</f>
        <v>0</v>
      </c>
      <c r="BI387" s="687">
        <f>IF(O387="nulová",K387,0)</f>
        <v>0</v>
      </c>
      <c r="BJ387" s="629" t="s">
        <v>795</v>
      </c>
      <c r="BK387" s="687">
        <f>ROUND(P387*H387,2)</f>
        <v>0</v>
      </c>
      <c r="BL387" s="629" t="s">
        <v>1185</v>
      </c>
      <c r="BM387" s="686" t="s">
        <v>1524</v>
      </c>
    </row>
    <row r="388" spans="1:65" s="756" customFormat="1" ht="11.25">
      <c r="B388" s="757"/>
      <c r="C388" s="758"/>
      <c r="D388" s="759" t="s">
        <v>1143</v>
      </c>
      <c r="E388" s="760" t="s">
        <v>1043</v>
      </c>
      <c r="F388" s="761" t="s">
        <v>1503</v>
      </c>
      <c r="G388" s="758"/>
      <c r="H388" s="760" t="s">
        <v>1043</v>
      </c>
      <c r="I388" s="758"/>
      <c r="J388" s="758"/>
      <c r="K388" s="758"/>
      <c r="L388" s="758"/>
      <c r="M388" s="762"/>
      <c r="N388" s="763"/>
      <c r="O388" s="764"/>
      <c r="P388" s="764"/>
      <c r="Q388" s="764"/>
      <c r="R388" s="764"/>
      <c r="S388" s="764"/>
      <c r="T388" s="764"/>
      <c r="U388" s="764"/>
      <c r="V388" s="764"/>
      <c r="W388" s="764"/>
      <c r="X388" s="765"/>
      <c r="AT388" s="766" t="s">
        <v>1143</v>
      </c>
      <c r="AU388" s="766" t="s">
        <v>795</v>
      </c>
      <c r="AV388" s="756" t="s">
        <v>791</v>
      </c>
      <c r="AW388" s="756" t="s">
        <v>1145</v>
      </c>
      <c r="AX388" s="756" t="s">
        <v>788</v>
      </c>
      <c r="AY388" s="766" t="s">
        <v>1063</v>
      </c>
    </row>
    <row r="389" spans="1:65" s="767" customFormat="1" ht="11.25">
      <c r="B389" s="768"/>
      <c r="C389" s="769"/>
      <c r="D389" s="759" t="s">
        <v>1143</v>
      </c>
      <c r="E389" s="770" t="s">
        <v>1043</v>
      </c>
      <c r="F389" s="771" t="s">
        <v>1504</v>
      </c>
      <c r="G389" s="769"/>
      <c r="H389" s="772">
        <v>4</v>
      </c>
      <c r="I389" s="769"/>
      <c r="J389" s="769"/>
      <c r="K389" s="769"/>
      <c r="L389" s="769"/>
      <c r="M389" s="773"/>
      <c r="N389" s="774"/>
      <c r="O389" s="775"/>
      <c r="P389" s="775"/>
      <c r="Q389" s="775"/>
      <c r="R389" s="775"/>
      <c r="S389" s="775"/>
      <c r="T389" s="775"/>
      <c r="U389" s="775"/>
      <c r="V389" s="775"/>
      <c r="W389" s="775"/>
      <c r="X389" s="776"/>
      <c r="AT389" s="777" t="s">
        <v>1143</v>
      </c>
      <c r="AU389" s="777" t="s">
        <v>795</v>
      </c>
      <c r="AV389" s="767" t="s">
        <v>795</v>
      </c>
      <c r="AW389" s="767" t="s">
        <v>1145</v>
      </c>
      <c r="AX389" s="767" t="s">
        <v>788</v>
      </c>
      <c r="AY389" s="777" t="s">
        <v>1063</v>
      </c>
    </row>
    <row r="390" spans="1:65" s="778" customFormat="1" ht="11.25">
      <c r="B390" s="779"/>
      <c r="C390" s="780"/>
      <c r="D390" s="759" t="s">
        <v>1143</v>
      </c>
      <c r="E390" s="781" t="s">
        <v>1043</v>
      </c>
      <c r="F390" s="782" t="s">
        <v>1153</v>
      </c>
      <c r="G390" s="780"/>
      <c r="H390" s="783">
        <v>4</v>
      </c>
      <c r="I390" s="780"/>
      <c r="J390" s="780"/>
      <c r="K390" s="780"/>
      <c r="L390" s="780"/>
      <c r="M390" s="784"/>
      <c r="N390" s="785"/>
      <c r="O390" s="786"/>
      <c r="P390" s="786"/>
      <c r="Q390" s="786"/>
      <c r="R390" s="786"/>
      <c r="S390" s="786"/>
      <c r="T390" s="786"/>
      <c r="U390" s="786"/>
      <c r="V390" s="786"/>
      <c r="W390" s="786"/>
      <c r="X390" s="787"/>
      <c r="AT390" s="788" t="s">
        <v>1143</v>
      </c>
      <c r="AU390" s="788" t="s">
        <v>795</v>
      </c>
      <c r="AV390" s="778" t="s">
        <v>1065</v>
      </c>
      <c r="AW390" s="778" t="s">
        <v>1145</v>
      </c>
      <c r="AX390" s="778" t="s">
        <v>791</v>
      </c>
      <c r="AY390" s="788" t="s">
        <v>1063</v>
      </c>
    </row>
    <row r="391" spans="1:65" s="634" customFormat="1" ht="16.5" customHeight="1">
      <c r="A391" s="705"/>
      <c r="B391" s="706"/>
      <c r="C391" s="744" t="s">
        <v>1525</v>
      </c>
      <c r="D391" s="744" t="s">
        <v>29</v>
      </c>
      <c r="E391" s="745" t="s">
        <v>1526</v>
      </c>
      <c r="F391" s="746" t="s">
        <v>1527</v>
      </c>
      <c r="G391" s="747" t="s">
        <v>19</v>
      </c>
      <c r="H391" s="748">
        <v>1</v>
      </c>
      <c r="I391" s="749"/>
      <c r="J391" s="749"/>
      <c r="K391" s="749">
        <f>ROUND(P391*H391,2)</f>
        <v>0</v>
      </c>
      <c r="L391" s="750"/>
      <c r="M391" s="631"/>
      <c r="N391" s="751" t="s">
        <v>1043</v>
      </c>
      <c r="O391" s="752" t="s">
        <v>1129</v>
      </c>
      <c r="P391" s="753">
        <f>I391+J391</f>
        <v>0</v>
      </c>
      <c r="Q391" s="753">
        <f>ROUND(I391*H391,2)</f>
        <v>0</v>
      </c>
      <c r="R391" s="753">
        <f>ROUND(J391*H391,2)</f>
        <v>0</v>
      </c>
      <c r="S391" s="754">
        <v>0.92</v>
      </c>
      <c r="T391" s="754">
        <f>S391*H391</f>
        <v>0.92</v>
      </c>
      <c r="U391" s="754">
        <v>1.7000000000000001E-4</v>
      </c>
      <c r="V391" s="754">
        <f>U391*H391</f>
        <v>1.7000000000000001E-4</v>
      </c>
      <c r="W391" s="754">
        <v>0</v>
      </c>
      <c r="X391" s="755">
        <f>W391*H391</f>
        <v>0</v>
      </c>
      <c r="Y391" s="705"/>
      <c r="Z391" s="705"/>
      <c r="AA391" s="705"/>
      <c r="AB391" s="705"/>
      <c r="AC391" s="705"/>
      <c r="AD391" s="705"/>
      <c r="AE391" s="705"/>
      <c r="AR391" s="686" t="s">
        <v>1185</v>
      </c>
      <c r="AT391" s="686" t="s">
        <v>29</v>
      </c>
      <c r="AU391" s="686" t="s">
        <v>795</v>
      </c>
      <c r="AY391" s="629" t="s">
        <v>1063</v>
      </c>
      <c r="BE391" s="687">
        <f>IF(O391="základná",K391,0)</f>
        <v>0</v>
      </c>
      <c r="BF391" s="687">
        <f>IF(O391="znížená",K391,0)</f>
        <v>0</v>
      </c>
      <c r="BG391" s="687">
        <f>IF(O391="zákl. prenesená",K391,0)</f>
        <v>0</v>
      </c>
      <c r="BH391" s="687">
        <f>IF(O391="zníž. prenesená",K391,0)</f>
        <v>0</v>
      </c>
      <c r="BI391" s="687">
        <f>IF(O391="nulová",K391,0)</f>
        <v>0</v>
      </c>
      <c r="BJ391" s="629" t="s">
        <v>795</v>
      </c>
      <c r="BK391" s="687">
        <f>ROUND(P391*H391,2)</f>
        <v>0</v>
      </c>
      <c r="BL391" s="629" t="s">
        <v>1185</v>
      </c>
      <c r="BM391" s="686" t="s">
        <v>1528</v>
      </c>
    </row>
    <row r="392" spans="1:65" s="756" customFormat="1" ht="11.25">
      <c r="B392" s="757"/>
      <c r="C392" s="758"/>
      <c r="D392" s="759" t="s">
        <v>1143</v>
      </c>
      <c r="E392" s="760" t="s">
        <v>1043</v>
      </c>
      <c r="F392" s="761" t="s">
        <v>1529</v>
      </c>
      <c r="G392" s="758"/>
      <c r="H392" s="760" t="s">
        <v>1043</v>
      </c>
      <c r="I392" s="758"/>
      <c r="J392" s="758"/>
      <c r="K392" s="758"/>
      <c r="L392" s="758"/>
      <c r="M392" s="762"/>
      <c r="N392" s="763"/>
      <c r="O392" s="764"/>
      <c r="P392" s="764"/>
      <c r="Q392" s="764"/>
      <c r="R392" s="764"/>
      <c r="S392" s="764"/>
      <c r="T392" s="764"/>
      <c r="U392" s="764"/>
      <c r="V392" s="764"/>
      <c r="W392" s="764"/>
      <c r="X392" s="765"/>
      <c r="AT392" s="766" t="s">
        <v>1143</v>
      </c>
      <c r="AU392" s="766" t="s">
        <v>795</v>
      </c>
      <c r="AV392" s="756" t="s">
        <v>791</v>
      </c>
      <c r="AW392" s="756" t="s">
        <v>1145</v>
      </c>
      <c r="AX392" s="756" t="s">
        <v>788</v>
      </c>
      <c r="AY392" s="766" t="s">
        <v>1063</v>
      </c>
    </row>
    <row r="393" spans="1:65" s="767" customFormat="1" ht="11.25">
      <c r="B393" s="768"/>
      <c r="C393" s="769"/>
      <c r="D393" s="759" t="s">
        <v>1143</v>
      </c>
      <c r="E393" s="770" t="s">
        <v>1043</v>
      </c>
      <c r="F393" s="771" t="s">
        <v>791</v>
      </c>
      <c r="G393" s="769"/>
      <c r="H393" s="772">
        <v>1</v>
      </c>
      <c r="I393" s="769"/>
      <c r="J393" s="769"/>
      <c r="K393" s="769"/>
      <c r="L393" s="769"/>
      <c r="M393" s="773"/>
      <c r="N393" s="774"/>
      <c r="O393" s="775"/>
      <c r="P393" s="775"/>
      <c r="Q393" s="775"/>
      <c r="R393" s="775"/>
      <c r="S393" s="775"/>
      <c r="T393" s="775"/>
      <c r="U393" s="775"/>
      <c r="V393" s="775"/>
      <c r="W393" s="775"/>
      <c r="X393" s="776"/>
      <c r="AT393" s="777" t="s">
        <v>1143</v>
      </c>
      <c r="AU393" s="777" t="s">
        <v>795</v>
      </c>
      <c r="AV393" s="767" t="s">
        <v>795</v>
      </c>
      <c r="AW393" s="767" t="s">
        <v>1145</v>
      </c>
      <c r="AX393" s="767" t="s">
        <v>788</v>
      </c>
      <c r="AY393" s="777" t="s">
        <v>1063</v>
      </c>
    </row>
    <row r="394" spans="1:65" s="778" customFormat="1" ht="11.25">
      <c r="B394" s="779"/>
      <c r="C394" s="780"/>
      <c r="D394" s="759" t="s">
        <v>1143</v>
      </c>
      <c r="E394" s="781" t="s">
        <v>1043</v>
      </c>
      <c r="F394" s="782" t="s">
        <v>1153</v>
      </c>
      <c r="G394" s="780"/>
      <c r="H394" s="783">
        <v>1</v>
      </c>
      <c r="I394" s="780"/>
      <c r="J394" s="780"/>
      <c r="K394" s="780"/>
      <c r="L394" s="780"/>
      <c r="M394" s="784"/>
      <c r="N394" s="785"/>
      <c r="O394" s="786"/>
      <c r="P394" s="786"/>
      <c r="Q394" s="786"/>
      <c r="R394" s="786"/>
      <c r="S394" s="786"/>
      <c r="T394" s="786"/>
      <c r="U394" s="786"/>
      <c r="V394" s="786"/>
      <c r="W394" s="786"/>
      <c r="X394" s="787"/>
      <c r="AT394" s="788" t="s">
        <v>1143</v>
      </c>
      <c r="AU394" s="788" t="s">
        <v>795</v>
      </c>
      <c r="AV394" s="778" t="s">
        <v>1065</v>
      </c>
      <c r="AW394" s="778" t="s">
        <v>1145</v>
      </c>
      <c r="AX394" s="778" t="s">
        <v>791</v>
      </c>
      <c r="AY394" s="788" t="s">
        <v>1063</v>
      </c>
    </row>
    <row r="395" spans="1:65" s="634" customFormat="1" ht="21.75" customHeight="1">
      <c r="A395" s="705"/>
      <c r="B395" s="706"/>
      <c r="C395" s="789" t="s">
        <v>1530</v>
      </c>
      <c r="D395" s="789" t="s">
        <v>83</v>
      </c>
      <c r="E395" s="790" t="s">
        <v>1531</v>
      </c>
      <c r="F395" s="791" t="s">
        <v>1532</v>
      </c>
      <c r="G395" s="792" t="s">
        <v>19</v>
      </c>
      <c r="H395" s="793">
        <v>1</v>
      </c>
      <c r="I395" s="794"/>
      <c r="J395" s="795"/>
      <c r="K395" s="794">
        <f>ROUND(P395*H395,2)</f>
        <v>0</v>
      </c>
      <c r="L395" s="795"/>
      <c r="M395" s="701"/>
      <c r="N395" s="796" t="s">
        <v>1043</v>
      </c>
      <c r="O395" s="752" t="s">
        <v>1129</v>
      </c>
      <c r="P395" s="753">
        <f>I395+J395</f>
        <v>0</v>
      </c>
      <c r="Q395" s="753">
        <f>ROUND(I395*H395,2)</f>
        <v>0</v>
      </c>
      <c r="R395" s="753">
        <f>ROUND(J395*H395,2)</f>
        <v>0</v>
      </c>
      <c r="S395" s="754">
        <v>0</v>
      </c>
      <c r="T395" s="754">
        <f>S395*H395</f>
        <v>0</v>
      </c>
      <c r="U395" s="754">
        <v>2.3E-2</v>
      </c>
      <c r="V395" s="754">
        <f>U395*H395</f>
        <v>2.3E-2</v>
      </c>
      <c r="W395" s="754">
        <v>0</v>
      </c>
      <c r="X395" s="755">
        <f>W395*H395</f>
        <v>0</v>
      </c>
      <c r="Y395" s="705"/>
      <c r="Z395" s="705"/>
      <c r="AA395" s="705"/>
      <c r="AB395" s="705"/>
      <c r="AC395" s="705"/>
      <c r="AD395" s="705"/>
      <c r="AE395" s="705"/>
      <c r="AR395" s="686" t="s">
        <v>1190</v>
      </c>
      <c r="AT395" s="686" t="s">
        <v>83</v>
      </c>
      <c r="AU395" s="686" t="s">
        <v>795</v>
      </c>
      <c r="AY395" s="629" t="s">
        <v>1063</v>
      </c>
      <c r="BE395" s="687">
        <f>IF(O395="základná",K395,0)</f>
        <v>0</v>
      </c>
      <c r="BF395" s="687">
        <f>IF(O395="znížená",K395,0)</f>
        <v>0</v>
      </c>
      <c r="BG395" s="687">
        <f>IF(O395="zákl. prenesená",K395,0)</f>
        <v>0</v>
      </c>
      <c r="BH395" s="687">
        <f>IF(O395="zníž. prenesená",K395,0)</f>
        <v>0</v>
      </c>
      <c r="BI395" s="687">
        <f>IF(O395="nulová",K395,0)</f>
        <v>0</v>
      </c>
      <c r="BJ395" s="629" t="s">
        <v>795</v>
      </c>
      <c r="BK395" s="687">
        <f>ROUND(P395*H395,2)</f>
        <v>0</v>
      </c>
      <c r="BL395" s="629" t="s">
        <v>1185</v>
      </c>
      <c r="BM395" s="686" t="s">
        <v>1533</v>
      </c>
    </row>
    <row r="396" spans="1:65" s="756" customFormat="1" ht="11.25">
      <c r="B396" s="757"/>
      <c r="C396" s="758"/>
      <c r="D396" s="759" t="s">
        <v>1143</v>
      </c>
      <c r="E396" s="760" t="s">
        <v>1043</v>
      </c>
      <c r="F396" s="761" t="s">
        <v>1529</v>
      </c>
      <c r="G396" s="758"/>
      <c r="H396" s="760" t="s">
        <v>1043</v>
      </c>
      <c r="I396" s="758"/>
      <c r="J396" s="758"/>
      <c r="K396" s="758"/>
      <c r="L396" s="758"/>
      <c r="M396" s="762"/>
      <c r="N396" s="763"/>
      <c r="O396" s="764"/>
      <c r="P396" s="764"/>
      <c r="Q396" s="764"/>
      <c r="R396" s="764"/>
      <c r="S396" s="764"/>
      <c r="T396" s="764"/>
      <c r="U396" s="764"/>
      <c r="V396" s="764"/>
      <c r="W396" s="764"/>
      <c r="X396" s="765"/>
      <c r="AT396" s="766" t="s">
        <v>1143</v>
      </c>
      <c r="AU396" s="766" t="s">
        <v>795</v>
      </c>
      <c r="AV396" s="756" t="s">
        <v>791</v>
      </c>
      <c r="AW396" s="756" t="s">
        <v>1145</v>
      </c>
      <c r="AX396" s="756" t="s">
        <v>788</v>
      </c>
      <c r="AY396" s="766" t="s">
        <v>1063</v>
      </c>
    </row>
    <row r="397" spans="1:65" s="767" customFormat="1" ht="11.25">
      <c r="B397" s="768"/>
      <c r="C397" s="769"/>
      <c r="D397" s="759" t="s">
        <v>1143</v>
      </c>
      <c r="E397" s="770" t="s">
        <v>1043</v>
      </c>
      <c r="F397" s="771" t="s">
        <v>791</v>
      </c>
      <c r="G397" s="769"/>
      <c r="H397" s="772">
        <v>1</v>
      </c>
      <c r="I397" s="769"/>
      <c r="J397" s="769"/>
      <c r="K397" s="769"/>
      <c r="L397" s="769"/>
      <c r="M397" s="773"/>
      <c r="N397" s="774"/>
      <c r="O397" s="775"/>
      <c r="P397" s="775"/>
      <c r="Q397" s="775"/>
      <c r="R397" s="775"/>
      <c r="S397" s="775"/>
      <c r="T397" s="775"/>
      <c r="U397" s="775"/>
      <c r="V397" s="775"/>
      <c r="W397" s="775"/>
      <c r="X397" s="776"/>
      <c r="AT397" s="777" t="s">
        <v>1143</v>
      </c>
      <c r="AU397" s="777" t="s">
        <v>795</v>
      </c>
      <c r="AV397" s="767" t="s">
        <v>795</v>
      </c>
      <c r="AW397" s="767" t="s">
        <v>1145</v>
      </c>
      <c r="AX397" s="767" t="s">
        <v>788</v>
      </c>
      <c r="AY397" s="777" t="s">
        <v>1063</v>
      </c>
    </row>
    <row r="398" spans="1:65" s="778" customFormat="1" ht="11.25">
      <c r="B398" s="779"/>
      <c r="C398" s="780"/>
      <c r="D398" s="759" t="s">
        <v>1143</v>
      </c>
      <c r="E398" s="781" t="s">
        <v>1043</v>
      </c>
      <c r="F398" s="782" t="s">
        <v>1153</v>
      </c>
      <c r="G398" s="780"/>
      <c r="H398" s="783">
        <v>1</v>
      </c>
      <c r="I398" s="780"/>
      <c r="J398" s="780"/>
      <c r="K398" s="780"/>
      <c r="L398" s="780"/>
      <c r="M398" s="784"/>
      <c r="N398" s="785"/>
      <c r="O398" s="786"/>
      <c r="P398" s="786"/>
      <c r="Q398" s="786"/>
      <c r="R398" s="786"/>
      <c r="S398" s="786"/>
      <c r="T398" s="786"/>
      <c r="U398" s="786"/>
      <c r="V398" s="786"/>
      <c r="W398" s="786"/>
      <c r="X398" s="787"/>
      <c r="AT398" s="788" t="s">
        <v>1143</v>
      </c>
      <c r="AU398" s="788" t="s">
        <v>795</v>
      </c>
      <c r="AV398" s="778" t="s">
        <v>1065</v>
      </c>
      <c r="AW398" s="778" t="s">
        <v>1145</v>
      </c>
      <c r="AX398" s="778" t="s">
        <v>791</v>
      </c>
      <c r="AY398" s="788" t="s">
        <v>1063</v>
      </c>
    </row>
    <row r="399" spans="1:65" s="634" customFormat="1" ht="21.75" customHeight="1">
      <c r="A399" s="705"/>
      <c r="B399" s="706"/>
      <c r="C399" s="744" t="s">
        <v>1534</v>
      </c>
      <c r="D399" s="744" t="s">
        <v>29</v>
      </c>
      <c r="E399" s="745" t="s">
        <v>1535</v>
      </c>
      <c r="F399" s="746" t="s">
        <v>1536</v>
      </c>
      <c r="G399" s="747" t="s">
        <v>19</v>
      </c>
      <c r="H399" s="748">
        <v>1</v>
      </c>
      <c r="I399" s="749"/>
      <c r="J399" s="749"/>
      <c r="K399" s="749">
        <f>ROUND(P399*H399,2)</f>
        <v>0</v>
      </c>
      <c r="L399" s="750"/>
      <c r="M399" s="631"/>
      <c r="N399" s="751" t="s">
        <v>1043</v>
      </c>
      <c r="O399" s="752" t="s">
        <v>1129</v>
      </c>
      <c r="P399" s="753">
        <f>I399+J399</f>
        <v>0</v>
      </c>
      <c r="Q399" s="753">
        <f>ROUND(I399*H399,2)</f>
        <v>0</v>
      </c>
      <c r="R399" s="753">
        <f>ROUND(J399*H399,2)</f>
        <v>0</v>
      </c>
      <c r="S399" s="754">
        <v>0.90600000000000003</v>
      </c>
      <c r="T399" s="754">
        <f>S399*H399</f>
        <v>0.90600000000000003</v>
      </c>
      <c r="U399" s="754">
        <v>0</v>
      </c>
      <c r="V399" s="754">
        <f>U399*H399</f>
        <v>0</v>
      </c>
      <c r="W399" s="754">
        <v>0</v>
      </c>
      <c r="X399" s="755">
        <f>W399*H399</f>
        <v>0</v>
      </c>
      <c r="Y399" s="705"/>
      <c r="Z399" s="705"/>
      <c r="AA399" s="705"/>
      <c r="AB399" s="705"/>
      <c r="AC399" s="705"/>
      <c r="AD399" s="705"/>
      <c r="AE399" s="705"/>
      <c r="AR399" s="686" t="s">
        <v>1185</v>
      </c>
      <c r="AT399" s="686" t="s">
        <v>29</v>
      </c>
      <c r="AU399" s="686" t="s">
        <v>795</v>
      </c>
      <c r="AY399" s="629" t="s">
        <v>1063</v>
      </c>
      <c r="BE399" s="687">
        <f>IF(O399="základná",K399,0)</f>
        <v>0</v>
      </c>
      <c r="BF399" s="687">
        <f>IF(O399="znížená",K399,0)</f>
        <v>0</v>
      </c>
      <c r="BG399" s="687">
        <f>IF(O399="zákl. prenesená",K399,0)</f>
        <v>0</v>
      </c>
      <c r="BH399" s="687">
        <f>IF(O399="zníž. prenesená",K399,0)</f>
        <v>0</v>
      </c>
      <c r="BI399" s="687">
        <f>IF(O399="nulová",K399,0)</f>
        <v>0</v>
      </c>
      <c r="BJ399" s="629" t="s">
        <v>795</v>
      </c>
      <c r="BK399" s="687">
        <f>ROUND(P399*H399,2)</f>
        <v>0</v>
      </c>
      <c r="BL399" s="629" t="s">
        <v>1185</v>
      </c>
      <c r="BM399" s="686" t="s">
        <v>1537</v>
      </c>
    </row>
    <row r="400" spans="1:65" s="756" customFormat="1" ht="11.25">
      <c r="B400" s="757"/>
      <c r="C400" s="758"/>
      <c r="D400" s="759" t="s">
        <v>1143</v>
      </c>
      <c r="E400" s="760" t="s">
        <v>1043</v>
      </c>
      <c r="F400" s="761" t="s">
        <v>1529</v>
      </c>
      <c r="G400" s="758"/>
      <c r="H400" s="760" t="s">
        <v>1043</v>
      </c>
      <c r="I400" s="758"/>
      <c r="J400" s="758"/>
      <c r="K400" s="758"/>
      <c r="L400" s="758"/>
      <c r="M400" s="762"/>
      <c r="N400" s="763"/>
      <c r="O400" s="764"/>
      <c r="P400" s="764"/>
      <c r="Q400" s="764"/>
      <c r="R400" s="764"/>
      <c r="S400" s="764"/>
      <c r="T400" s="764"/>
      <c r="U400" s="764"/>
      <c r="V400" s="764"/>
      <c r="W400" s="764"/>
      <c r="X400" s="765"/>
      <c r="AT400" s="766" t="s">
        <v>1143</v>
      </c>
      <c r="AU400" s="766" t="s">
        <v>795</v>
      </c>
      <c r="AV400" s="756" t="s">
        <v>791</v>
      </c>
      <c r="AW400" s="756" t="s">
        <v>1145</v>
      </c>
      <c r="AX400" s="756" t="s">
        <v>788</v>
      </c>
      <c r="AY400" s="766" t="s">
        <v>1063</v>
      </c>
    </row>
    <row r="401" spans="1:65" s="767" customFormat="1" ht="11.25">
      <c r="B401" s="768"/>
      <c r="C401" s="769"/>
      <c r="D401" s="759" t="s">
        <v>1143</v>
      </c>
      <c r="E401" s="770" t="s">
        <v>1043</v>
      </c>
      <c r="F401" s="771" t="s">
        <v>791</v>
      </c>
      <c r="G401" s="769"/>
      <c r="H401" s="772">
        <v>1</v>
      </c>
      <c r="I401" s="769"/>
      <c r="J401" s="769"/>
      <c r="K401" s="769"/>
      <c r="L401" s="769"/>
      <c r="M401" s="773"/>
      <c r="N401" s="774"/>
      <c r="O401" s="775"/>
      <c r="P401" s="775"/>
      <c r="Q401" s="775"/>
      <c r="R401" s="775"/>
      <c r="S401" s="775"/>
      <c r="T401" s="775"/>
      <c r="U401" s="775"/>
      <c r="V401" s="775"/>
      <c r="W401" s="775"/>
      <c r="X401" s="776"/>
      <c r="AT401" s="777" t="s">
        <v>1143</v>
      </c>
      <c r="AU401" s="777" t="s">
        <v>795</v>
      </c>
      <c r="AV401" s="767" t="s">
        <v>795</v>
      </c>
      <c r="AW401" s="767" t="s">
        <v>1145</v>
      </c>
      <c r="AX401" s="767" t="s">
        <v>788</v>
      </c>
      <c r="AY401" s="777" t="s">
        <v>1063</v>
      </c>
    </row>
    <row r="402" spans="1:65" s="778" customFormat="1" ht="11.25">
      <c r="B402" s="779"/>
      <c r="C402" s="780"/>
      <c r="D402" s="759" t="s">
        <v>1143</v>
      </c>
      <c r="E402" s="781" t="s">
        <v>1043</v>
      </c>
      <c r="F402" s="782" t="s">
        <v>1153</v>
      </c>
      <c r="G402" s="780"/>
      <c r="H402" s="783">
        <v>1</v>
      </c>
      <c r="I402" s="780"/>
      <c r="J402" s="780"/>
      <c r="K402" s="780"/>
      <c r="L402" s="780"/>
      <c r="M402" s="784"/>
      <c r="N402" s="785"/>
      <c r="O402" s="786"/>
      <c r="P402" s="786"/>
      <c r="Q402" s="786"/>
      <c r="R402" s="786"/>
      <c r="S402" s="786"/>
      <c r="T402" s="786"/>
      <c r="U402" s="786"/>
      <c r="V402" s="786"/>
      <c r="W402" s="786"/>
      <c r="X402" s="787"/>
      <c r="AT402" s="788" t="s">
        <v>1143</v>
      </c>
      <c r="AU402" s="788" t="s">
        <v>795</v>
      </c>
      <c r="AV402" s="778" t="s">
        <v>1065</v>
      </c>
      <c r="AW402" s="778" t="s">
        <v>1145</v>
      </c>
      <c r="AX402" s="778" t="s">
        <v>791</v>
      </c>
      <c r="AY402" s="788" t="s">
        <v>1063</v>
      </c>
    </row>
    <row r="403" spans="1:65" s="634" customFormat="1" ht="16.5" customHeight="1">
      <c r="A403" s="705"/>
      <c r="B403" s="706"/>
      <c r="C403" s="789" t="s">
        <v>1538</v>
      </c>
      <c r="D403" s="789" t="s">
        <v>83</v>
      </c>
      <c r="E403" s="790" t="s">
        <v>1539</v>
      </c>
      <c r="F403" s="791" t="s">
        <v>1540</v>
      </c>
      <c r="G403" s="792" t="s">
        <v>19</v>
      </c>
      <c r="H403" s="793">
        <v>1</v>
      </c>
      <c r="I403" s="794"/>
      <c r="J403" s="795"/>
      <c r="K403" s="794">
        <f>ROUND(P403*H403,2)</f>
        <v>0</v>
      </c>
      <c r="L403" s="795"/>
      <c r="M403" s="701"/>
      <c r="N403" s="796" t="s">
        <v>1043</v>
      </c>
      <c r="O403" s="752" t="s">
        <v>1129</v>
      </c>
      <c r="P403" s="753">
        <f>I403+J403</f>
        <v>0</v>
      </c>
      <c r="Q403" s="753">
        <f>ROUND(I403*H403,2)</f>
        <v>0</v>
      </c>
      <c r="R403" s="753">
        <f>ROUND(J403*H403,2)</f>
        <v>0</v>
      </c>
      <c r="S403" s="754">
        <v>0</v>
      </c>
      <c r="T403" s="754">
        <f>S403*H403</f>
        <v>0</v>
      </c>
      <c r="U403" s="754">
        <v>1.0999999999999999E-2</v>
      </c>
      <c r="V403" s="754">
        <f>U403*H403</f>
        <v>1.0999999999999999E-2</v>
      </c>
      <c r="W403" s="754">
        <v>0</v>
      </c>
      <c r="X403" s="755">
        <f>W403*H403</f>
        <v>0</v>
      </c>
      <c r="Y403" s="705"/>
      <c r="Z403" s="705"/>
      <c r="AA403" s="705"/>
      <c r="AB403" s="705"/>
      <c r="AC403" s="705"/>
      <c r="AD403" s="705"/>
      <c r="AE403" s="705"/>
      <c r="AR403" s="686" t="s">
        <v>1190</v>
      </c>
      <c r="AT403" s="686" t="s">
        <v>83</v>
      </c>
      <c r="AU403" s="686" t="s">
        <v>795</v>
      </c>
      <c r="AY403" s="629" t="s">
        <v>1063</v>
      </c>
      <c r="BE403" s="687">
        <f>IF(O403="základná",K403,0)</f>
        <v>0</v>
      </c>
      <c r="BF403" s="687">
        <f>IF(O403="znížená",K403,0)</f>
        <v>0</v>
      </c>
      <c r="BG403" s="687">
        <f>IF(O403="zákl. prenesená",K403,0)</f>
        <v>0</v>
      </c>
      <c r="BH403" s="687">
        <f>IF(O403="zníž. prenesená",K403,0)</f>
        <v>0</v>
      </c>
      <c r="BI403" s="687">
        <f>IF(O403="nulová",K403,0)</f>
        <v>0</v>
      </c>
      <c r="BJ403" s="629" t="s">
        <v>795</v>
      </c>
      <c r="BK403" s="687">
        <f>ROUND(P403*H403,2)</f>
        <v>0</v>
      </c>
      <c r="BL403" s="629" t="s">
        <v>1185</v>
      </c>
      <c r="BM403" s="686" t="s">
        <v>1541</v>
      </c>
    </row>
    <row r="404" spans="1:65" s="756" customFormat="1" ht="11.25">
      <c r="B404" s="757"/>
      <c r="C404" s="758"/>
      <c r="D404" s="759" t="s">
        <v>1143</v>
      </c>
      <c r="E404" s="760" t="s">
        <v>1043</v>
      </c>
      <c r="F404" s="761" t="s">
        <v>1529</v>
      </c>
      <c r="G404" s="758"/>
      <c r="H404" s="760" t="s">
        <v>1043</v>
      </c>
      <c r="I404" s="758"/>
      <c r="J404" s="758"/>
      <c r="K404" s="758"/>
      <c r="L404" s="758"/>
      <c r="M404" s="762"/>
      <c r="N404" s="763"/>
      <c r="O404" s="764"/>
      <c r="P404" s="764"/>
      <c r="Q404" s="764"/>
      <c r="R404" s="764"/>
      <c r="S404" s="764"/>
      <c r="T404" s="764"/>
      <c r="U404" s="764"/>
      <c r="V404" s="764"/>
      <c r="W404" s="764"/>
      <c r="X404" s="765"/>
      <c r="AT404" s="766" t="s">
        <v>1143</v>
      </c>
      <c r="AU404" s="766" t="s">
        <v>795</v>
      </c>
      <c r="AV404" s="756" t="s">
        <v>791</v>
      </c>
      <c r="AW404" s="756" t="s">
        <v>1145</v>
      </c>
      <c r="AX404" s="756" t="s">
        <v>788</v>
      </c>
      <c r="AY404" s="766" t="s">
        <v>1063</v>
      </c>
    </row>
    <row r="405" spans="1:65" s="767" customFormat="1" ht="11.25">
      <c r="B405" s="768"/>
      <c r="C405" s="769"/>
      <c r="D405" s="759" t="s">
        <v>1143</v>
      </c>
      <c r="E405" s="770" t="s">
        <v>1043</v>
      </c>
      <c r="F405" s="771" t="s">
        <v>791</v>
      </c>
      <c r="G405" s="769"/>
      <c r="H405" s="772">
        <v>1</v>
      </c>
      <c r="I405" s="769"/>
      <c r="J405" s="769"/>
      <c r="K405" s="769"/>
      <c r="L405" s="769"/>
      <c r="M405" s="773"/>
      <c r="N405" s="774"/>
      <c r="O405" s="775"/>
      <c r="P405" s="775"/>
      <c r="Q405" s="775"/>
      <c r="R405" s="775"/>
      <c r="S405" s="775"/>
      <c r="T405" s="775"/>
      <c r="U405" s="775"/>
      <c r="V405" s="775"/>
      <c r="W405" s="775"/>
      <c r="X405" s="776"/>
      <c r="AT405" s="777" t="s">
        <v>1143</v>
      </c>
      <c r="AU405" s="777" t="s">
        <v>795</v>
      </c>
      <c r="AV405" s="767" t="s">
        <v>795</v>
      </c>
      <c r="AW405" s="767" t="s">
        <v>1145</v>
      </c>
      <c r="AX405" s="767" t="s">
        <v>788</v>
      </c>
      <c r="AY405" s="777" t="s">
        <v>1063</v>
      </c>
    </row>
    <row r="406" spans="1:65" s="778" customFormat="1" ht="11.25">
      <c r="B406" s="779"/>
      <c r="C406" s="780"/>
      <c r="D406" s="759" t="s">
        <v>1143</v>
      </c>
      <c r="E406" s="781" t="s">
        <v>1043</v>
      </c>
      <c r="F406" s="782" t="s">
        <v>1153</v>
      </c>
      <c r="G406" s="780"/>
      <c r="H406" s="783">
        <v>1</v>
      </c>
      <c r="I406" s="780"/>
      <c r="J406" s="780"/>
      <c r="K406" s="780"/>
      <c r="L406" s="780"/>
      <c r="M406" s="784"/>
      <c r="N406" s="785"/>
      <c r="O406" s="786"/>
      <c r="P406" s="786"/>
      <c r="Q406" s="786"/>
      <c r="R406" s="786"/>
      <c r="S406" s="786"/>
      <c r="T406" s="786"/>
      <c r="U406" s="786"/>
      <c r="V406" s="786"/>
      <c r="W406" s="786"/>
      <c r="X406" s="787"/>
      <c r="AT406" s="788" t="s">
        <v>1143</v>
      </c>
      <c r="AU406" s="788" t="s">
        <v>795</v>
      </c>
      <c r="AV406" s="778" t="s">
        <v>1065</v>
      </c>
      <c r="AW406" s="778" t="s">
        <v>1145</v>
      </c>
      <c r="AX406" s="778" t="s">
        <v>791</v>
      </c>
      <c r="AY406" s="788" t="s">
        <v>1063</v>
      </c>
    </row>
    <row r="407" spans="1:65" s="634" customFormat="1" ht="16.5" customHeight="1">
      <c r="A407" s="705"/>
      <c r="B407" s="706"/>
      <c r="C407" s="744" t="s">
        <v>1542</v>
      </c>
      <c r="D407" s="744" t="s">
        <v>29</v>
      </c>
      <c r="E407" s="745" t="s">
        <v>1518</v>
      </c>
      <c r="F407" s="746" t="s">
        <v>1519</v>
      </c>
      <c r="G407" s="747" t="s">
        <v>19</v>
      </c>
      <c r="H407" s="748">
        <v>1</v>
      </c>
      <c r="I407" s="749"/>
      <c r="J407" s="749"/>
      <c r="K407" s="749">
        <f>ROUND(P407*H407,2)</f>
        <v>0</v>
      </c>
      <c r="L407" s="750"/>
      <c r="M407" s="631"/>
      <c r="N407" s="751" t="s">
        <v>1043</v>
      </c>
      <c r="O407" s="752" t="s">
        <v>1129</v>
      </c>
      <c r="P407" s="753">
        <f>I407+J407</f>
        <v>0</v>
      </c>
      <c r="Q407" s="753">
        <f>ROUND(I407*H407,2)</f>
        <v>0</v>
      </c>
      <c r="R407" s="753">
        <f>ROUND(J407*H407,2)</f>
        <v>0</v>
      </c>
      <c r="S407" s="754">
        <v>0.13400000000000001</v>
      </c>
      <c r="T407" s="754">
        <f>S407*H407</f>
        <v>0.13400000000000001</v>
      </c>
      <c r="U407" s="754">
        <v>0</v>
      </c>
      <c r="V407" s="754">
        <f>U407*H407</f>
        <v>0</v>
      </c>
      <c r="W407" s="754">
        <v>0</v>
      </c>
      <c r="X407" s="755">
        <f>W407*H407</f>
        <v>0</v>
      </c>
      <c r="Y407" s="705"/>
      <c r="Z407" s="705"/>
      <c r="AA407" s="705"/>
      <c r="AB407" s="705"/>
      <c r="AC407" s="705"/>
      <c r="AD407" s="705"/>
      <c r="AE407" s="705"/>
      <c r="AR407" s="686" t="s">
        <v>1185</v>
      </c>
      <c r="AT407" s="686" t="s">
        <v>29</v>
      </c>
      <c r="AU407" s="686" t="s">
        <v>795</v>
      </c>
      <c r="AY407" s="629" t="s">
        <v>1063</v>
      </c>
      <c r="BE407" s="687">
        <f>IF(O407="základná",K407,0)</f>
        <v>0</v>
      </c>
      <c r="BF407" s="687">
        <f>IF(O407="znížená",K407,0)</f>
        <v>0</v>
      </c>
      <c r="BG407" s="687">
        <f>IF(O407="zákl. prenesená",K407,0)</f>
        <v>0</v>
      </c>
      <c r="BH407" s="687">
        <f>IF(O407="zníž. prenesená",K407,0)</f>
        <v>0</v>
      </c>
      <c r="BI407" s="687">
        <f>IF(O407="nulová",K407,0)</f>
        <v>0</v>
      </c>
      <c r="BJ407" s="629" t="s">
        <v>795</v>
      </c>
      <c r="BK407" s="687">
        <f>ROUND(P407*H407,2)</f>
        <v>0</v>
      </c>
      <c r="BL407" s="629" t="s">
        <v>1185</v>
      </c>
      <c r="BM407" s="686" t="s">
        <v>1543</v>
      </c>
    </row>
    <row r="408" spans="1:65" s="756" customFormat="1" ht="11.25">
      <c r="B408" s="757"/>
      <c r="C408" s="758"/>
      <c r="D408" s="759" t="s">
        <v>1143</v>
      </c>
      <c r="E408" s="760" t="s">
        <v>1043</v>
      </c>
      <c r="F408" s="761" t="s">
        <v>1544</v>
      </c>
      <c r="G408" s="758"/>
      <c r="H408" s="760" t="s">
        <v>1043</v>
      </c>
      <c r="I408" s="758"/>
      <c r="J408" s="758"/>
      <c r="K408" s="758"/>
      <c r="L408" s="758"/>
      <c r="M408" s="762"/>
      <c r="N408" s="763"/>
      <c r="O408" s="764"/>
      <c r="P408" s="764"/>
      <c r="Q408" s="764"/>
      <c r="R408" s="764"/>
      <c r="S408" s="764"/>
      <c r="T408" s="764"/>
      <c r="U408" s="764"/>
      <c r="V408" s="764"/>
      <c r="W408" s="764"/>
      <c r="X408" s="765"/>
      <c r="AT408" s="766" t="s">
        <v>1143</v>
      </c>
      <c r="AU408" s="766" t="s">
        <v>795</v>
      </c>
      <c r="AV408" s="756" t="s">
        <v>791</v>
      </c>
      <c r="AW408" s="756" t="s">
        <v>1145</v>
      </c>
      <c r="AX408" s="756" t="s">
        <v>788</v>
      </c>
      <c r="AY408" s="766" t="s">
        <v>1063</v>
      </c>
    </row>
    <row r="409" spans="1:65" s="767" customFormat="1" ht="11.25">
      <c r="B409" s="768"/>
      <c r="C409" s="769"/>
      <c r="D409" s="759" t="s">
        <v>1143</v>
      </c>
      <c r="E409" s="770" t="s">
        <v>1043</v>
      </c>
      <c r="F409" s="771" t="s">
        <v>791</v>
      </c>
      <c r="G409" s="769"/>
      <c r="H409" s="772">
        <v>1</v>
      </c>
      <c r="I409" s="769"/>
      <c r="J409" s="769"/>
      <c r="K409" s="769"/>
      <c r="L409" s="769"/>
      <c r="M409" s="773"/>
      <c r="N409" s="774"/>
      <c r="O409" s="775"/>
      <c r="P409" s="775"/>
      <c r="Q409" s="775"/>
      <c r="R409" s="775"/>
      <c r="S409" s="775"/>
      <c r="T409" s="775"/>
      <c r="U409" s="775"/>
      <c r="V409" s="775"/>
      <c r="W409" s="775"/>
      <c r="X409" s="776"/>
      <c r="AT409" s="777" t="s">
        <v>1143</v>
      </c>
      <c r="AU409" s="777" t="s">
        <v>795</v>
      </c>
      <c r="AV409" s="767" t="s">
        <v>795</v>
      </c>
      <c r="AW409" s="767" t="s">
        <v>1145</v>
      </c>
      <c r="AX409" s="767" t="s">
        <v>788</v>
      </c>
      <c r="AY409" s="777" t="s">
        <v>1063</v>
      </c>
    </row>
    <row r="410" spans="1:65" s="778" customFormat="1" ht="11.25">
      <c r="B410" s="779"/>
      <c r="C410" s="780"/>
      <c r="D410" s="759" t="s">
        <v>1143</v>
      </c>
      <c r="E410" s="781" t="s">
        <v>1043</v>
      </c>
      <c r="F410" s="782" t="s">
        <v>1153</v>
      </c>
      <c r="G410" s="780"/>
      <c r="H410" s="783">
        <v>1</v>
      </c>
      <c r="I410" s="780"/>
      <c r="J410" s="780"/>
      <c r="K410" s="780"/>
      <c r="L410" s="780"/>
      <c r="M410" s="784"/>
      <c r="N410" s="785"/>
      <c r="O410" s="786"/>
      <c r="P410" s="786"/>
      <c r="Q410" s="786"/>
      <c r="R410" s="786"/>
      <c r="S410" s="786"/>
      <c r="T410" s="786"/>
      <c r="U410" s="786"/>
      <c r="V410" s="786"/>
      <c r="W410" s="786"/>
      <c r="X410" s="787"/>
      <c r="AT410" s="788" t="s">
        <v>1143</v>
      </c>
      <c r="AU410" s="788" t="s">
        <v>795</v>
      </c>
      <c r="AV410" s="778" t="s">
        <v>1065</v>
      </c>
      <c r="AW410" s="778" t="s">
        <v>1145</v>
      </c>
      <c r="AX410" s="778" t="s">
        <v>791</v>
      </c>
      <c r="AY410" s="788" t="s">
        <v>1063</v>
      </c>
    </row>
    <row r="411" spans="1:65" s="634" customFormat="1" ht="21.75" customHeight="1">
      <c r="A411" s="705"/>
      <c r="B411" s="706"/>
      <c r="C411" s="789" t="s">
        <v>1545</v>
      </c>
      <c r="D411" s="789" t="s">
        <v>83</v>
      </c>
      <c r="E411" s="790" t="s">
        <v>1522</v>
      </c>
      <c r="F411" s="791" t="s">
        <v>1523</v>
      </c>
      <c r="G411" s="792" t="s">
        <v>19</v>
      </c>
      <c r="H411" s="793">
        <v>1</v>
      </c>
      <c r="I411" s="794"/>
      <c r="J411" s="795"/>
      <c r="K411" s="794">
        <f>ROUND(P411*H411,2)</f>
        <v>0</v>
      </c>
      <c r="L411" s="795"/>
      <c r="M411" s="701"/>
      <c r="N411" s="796" t="s">
        <v>1043</v>
      </c>
      <c r="O411" s="752" t="s">
        <v>1129</v>
      </c>
      <c r="P411" s="753">
        <f>I411+J411</f>
        <v>0</v>
      </c>
      <c r="Q411" s="753">
        <f>ROUND(I411*H411,2)</f>
        <v>0</v>
      </c>
      <c r="R411" s="753">
        <f>ROUND(J411*H411,2)</f>
        <v>0</v>
      </c>
      <c r="S411" s="754">
        <v>0</v>
      </c>
      <c r="T411" s="754">
        <f>S411*H411</f>
        <v>0</v>
      </c>
      <c r="U411" s="754">
        <v>2.5000000000000001E-3</v>
      </c>
      <c r="V411" s="754">
        <f>U411*H411</f>
        <v>2.5000000000000001E-3</v>
      </c>
      <c r="W411" s="754">
        <v>0</v>
      </c>
      <c r="X411" s="755">
        <f>W411*H411</f>
        <v>0</v>
      </c>
      <c r="Y411" s="705"/>
      <c r="Z411" s="705"/>
      <c r="AA411" s="705"/>
      <c r="AB411" s="705"/>
      <c r="AC411" s="705"/>
      <c r="AD411" s="705"/>
      <c r="AE411" s="705"/>
      <c r="AR411" s="686" t="s">
        <v>1190</v>
      </c>
      <c r="AT411" s="686" t="s">
        <v>83</v>
      </c>
      <c r="AU411" s="686" t="s">
        <v>795</v>
      </c>
      <c r="AY411" s="629" t="s">
        <v>1063</v>
      </c>
      <c r="BE411" s="687">
        <f>IF(O411="základná",K411,0)</f>
        <v>0</v>
      </c>
      <c r="BF411" s="687">
        <f>IF(O411="znížená",K411,0)</f>
        <v>0</v>
      </c>
      <c r="BG411" s="687">
        <f>IF(O411="zákl. prenesená",K411,0)</f>
        <v>0</v>
      </c>
      <c r="BH411" s="687">
        <f>IF(O411="zníž. prenesená",K411,0)</f>
        <v>0</v>
      </c>
      <c r="BI411" s="687">
        <f>IF(O411="nulová",K411,0)</f>
        <v>0</v>
      </c>
      <c r="BJ411" s="629" t="s">
        <v>795</v>
      </c>
      <c r="BK411" s="687">
        <f>ROUND(P411*H411,2)</f>
        <v>0</v>
      </c>
      <c r="BL411" s="629" t="s">
        <v>1185</v>
      </c>
      <c r="BM411" s="686" t="s">
        <v>1546</v>
      </c>
    </row>
    <row r="412" spans="1:65" s="756" customFormat="1" ht="11.25">
      <c r="B412" s="757"/>
      <c r="C412" s="758"/>
      <c r="D412" s="759" t="s">
        <v>1143</v>
      </c>
      <c r="E412" s="760" t="s">
        <v>1043</v>
      </c>
      <c r="F412" s="761" t="s">
        <v>1544</v>
      </c>
      <c r="G412" s="758"/>
      <c r="H412" s="760" t="s">
        <v>1043</v>
      </c>
      <c r="I412" s="758"/>
      <c r="J412" s="758"/>
      <c r="K412" s="758"/>
      <c r="L412" s="758"/>
      <c r="M412" s="762"/>
      <c r="N412" s="763"/>
      <c r="O412" s="764"/>
      <c r="P412" s="764"/>
      <c r="Q412" s="764"/>
      <c r="R412" s="764"/>
      <c r="S412" s="764"/>
      <c r="T412" s="764"/>
      <c r="U412" s="764"/>
      <c r="V412" s="764"/>
      <c r="W412" s="764"/>
      <c r="X412" s="765"/>
      <c r="AT412" s="766" t="s">
        <v>1143</v>
      </c>
      <c r="AU412" s="766" t="s">
        <v>795</v>
      </c>
      <c r="AV412" s="756" t="s">
        <v>791</v>
      </c>
      <c r="AW412" s="756" t="s">
        <v>1145</v>
      </c>
      <c r="AX412" s="756" t="s">
        <v>788</v>
      </c>
      <c r="AY412" s="766" t="s">
        <v>1063</v>
      </c>
    </row>
    <row r="413" spans="1:65" s="767" customFormat="1" ht="11.25">
      <c r="B413" s="768"/>
      <c r="C413" s="769"/>
      <c r="D413" s="759" t="s">
        <v>1143</v>
      </c>
      <c r="E413" s="770" t="s">
        <v>1043</v>
      </c>
      <c r="F413" s="771" t="s">
        <v>791</v>
      </c>
      <c r="G413" s="769"/>
      <c r="H413" s="772">
        <v>1</v>
      </c>
      <c r="I413" s="769"/>
      <c r="J413" s="769"/>
      <c r="K413" s="769"/>
      <c r="L413" s="769"/>
      <c r="M413" s="773"/>
      <c r="N413" s="774"/>
      <c r="O413" s="775"/>
      <c r="P413" s="775"/>
      <c r="Q413" s="775"/>
      <c r="R413" s="775"/>
      <c r="S413" s="775"/>
      <c r="T413" s="775"/>
      <c r="U413" s="775"/>
      <c r="V413" s="775"/>
      <c r="W413" s="775"/>
      <c r="X413" s="776"/>
      <c r="AT413" s="777" t="s">
        <v>1143</v>
      </c>
      <c r="AU413" s="777" t="s">
        <v>795</v>
      </c>
      <c r="AV413" s="767" t="s">
        <v>795</v>
      </c>
      <c r="AW413" s="767" t="s">
        <v>1145</v>
      </c>
      <c r="AX413" s="767" t="s">
        <v>788</v>
      </c>
      <c r="AY413" s="777" t="s">
        <v>1063</v>
      </c>
    </row>
    <row r="414" spans="1:65" s="778" customFormat="1" ht="11.25">
      <c r="B414" s="779"/>
      <c r="C414" s="780"/>
      <c r="D414" s="759" t="s">
        <v>1143</v>
      </c>
      <c r="E414" s="781" t="s">
        <v>1043</v>
      </c>
      <c r="F414" s="782" t="s">
        <v>1153</v>
      </c>
      <c r="G414" s="780"/>
      <c r="H414" s="783">
        <v>1</v>
      </c>
      <c r="I414" s="780"/>
      <c r="J414" s="780"/>
      <c r="K414" s="780"/>
      <c r="L414" s="780"/>
      <c r="M414" s="784"/>
      <c r="N414" s="785"/>
      <c r="O414" s="786"/>
      <c r="P414" s="786"/>
      <c r="Q414" s="786"/>
      <c r="R414" s="786"/>
      <c r="S414" s="786"/>
      <c r="T414" s="786"/>
      <c r="U414" s="786"/>
      <c r="V414" s="786"/>
      <c r="W414" s="786"/>
      <c r="X414" s="787"/>
      <c r="AT414" s="788" t="s">
        <v>1143</v>
      </c>
      <c r="AU414" s="788" t="s">
        <v>795</v>
      </c>
      <c r="AV414" s="778" t="s">
        <v>1065</v>
      </c>
      <c r="AW414" s="778" t="s">
        <v>1145</v>
      </c>
      <c r="AX414" s="778" t="s">
        <v>791</v>
      </c>
      <c r="AY414" s="788" t="s">
        <v>1063</v>
      </c>
    </row>
    <row r="415" spans="1:65" s="634" customFormat="1" ht="21.75" customHeight="1">
      <c r="A415" s="705"/>
      <c r="B415" s="706"/>
      <c r="C415" s="744" t="s">
        <v>1547</v>
      </c>
      <c r="D415" s="744" t="s">
        <v>29</v>
      </c>
      <c r="E415" s="745" t="s">
        <v>1548</v>
      </c>
      <c r="F415" s="746" t="s">
        <v>1549</v>
      </c>
      <c r="G415" s="747" t="s">
        <v>19</v>
      </c>
      <c r="H415" s="748">
        <v>2</v>
      </c>
      <c r="I415" s="749"/>
      <c r="J415" s="749"/>
      <c r="K415" s="749">
        <f>ROUND(P415*H415,2)</f>
        <v>0</v>
      </c>
      <c r="L415" s="750"/>
      <c r="M415" s="631"/>
      <c r="N415" s="751" t="s">
        <v>1043</v>
      </c>
      <c r="O415" s="752" t="s">
        <v>1129</v>
      </c>
      <c r="P415" s="753">
        <f>I415+J415</f>
        <v>0</v>
      </c>
      <c r="Q415" s="753">
        <f>ROUND(I415*H415,2)</f>
        <v>0</v>
      </c>
      <c r="R415" s="753">
        <f>ROUND(J415*H415,2)</f>
        <v>0</v>
      </c>
      <c r="S415" s="754">
        <v>2.0529999999999999</v>
      </c>
      <c r="T415" s="754">
        <f>S415*H415</f>
        <v>4.1059999999999999</v>
      </c>
      <c r="U415" s="754">
        <v>0</v>
      </c>
      <c r="V415" s="754">
        <f>U415*H415</f>
        <v>0</v>
      </c>
      <c r="W415" s="754">
        <v>0</v>
      </c>
      <c r="X415" s="755">
        <f>W415*H415</f>
        <v>0</v>
      </c>
      <c r="Y415" s="705"/>
      <c r="Z415" s="705"/>
      <c r="AA415" s="705"/>
      <c r="AB415" s="705"/>
      <c r="AC415" s="705"/>
      <c r="AD415" s="705"/>
      <c r="AE415" s="705"/>
      <c r="AR415" s="686" t="s">
        <v>1185</v>
      </c>
      <c r="AT415" s="686" t="s">
        <v>29</v>
      </c>
      <c r="AU415" s="686" t="s">
        <v>795</v>
      </c>
      <c r="AY415" s="629" t="s">
        <v>1063</v>
      </c>
      <c r="BE415" s="687">
        <f>IF(O415="základná",K415,0)</f>
        <v>0</v>
      </c>
      <c r="BF415" s="687">
        <f>IF(O415="znížená",K415,0)</f>
        <v>0</v>
      </c>
      <c r="BG415" s="687">
        <f>IF(O415="zákl. prenesená",K415,0)</f>
        <v>0</v>
      </c>
      <c r="BH415" s="687">
        <f>IF(O415="zníž. prenesená",K415,0)</f>
        <v>0</v>
      </c>
      <c r="BI415" s="687">
        <f>IF(O415="nulová",K415,0)</f>
        <v>0</v>
      </c>
      <c r="BJ415" s="629" t="s">
        <v>795</v>
      </c>
      <c r="BK415" s="687">
        <f>ROUND(P415*H415,2)</f>
        <v>0</v>
      </c>
      <c r="BL415" s="629" t="s">
        <v>1185</v>
      </c>
      <c r="BM415" s="686" t="s">
        <v>1550</v>
      </c>
    </row>
    <row r="416" spans="1:65" s="756" customFormat="1" ht="11.25">
      <c r="B416" s="757"/>
      <c r="C416" s="758"/>
      <c r="D416" s="759" t="s">
        <v>1143</v>
      </c>
      <c r="E416" s="760" t="s">
        <v>1043</v>
      </c>
      <c r="F416" s="761" t="s">
        <v>1551</v>
      </c>
      <c r="G416" s="758"/>
      <c r="H416" s="760" t="s">
        <v>1043</v>
      </c>
      <c r="I416" s="758"/>
      <c r="J416" s="758"/>
      <c r="K416" s="758"/>
      <c r="L416" s="758"/>
      <c r="M416" s="762"/>
      <c r="N416" s="763"/>
      <c r="O416" s="764"/>
      <c r="P416" s="764"/>
      <c r="Q416" s="764"/>
      <c r="R416" s="764"/>
      <c r="S416" s="764"/>
      <c r="T416" s="764"/>
      <c r="U416" s="764"/>
      <c r="V416" s="764"/>
      <c r="W416" s="764"/>
      <c r="X416" s="765"/>
      <c r="AT416" s="766" t="s">
        <v>1143</v>
      </c>
      <c r="AU416" s="766" t="s">
        <v>795</v>
      </c>
      <c r="AV416" s="756" t="s">
        <v>791</v>
      </c>
      <c r="AW416" s="756" t="s">
        <v>1145</v>
      </c>
      <c r="AX416" s="756" t="s">
        <v>788</v>
      </c>
      <c r="AY416" s="766" t="s">
        <v>1063</v>
      </c>
    </row>
    <row r="417" spans="1:65" s="767" customFormat="1" ht="11.25">
      <c r="B417" s="768"/>
      <c r="C417" s="769"/>
      <c r="D417" s="759" t="s">
        <v>1143</v>
      </c>
      <c r="E417" s="770" t="s">
        <v>1043</v>
      </c>
      <c r="F417" s="771" t="s">
        <v>795</v>
      </c>
      <c r="G417" s="769"/>
      <c r="H417" s="772">
        <v>2</v>
      </c>
      <c r="I417" s="769"/>
      <c r="J417" s="769"/>
      <c r="K417" s="769"/>
      <c r="L417" s="769"/>
      <c r="M417" s="773"/>
      <c r="N417" s="774"/>
      <c r="O417" s="775"/>
      <c r="P417" s="775"/>
      <c r="Q417" s="775"/>
      <c r="R417" s="775"/>
      <c r="S417" s="775"/>
      <c r="T417" s="775"/>
      <c r="U417" s="775"/>
      <c r="V417" s="775"/>
      <c r="W417" s="775"/>
      <c r="X417" s="776"/>
      <c r="AT417" s="777" t="s">
        <v>1143</v>
      </c>
      <c r="AU417" s="777" t="s">
        <v>795</v>
      </c>
      <c r="AV417" s="767" t="s">
        <v>795</v>
      </c>
      <c r="AW417" s="767" t="s">
        <v>1145</v>
      </c>
      <c r="AX417" s="767" t="s">
        <v>788</v>
      </c>
      <c r="AY417" s="777" t="s">
        <v>1063</v>
      </c>
    </row>
    <row r="418" spans="1:65" s="778" customFormat="1" ht="11.25">
      <c r="B418" s="779"/>
      <c r="C418" s="780"/>
      <c r="D418" s="759" t="s">
        <v>1143</v>
      </c>
      <c r="E418" s="781" t="s">
        <v>1043</v>
      </c>
      <c r="F418" s="782" t="s">
        <v>1153</v>
      </c>
      <c r="G418" s="780"/>
      <c r="H418" s="783">
        <v>2</v>
      </c>
      <c r="I418" s="780"/>
      <c r="J418" s="780"/>
      <c r="K418" s="780"/>
      <c r="L418" s="780"/>
      <c r="M418" s="784"/>
      <c r="N418" s="785"/>
      <c r="O418" s="786"/>
      <c r="P418" s="786"/>
      <c r="Q418" s="786"/>
      <c r="R418" s="786"/>
      <c r="S418" s="786"/>
      <c r="T418" s="786"/>
      <c r="U418" s="786"/>
      <c r="V418" s="786"/>
      <c r="W418" s="786"/>
      <c r="X418" s="787"/>
      <c r="AT418" s="788" t="s">
        <v>1143</v>
      </c>
      <c r="AU418" s="788" t="s">
        <v>795</v>
      </c>
      <c r="AV418" s="778" t="s">
        <v>1065</v>
      </c>
      <c r="AW418" s="778" t="s">
        <v>1145</v>
      </c>
      <c r="AX418" s="778" t="s">
        <v>791</v>
      </c>
      <c r="AY418" s="788" t="s">
        <v>1063</v>
      </c>
    </row>
    <row r="419" spans="1:65" s="634" customFormat="1" ht="21.75" customHeight="1">
      <c r="A419" s="705"/>
      <c r="B419" s="706"/>
      <c r="C419" s="789" t="s">
        <v>1552</v>
      </c>
      <c r="D419" s="789" t="s">
        <v>83</v>
      </c>
      <c r="E419" s="790" t="s">
        <v>1553</v>
      </c>
      <c r="F419" s="791" t="s">
        <v>1554</v>
      </c>
      <c r="G419" s="792" t="s">
        <v>19</v>
      </c>
      <c r="H419" s="793">
        <v>2</v>
      </c>
      <c r="I419" s="794"/>
      <c r="J419" s="795"/>
      <c r="K419" s="794">
        <f>ROUND(P419*H419,2)</f>
        <v>0</v>
      </c>
      <c r="L419" s="795"/>
      <c r="M419" s="701"/>
      <c r="N419" s="796" t="s">
        <v>1043</v>
      </c>
      <c r="O419" s="752" t="s">
        <v>1129</v>
      </c>
      <c r="P419" s="753">
        <f>I419+J419</f>
        <v>0</v>
      </c>
      <c r="Q419" s="753">
        <f>ROUND(I419*H419,2)</f>
        <v>0</v>
      </c>
      <c r="R419" s="753">
        <f>ROUND(J419*H419,2)</f>
        <v>0</v>
      </c>
      <c r="S419" s="754">
        <v>0</v>
      </c>
      <c r="T419" s="754">
        <f>S419*H419</f>
        <v>0</v>
      </c>
      <c r="U419" s="754">
        <v>6.0000000000000001E-3</v>
      </c>
      <c r="V419" s="754">
        <f>U419*H419</f>
        <v>1.2E-2</v>
      </c>
      <c r="W419" s="754">
        <v>0</v>
      </c>
      <c r="X419" s="755">
        <f>W419*H419</f>
        <v>0</v>
      </c>
      <c r="Y419" s="705"/>
      <c r="Z419" s="705"/>
      <c r="AA419" s="705"/>
      <c r="AB419" s="705"/>
      <c r="AC419" s="705"/>
      <c r="AD419" s="705"/>
      <c r="AE419" s="705"/>
      <c r="AR419" s="686" t="s">
        <v>1190</v>
      </c>
      <c r="AT419" s="686" t="s">
        <v>83</v>
      </c>
      <c r="AU419" s="686" t="s">
        <v>795</v>
      </c>
      <c r="AY419" s="629" t="s">
        <v>1063</v>
      </c>
      <c r="BE419" s="687">
        <f>IF(O419="základná",K419,0)</f>
        <v>0</v>
      </c>
      <c r="BF419" s="687">
        <f>IF(O419="znížená",K419,0)</f>
        <v>0</v>
      </c>
      <c r="BG419" s="687">
        <f>IF(O419="zákl. prenesená",K419,0)</f>
        <v>0</v>
      </c>
      <c r="BH419" s="687">
        <f>IF(O419="zníž. prenesená",K419,0)</f>
        <v>0</v>
      </c>
      <c r="BI419" s="687">
        <f>IF(O419="nulová",K419,0)</f>
        <v>0</v>
      </c>
      <c r="BJ419" s="629" t="s">
        <v>795</v>
      </c>
      <c r="BK419" s="687">
        <f>ROUND(P419*H419,2)</f>
        <v>0</v>
      </c>
      <c r="BL419" s="629" t="s">
        <v>1185</v>
      </c>
      <c r="BM419" s="686" t="s">
        <v>1555</v>
      </c>
    </row>
    <row r="420" spans="1:65" s="756" customFormat="1" ht="11.25">
      <c r="B420" s="757"/>
      <c r="C420" s="758"/>
      <c r="D420" s="759" t="s">
        <v>1143</v>
      </c>
      <c r="E420" s="760" t="s">
        <v>1043</v>
      </c>
      <c r="F420" s="761" t="s">
        <v>1551</v>
      </c>
      <c r="G420" s="758"/>
      <c r="H420" s="760" t="s">
        <v>1043</v>
      </c>
      <c r="I420" s="758"/>
      <c r="J420" s="758"/>
      <c r="K420" s="758"/>
      <c r="L420" s="758"/>
      <c r="M420" s="762"/>
      <c r="N420" s="763"/>
      <c r="O420" s="764"/>
      <c r="P420" s="764"/>
      <c r="Q420" s="764"/>
      <c r="R420" s="764"/>
      <c r="S420" s="764"/>
      <c r="T420" s="764"/>
      <c r="U420" s="764"/>
      <c r="V420" s="764"/>
      <c r="W420" s="764"/>
      <c r="X420" s="765"/>
      <c r="AT420" s="766" t="s">
        <v>1143</v>
      </c>
      <c r="AU420" s="766" t="s">
        <v>795</v>
      </c>
      <c r="AV420" s="756" t="s">
        <v>791</v>
      </c>
      <c r="AW420" s="756" t="s">
        <v>1145</v>
      </c>
      <c r="AX420" s="756" t="s">
        <v>788</v>
      </c>
      <c r="AY420" s="766" t="s">
        <v>1063</v>
      </c>
    </row>
    <row r="421" spans="1:65" s="767" customFormat="1" ht="11.25">
      <c r="B421" s="768"/>
      <c r="C421" s="769"/>
      <c r="D421" s="759" t="s">
        <v>1143</v>
      </c>
      <c r="E421" s="770" t="s">
        <v>1043</v>
      </c>
      <c r="F421" s="771" t="s">
        <v>795</v>
      </c>
      <c r="G421" s="769"/>
      <c r="H421" s="772">
        <v>2</v>
      </c>
      <c r="I421" s="769"/>
      <c r="J421" s="769"/>
      <c r="K421" s="769"/>
      <c r="L421" s="769"/>
      <c r="M421" s="773"/>
      <c r="N421" s="774"/>
      <c r="O421" s="775"/>
      <c r="P421" s="775"/>
      <c r="Q421" s="775"/>
      <c r="R421" s="775"/>
      <c r="S421" s="775"/>
      <c r="T421" s="775"/>
      <c r="U421" s="775"/>
      <c r="V421" s="775"/>
      <c r="W421" s="775"/>
      <c r="X421" s="776"/>
      <c r="AT421" s="777" t="s">
        <v>1143</v>
      </c>
      <c r="AU421" s="777" t="s">
        <v>795</v>
      </c>
      <c r="AV421" s="767" t="s">
        <v>795</v>
      </c>
      <c r="AW421" s="767" t="s">
        <v>1145</v>
      </c>
      <c r="AX421" s="767" t="s">
        <v>788</v>
      </c>
      <c r="AY421" s="777" t="s">
        <v>1063</v>
      </c>
    </row>
    <row r="422" spans="1:65" s="778" customFormat="1" ht="11.25">
      <c r="B422" s="779"/>
      <c r="C422" s="780"/>
      <c r="D422" s="759" t="s">
        <v>1143</v>
      </c>
      <c r="E422" s="781" t="s">
        <v>1043</v>
      </c>
      <c r="F422" s="782" t="s">
        <v>1153</v>
      </c>
      <c r="G422" s="780"/>
      <c r="H422" s="783">
        <v>2</v>
      </c>
      <c r="I422" s="780"/>
      <c r="J422" s="780"/>
      <c r="K422" s="780"/>
      <c r="L422" s="780"/>
      <c r="M422" s="784"/>
      <c r="N422" s="785"/>
      <c r="O422" s="786"/>
      <c r="P422" s="786"/>
      <c r="Q422" s="786"/>
      <c r="R422" s="786"/>
      <c r="S422" s="786"/>
      <c r="T422" s="786"/>
      <c r="U422" s="786"/>
      <c r="V422" s="786"/>
      <c r="W422" s="786"/>
      <c r="X422" s="787"/>
      <c r="AT422" s="788" t="s">
        <v>1143</v>
      </c>
      <c r="AU422" s="788" t="s">
        <v>795</v>
      </c>
      <c r="AV422" s="778" t="s">
        <v>1065</v>
      </c>
      <c r="AW422" s="778" t="s">
        <v>1145</v>
      </c>
      <c r="AX422" s="778" t="s">
        <v>791</v>
      </c>
      <c r="AY422" s="788" t="s">
        <v>1063</v>
      </c>
    </row>
    <row r="423" spans="1:65" s="634" customFormat="1" ht="16.5" customHeight="1">
      <c r="A423" s="705"/>
      <c r="B423" s="706"/>
      <c r="C423" s="744" t="s">
        <v>1556</v>
      </c>
      <c r="D423" s="744" t="s">
        <v>29</v>
      </c>
      <c r="E423" s="745" t="s">
        <v>1557</v>
      </c>
      <c r="F423" s="746" t="s">
        <v>1558</v>
      </c>
      <c r="G423" s="747" t="s">
        <v>19</v>
      </c>
      <c r="H423" s="748">
        <v>2</v>
      </c>
      <c r="I423" s="749"/>
      <c r="J423" s="749"/>
      <c r="K423" s="749">
        <f>ROUND(P423*H423,2)</f>
        <v>0</v>
      </c>
      <c r="L423" s="750"/>
      <c r="M423" s="631"/>
      <c r="N423" s="751" t="s">
        <v>1043</v>
      </c>
      <c r="O423" s="752" t="s">
        <v>1129</v>
      </c>
      <c r="P423" s="753">
        <f>I423+J423</f>
        <v>0</v>
      </c>
      <c r="Q423" s="753">
        <f>ROUND(I423*H423,2)</f>
        <v>0</v>
      </c>
      <c r="R423" s="753">
        <f>ROUND(J423*H423,2)</f>
        <v>0</v>
      </c>
      <c r="S423" s="754">
        <v>0.26100000000000001</v>
      </c>
      <c r="T423" s="754">
        <f>S423*H423</f>
        <v>0.52200000000000002</v>
      </c>
      <c r="U423" s="754">
        <v>0</v>
      </c>
      <c r="V423" s="754">
        <f>U423*H423</f>
        <v>0</v>
      </c>
      <c r="W423" s="754">
        <v>0</v>
      </c>
      <c r="X423" s="755">
        <f>W423*H423</f>
        <v>0</v>
      </c>
      <c r="Y423" s="705"/>
      <c r="Z423" s="705"/>
      <c r="AA423" s="705"/>
      <c r="AB423" s="705"/>
      <c r="AC423" s="705"/>
      <c r="AD423" s="705"/>
      <c r="AE423" s="705"/>
      <c r="AR423" s="686" t="s">
        <v>1185</v>
      </c>
      <c r="AT423" s="686" t="s">
        <v>29</v>
      </c>
      <c r="AU423" s="686" t="s">
        <v>795</v>
      </c>
      <c r="AY423" s="629" t="s">
        <v>1063</v>
      </c>
      <c r="BE423" s="687">
        <f>IF(O423="základná",K423,0)</f>
        <v>0</v>
      </c>
      <c r="BF423" s="687">
        <f>IF(O423="znížená",K423,0)</f>
        <v>0</v>
      </c>
      <c r="BG423" s="687">
        <f>IF(O423="zákl. prenesená",K423,0)</f>
        <v>0</v>
      </c>
      <c r="BH423" s="687">
        <f>IF(O423="zníž. prenesená",K423,0)</f>
        <v>0</v>
      </c>
      <c r="BI423" s="687">
        <f>IF(O423="nulová",K423,0)</f>
        <v>0</v>
      </c>
      <c r="BJ423" s="629" t="s">
        <v>795</v>
      </c>
      <c r="BK423" s="687">
        <f>ROUND(P423*H423,2)</f>
        <v>0</v>
      </c>
      <c r="BL423" s="629" t="s">
        <v>1185</v>
      </c>
      <c r="BM423" s="686" t="s">
        <v>1559</v>
      </c>
    </row>
    <row r="424" spans="1:65" s="756" customFormat="1" ht="11.25">
      <c r="B424" s="757"/>
      <c r="C424" s="758"/>
      <c r="D424" s="759" t="s">
        <v>1143</v>
      </c>
      <c r="E424" s="760" t="s">
        <v>1043</v>
      </c>
      <c r="F424" s="761" t="s">
        <v>1551</v>
      </c>
      <c r="G424" s="758"/>
      <c r="H424" s="760" t="s">
        <v>1043</v>
      </c>
      <c r="I424" s="758"/>
      <c r="J424" s="758"/>
      <c r="K424" s="758"/>
      <c r="L424" s="758"/>
      <c r="M424" s="762"/>
      <c r="N424" s="763"/>
      <c r="O424" s="764"/>
      <c r="P424" s="764"/>
      <c r="Q424" s="764"/>
      <c r="R424" s="764"/>
      <c r="S424" s="764"/>
      <c r="T424" s="764"/>
      <c r="U424" s="764"/>
      <c r="V424" s="764"/>
      <c r="W424" s="764"/>
      <c r="X424" s="765"/>
      <c r="AT424" s="766" t="s">
        <v>1143</v>
      </c>
      <c r="AU424" s="766" t="s">
        <v>795</v>
      </c>
      <c r="AV424" s="756" t="s">
        <v>791</v>
      </c>
      <c r="AW424" s="756" t="s">
        <v>1145</v>
      </c>
      <c r="AX424" s="756" t="s">
        <v>788</v>
      </c>
      <c r="AY424" s="766" t="s">
        <v>1063</v>
      </c>
    </row>
    <row r="425" spans="1:65" s="767" customFormat="1" ht="11.25">
      <c r="B425" s="768"/>
      <c r="C425" s="769"/>
      <c r="D425" s="759" t="s">
        <v>1143</v>
      </c>
      <c r="E425" s="770" t="s">
        <v>1043</v>
      </c>
      <c r="F425" s="771" t="s">
        <v>795</v>
      </c>
      <c r="G425" s="769"/>
      <c r="H425" s="772">
        <v>2</v>
      </c>
      <c r="I425" s="769"/>
      <c r="J425" s="769"/>
      <c r="K425" s="769"/>
      <c r="L425" s="769"/>
      <c r="M425" s="773"/>
      <c r="N425" s="774"/>
      <c r="O425" s="775"/>
      <c r="P425" s="775"/>
      <c r="Q425" s="775"/>
      <c r="R425" s="775"/>
      <c r="S425" s="775"/>
      <c r="T425" s="775"/>
      <c r="U425" s="775"/>
      <c r="V425" s="775"/>
      <c r="W425" s="775"/>
      <c r="X425" s="776"/>
      <c r="AT425" s="777" t="s">
        <v>1143</v>
      </c>
      <c r="AU425" s="777" t="s">
        <v>795</v>
      </c>
      <c r="AV425" s="767" t="s">
        <v>795</v>
      </c>
      <c r="AW425" s="767" t="s">
        <v>1145</v>
      </c>
      <c r="AX425" s="767" t="s">
        <v>788</v>
      </c>
      <c r="AY425" s="777" t="s">
        <v>1063</v>
      </c>
    </row>
    <row r="426" spans="1:65" s="778" customFormat="1" ht="11.25">
      <c r="B426" s="779"/>
      <c r="C426" s="780"/>
      <c r="D426" s="759" t="s">
        <v>1143</v>
      </c>
      <c r="E426" s="781" t="s">
        <v>1043</v>
      </c>
      <c r="F426" s="782" t="s">
        <v>1153</v>
      </c>
      <c r="G426" s="780"/>
      <c r="H426" s="783">
        <v>2</v>
      </c>
      <c r="I426" s="780"/>
      <c r="J426" s="780"/>
      <c r="K426" s="780"/>
      <c r="L426" s="780"/>
      <c r="M426" s="784"/>
      <c r="N426" s="785"/>
      <c r="O426" s="786"/>
      <c r="P426" s="786"/>
      <c r="Q426" s="786"/>
      <c r="R426" s="786"/>
      <c r="S426" s="786"/>
      <c r="T426" s="786"/>
      <c r="U426" s="786"/>
      <c r="V426" s="786"/>
      <c r="W426" s="786"/>
      <c r="X426" s="787"/>
      <c r="AT426" s="788" t="s">
        <v>1143</v>
      </c>
      <c r="AU426" s="788" t="s">
        <v>795</v>
      </c>
      <c r="AV426" s="778" t="s">
        <v>1065</v>
      </c>
      <c r="AW426" s="778" t="s">
        <v>1145</v>
      </c>
      <c r="AX426" s="778" t="s">
        <v>791</v>
      </c>
      <c r="AY426" s="788" t="s">
        <v>1063</v>
      </c>
    </row>
    <row r="427" spans="1:65" s="634" customFormat="1" ht="16.5" customHeight="1">
      <c r="A427" s="705"/>
      <c r="B427" s="706"/>
      <c r="C427" s="789" t="s">
        <v>1560</v>
      </c>
      <c r="D427" s="789" t="s">
        <v>83</v>
      </c>
      <c r="E427" s="790" t="s">
        <v>1561</v>
      </c>
      <c r="F427" s="791" t="s">
        <v>1562</v>
      </c>
      <c r="G427" s="792" t="s">
        <v>19</v>
      </c>
      <c r="H427" s="793">
        <v>2</v>
      </c>
      <c r="I427" s="794"/>
      <c r="J427" s="795"/>
      <c r="K427" s="794">
        <f>ROUND(P427*H427,2)</f>
        <v>0</v>
      </c>
      <c r="L427" s="795"/>
      <c r="M427" s="701"/>
      <c r="N427" s="796" t="s">
        <v>1043</v>
      </c>
      <c r="O427" s="752" t="s">
        <v>1129</v>
      </c>
      <c r="P427" s="753">
        <f>I427+J427</f>
        <v>0</v>
      </c>
      <c r="Q427" s="753">
        <f>ROUND(I427*H427,2)</f>
        <v>0</v>
      </c>
      <c r="R427" s="753">
        <f>ROUND(J427*H427,2)</f>
        <v>0</v>
      </c>
      <c r="S427" s="754">
        <v>0</v>
      </c>
      <c r="T427" s="754">
        <f>S427*H427</f>
        <v>0</v>
      </c>
      <c r="U427" s="754">
        <v>0.02</v>
      </c>
      <c r="V427" s="754">
        <f>U427*H427</f>
        <v>0.04</v>
      </c>
      <c r="W427" s="754">
        <v>0</v>
      </c>
      <c r="X427" s="755">
        <f>W427*H427</f>
        <v>0</v>
      </c>
      <c r="Y427" s="705"/>
      <c r="Z427" s="705"/>
      <c r="AA427" s="705"/>
      <c r="AB427" s="705"/>
      <c r="AC427" s="705"/>
      <c r="AD427" s="705"/>
      <c r="AE427" s="705"/>
      <c r="AR427" s="686" t="s">
        <v>1190</v>
      </c>
      <c r="AT427" s="686" t="s">
        <v>83</v>
      </c>
      <c r="AU427" s="686" t="s">
        <v>795</v>
      </c>
      <c r="AY427" s="629" t="s">
        <v>1063</v>
      </c>
      <c r="BE427" s="687">
        <f>IF(O427="základná",K427,0)</f>
        <v>0</v>
      </c>
      <c r="BF427" s="687">
        <f>IF(O427="znížená",K427,0)</f>
        <v>0</v>
      </c>
      <c r="BG427" s="687">
        <f>IF(O427="zákl. prenesená",K427,0)</f>
        <v>0</v>
      </c>
      <c r="BH427" s="687">
        <f>IF(O427="zníž. prenesená",K427,0)</f>
        <v>0</v>
      </c>
      <c r="BI427" s="687">
        <f>IF(O427="nulová",K427,0)</f>
        <v>0</v>
      </c>
      <c r="BJ427" s="629" t="s">
        <v>795</v>
      </c>
      <c r="BK427" s="687">
        <f>ROUND(P427*H427,2)</f>
        <v>0</v>
      </c>
      <c r="BL427" s="629" t="s">
        <v>1185</v>
      </c>
      <c r="BM427" s="686" t="s">
        <v>1563</v>
      </c>
    </row>
    <row r="428" spans="1:65" s="756" customFormat="1" ht="11.25">
      <c r="B428" s="757"/>
      <c r="C428" s="758"/>
      <c r="D428" s="759" t="s">
        <v>1143</v>
      </c>
      <c r="E428" s="760" t="s">
        <v>1043</v>
      </c>
      <c r="F428" s="761" t="s">
        <v>1551</v>
      </c>
      <c r="G428" s="758"/>
      <c r="H428" s="760" t="s">
        <v>1043</v>
      </c>
      <c r="I428" s="758"/>
      <c r="J428" s="758"/>
      <c r="K428" s="758"/>
      <c r="L428" s="758"/>
      <c r="M428" s="762"/>
      <c r="N428" s="763"/>
      <c r="O428" s="764"/>
      <c r="P428" s="764"/>
      <c r="Q428" s="764"/>
      <c r="R428" s="764"/>
      <c r="S428" s="764"/>
      <c r="T428" s="764"/>
      <c r="U428" s="764"/>
      <c r="V428" s="764"/>
      <c r="W428" s="764"/>
      <c r="X428" s="765"/>
      <c r="AT428" s="766" t="s">
        <v>1143</v>
      </c>
      <c r="AU428" s="766" t="s">
        <v>795</v>
      </c>
      <c r="AV428" s="756" t="s">
        <v>791</v>
      </c>
      <c r="AW428" s="756" t="s">
        <v>1145</v>
      </c>
      <c r="AX428" s="756" t="s">
        <v>788</v>
      </c>
      <c r="AY428" s="766" t="s">
        <v>1063</v>
      </c>
    </row>
    <row r="429" spans="1:65" s="767" customFormat="1" ht="11.25">
      <c r="B429" s="768"/>
      <c r="C429" s="769"/>
      <c r="D429" s="759" t="s">
        <v>1143</v>
      </c>
      <c r="E429" s="770" t="s">
        <v>1043</v>
      </c>
      <c r="F429" s="771" t="s">
        <v>795</v>
      </c>
      <c r="G429" s="769"/>
      <c r="H429" s="772">
        <v>2</v>
      </c>
      <c r="I429" s="769"/>
      <c r="J429" s="769"/>
      <c r="K429" s="769"/>
      <c r="L429" s="769"/>
      <c r="M429" s="773"/>
      <c r="N429" s="774"/>
      <c r="O429" s="775"/>
      <c r="P429" s="775"/>
      <c r="Q429" s="775"/>
      <c r="R429" s="775"/>
      <c r="S429" s="775"/>
      <c r="T429" s="775"/>
      <c r="U429" s="775"/>
      <c r="V429" s="775"/>
      <c r="W429" s="775"/>
      <c r="X429" s="776"/>
      <c r="AT429" s="777" t="s">
        <v>1143</v>
      </c>
      <c r="AU429" s="777" t="s">
        <v>795</v>
      </c>
      <c r="AV429" s="767" t="s">
        <v>795</v>
      </c>
      <c r="AW429" s="767" t="s">
        <v>1145</v>
      </c>
      <c r="AX429" s="767" t="s">
        <v>788</v>
      </c>
      <c r="AY429" s="777" t="s">
        <v>1063</v>
      </c>
    </row>
    <row r="430" spans="1:65" s="778" customFormat="1" ht="11.25">
      <c r="B430" s="779"/>
      <c r="C430" s="780"/>
      <c r="D430" s="759" t="s">
        <v>1143</v>
      </c>
      <c r="E430" s="781" t="s">
        <v>1043</v>
      </c>
      <c r="F430" s="782" t="s">
        <v>1153</v>
      </c>
      <c r="G430" s="780"/>
      <c r="H430" s="783">
        <v>2</v>
      </c>
      <c r="I430" s="780"/>
      <c r="J430" s="780"/>
      <c r="K430" s="780"/>
      <c r="L430" s="780"/>
      <c r="M430" s="784"/>
      <c r="N430" s="785"/>
      <c r="O430" s="786"/>
      <c r="P430" s="786"/>
      <c r="Q430" s="786"/>
      <c r="R430" s="786"/>
      <c r="S430" s="786"/>
      <c r="T430" s="786"/>
      <c r="U430" s="786"/>
      <c r="V430" s="786"/>
      <c r="W430" s="786"/>
      <c r="X430" s="787"/>
      <c r="AT430" s="788" t="s">
        <v>1143</v>
      </c>
      <c r="AU430" s="788" t="s">
        <v>795</v>
      </c>
      <c r="AV430" s="778" t="s">
        <v>1065</v>
      </c>
      <c r="AW430" s="778" t="s">
        <v>1145</v>
      </c>
      <c r="AX430" s="778" t="s">
        <v>791</v>
      </c>
      <c r="AY430" s="788" t="s">
        <v>1063</v>
      </c>
    </row>
    <row r="431" spans="1:65" s="634" customFormat="1" ht="16.5" customHeight="1">
      <c r="A431" s="705"/>
      <c r="B431" s="706"/>
      <c r="C431" s="744" t="s">
        <v>1564</v>
      </c>
      <c r="D431" s="744" t="s">
        <v>29</v>
      </c>
      <c r="E431" s="745" t="s">
        <v>1695</v>
      </c>
      <c r="F431" s="746" t="s">
        <v>1696</v>
      </c>
      <c r="G431" s="747" t="s">
        <v>19</v>
      </c>
      <c r="H431" s="748">
        <v>6</v>
      </c>
      <c r="I431" s="749"/>
      <c r="J431" s="749"/>
      <c r="K431" s="749">
        <f>ROUND(P431*H431,2)</f>
        <v>0</v>
      </c>
      <c r="L431" s="750"/>
      <c r="M431" s="631"/>
      <c r="N431" s="751" t="s">
        <v>1043</v>
      </c>
      <c r="O431" s="752" t="s">
        <v>1129</v>
      </c>
      <c r="P431" s="753">
        <f>I431+J431</f>
        <v>0</v>
      </c>
      <c r="Q431" s="753">
        <f>ROUND(I431*H431,2)</f>
        <v>0</v>
      </c>
      <c r="R431" s="753">
        <f>ROUND(J431*H431,2)</f>
        <v>0</v>
      </c>
      <c r="S431" s="754">
        <v>0.56799999999999995</v>
      </c>
      <c r="T431" s="754">
        <f>S431*H431</f>
        <v>3.4079999999999995</v>
      </c>
      <c r="U431" s="754">
        <v>0</v>
      </c>
      <c r="V431" s="754">
        <f>U431*H431</f>
        <v>0</v>
      </c>
      <c r="W431" s="754">
        <v>0</v>
      </c>
      <c r="X431" s="755">
        <f>W431*H431</f>
        <v>0</v>
      </c>
      <c r="Y431" s="705"/>
      <c r="Z431" s="705"/>
      <c r="AA431" s="705"/>
      <c r="AB431" s="705"/>
      <c r="AC431" s="705"/>
      <c r="AD431" s="705"/>
      <c r="AE431" s="705"/>
      <c r="AR431" s="686" t="s">
        <v>1185</v>
      </c>
      <c r="AT431" s="686" t="s">
        <v>29</v>
      </c>
      <c r="AU431" s="686" t="s">
        <v>795</v>
      </c>
      <c r="AY431" s="629" t="s">
        <v>1063</v>
      </c>
      <c r="BE431" s="687">
        <f>IF(O431="základná",K431,0)</f>
        <v>0</v>
      </c>
      <c r="BF431" s="687">
        <f>IF(O431="znížená",K431,0)</f>
        <v>0</v>
      </c>
      <c r="BG431" s="687">
        <f>IF(O431="zákl. prenesená",K431,0)</f>
        <v>0</v>
      </c>
      <c r="BH431" s="687">
        <f>IF(O431="zníž. prenesená",K431,0)</f>
        <v>0</v>
      </c>
      <c r="BI431" s="687">
        <f>IF(O431="nulová",K431,0)</f>
        <v>0</v>
      </c>
      <c r="BJ431" s="629" t="s">
        <v>795</v>
      </c>
      <c r="BK431" s="687">
        <f>ROUND(P431*H431,2)</f>
        <v>0</v>
      </c>
      <c r="BL431" s="629" t="s">
        <v>1185</v>
      </c>
      <c r="BM431" s="686" t="s">
        <v>1697</v>
      </c>
    </row>
    <row r="432" spans="1:65" s="756" customFormat="1" ht="11.25">
      <c r="B432" s="757"/>
      <c r="C432" s="758"/>
      <c r="D432" s="759" t="s">
        <v>1143</v>
      </c>
      <c r="E432" s="760" t="s">
        <v>1043</v>
      </c>
      <c r="F432" s="761" t="s">
        <v>1503</v>
      </c>
      <c r="G432" s="758"/>
      <c r="H432" s="760" t="s">
        <v>1043</v>
      </c>
      <c r="I432" s="758"/>
      <c r="J432" s="758"/>
      <c r="K432" s="758"/>
      <c r="L432" s="758"/>
      <c r="M432" s="762"/>
      <c r="N432" s="763"/>
      <c r="O432" s="764"/>
      <c r="P432" s="764"/>
      <c r="Q432" s="764"/>
      <c r="R432" s="764"/>
      <c r="S432" s="764"/>
      <c r="T432" s="764"/>
      <c r="U432" s="764"/>
      <c r="V432" s="764"/>
      <c r="W432" s="764"/>
      <c r="X432" s="765"/>
      <c r="AT432" s="766" t="s">
        <v>1143</v>
      </c>
      <c r="AU432" s="766" t="s">
        <v>795</v>
      </c>
      <c r="AV432" s="756" t="s">
        <v>791</v>
      </c>
      <c r="AW432" s="756" t="s">
        <v>1145</v>
      </c>
      <c r="AX432" s="756" t="s">
        <v>788</v>
      </c>
      <c r="AY432" s="766" t="s">
        <v>1063</v>
      </c>
    </row>
    <row r="433" spans="1:65" s="767" customFormat="1" ht="11.25">
      <c r="B433" s="768"/>
      <c r="C433" s="769"/>
      <c r="D433" s="759" t="s">
        <v>1143</v>
      </c>
      <c r="E433" s="770" t="s">
        <v>1043</v>
      </c>
      <c r="F433" s="771" t="s">
        <v>1698</v>
      </c>
      <c r="G433" s="769"/>
      <c r="H433" s="772">
        <v>6</v>
      </c>
      <c r="I433" s="769"/>
      <c r="J433" s="769"/>
      <c r="K433" s="769"/>
      <c r="L433" s="769"/>
      <c r="M433" s="773"/>
      <c r="N433" s="774"/>
      <c r="O433" s="775"/>
      <c r="P433" s="775"/>
      <c r="Q433" s="775"/>
      <c r="R433" s="775"/>
      <c r="S433" s="775"/>
      <c r="T433" s="775"/>
      <c r="U433" s="775"/>
      <c r="V433" s="775"/>
      <c r="W433" s="775"/>
      <c r="X433" s="776"/>
      <c r="AT433" s="777" t="s">
        <v>1143</v>
      </c>
      <c r="AU433" s="777" t="s">
        <v>795</v>
      </c>
      <c r="AV433" s="767" t="s">
        <v>795</v>
      </c>
      <c r="AW433" s="767" t="s">
        <v>1145</v>
      </c>
      <c r="AX433" s="767" t="s">
        <v>788</v>
      </c>
      <c r="AY433" s="777" t="s">
        <v>1063</v>
      </c>
    </row>
    <row r="434" spans="1:65" s="778" customFormat="1" ht="11.25">
      <c r="B434" s="779"/>
      <c r="C434" s="780"/>
      <c r="D434" s="759" t="s">
        <v>1143</v>
      </c>
      <c r="E434" s="781" t="s">
        <v>1043</v>
      </c>
      <c r="F434" s="782" t="s">
        <v>1153</v>
      </c>
      <c r="G434" s="780"/>
      <c r="H434" s="783">
        <v>6</v>
      </c>
      <c r="I434" s="780"/>
      <c r="J434" s="780"/>
      <c r="K434" s="780"/>
      <c r="L434" s="780"/>
      <c r="M434" s="784"/>
      <c r="N434" s="785"/>
      <c r="O434" s="786"/>
      <c r="P434" s="786"/>
      <c r="Q434" s="786"/>
      <c r="R434" s="786"/>
      <c r="S434" s="786"/>
      <c r="T434" s="786"/>
      <c r="U434" s="786"/>
      <c r="V434" s="786"/>
      <c r="W434" s="786"/>
      <c r="X434" s="787"/>
      <c r="AT434" s="788" t="s">
        <v>1143</v>
      </c>
      <c r="AU434" s="788" t="s">
        <v>795</v>
      </c>
      <c r="AV434" s="778" t="s">
        <v>1065</v>
      </c>
      <c r="AW434" s="778" t="s">
        <v>1145</v>
      </c>
      <c r="AX434" s="778" t="s">
        <v>791</v>
      </c>
      <c r="AY434" s="788" t="s">
        <v>1063</v>
      </c>
    </row>
    <row r="435" spans="1:65" s="634" customFormat="1" ht="21.75" customHeight="1">
      <c r="A435" s="705"/>
      <c r="B435" s="706"/>
      <c r="C435" s="789" t="s">
        <v>1569</v>
      </c>
      <c r="D435" s="789" t="s">
        <v>83</v>
      </c>
      <c r="E435" s="790" t="s">
        <v>1699</v>
      </c>
      <c r="F435" s="791" t="s">
        <v>1700</v>
      </c>
      <c r="G435" s="792" t="s">
        <v>19</v>
      </c>
      <c r="H435" s="793">
        <v>11</v>
      </c>
      <c r="I435" s="794"/>
      <c r="J435" s="795"/>
      <c r="K435" s="794">
        <f>ROUND(P435*H435,2)</f>
        <v>0</v>
      </c>
      <c r="L435" s="795"/>
      <c r="M435" s="701"/>
      <c r="N435" s="796" t="s">
        <v>1043</v>
      </c>
      <c r="O435" s="752" t="s">
        <v>1129</v>
      </c>
      <c r="P435" s="753">
        <f>I435+J435</f>
        <v>0</v>
      </c>
      <c r="Q435" s="753">
        <f>ROUND(I435*H435,2)</f>
        <v>0</v>
      </c>
      <c r="R435" s="753">
        <f>ROUND(J435*H435,2)</f>
        <v>0</v>
      </c>
      <c r="S435" s="754">
        <v>0</v>
      </c>
      <c r="T435" s="754">
        <f>S435*H435</f>
        <v>0</v>
      </c>
      <c r="U435" s="754">
        <v>3.3E-4</v>
      </c>
      <c r="V435" s="754">
        <f>U435*H435</f>
        <v>3.63E-3</v>
      </c>
      <c r="W435" s="754">
        <v>0</v>
      </c>
      <c r="X435" s="755">
        <f>W435*H435</f>
        <v>0</v>
      </c>
      <c r="Y435" s="705"/>
      <c r="Z435" s="705"/>
      <c r="AA435" s="705"/>
      <c r="AB435" s="705"/>
      <c r="AC435" s="705"/>
      <c r="AD435" s="705"/>
      <c r="AE435" s="705"/>
      <c r="AR435" s="686" t="s">
        <v>1190</v>
      </c>
      <c r="AT435" s="686" t="s">
        <v>83</v>
      </c>
      <c r="AU435" s="686" t="s">
        <v>795</v>
      </c>
      <c r="AY435" s="629" t="s">
        <v>1063</v>
      </c>
      <c r="BE435" s="687">
        <f>IF(O435="základná",K435,0)</f>
        <v>0</v>
      </c>
      <c r="BF435" s="687">
        <f>IF(O435="znížená",K435,0)</f>
        <v>0</v>
      </c>
      <c r="BG435" s="687">
        <f>IF(O435="zákl. prenesená",K435,0)</f>
        <v>0</v>
      </c>
      <c r="BH435" s="687">
        <f>IF(O435="zníž. prenesená",K435,0)</f>
        <v>0</v>
      </c>
      <c r="BI435" s="687">
        <f>IF(O435="nulová",K435,0)</f>
        <v>0</v>
      </c>
      <c r="BJ435" s="629" t="s">
        <v>795</v>
      </c>
      <c r="BK435" s="687">
        <f>ROUND(P435*H435,2)</f>
        <v>0</v>
      </c>
      <c r="BL435" s="629" t="s">
        <v>1185</v>
      </c>
      <c r="BM435" s="686" t="s">
        <v>1701</v>
      </c>
    </row>
    <row r="436" spans="1:65" s="634" customFormat="1" ht="21.75" customHeight="1">
      <c r="A436" s="705"/>
      <c r="B436" s="706"/>
      <c r="C436" s="744" t="s">
        <v>1573</v>
      </c>
      <c r="D436" s="744" t="s">
        <v>29</v>
      </c>
      <c r="E436" s="745" t="s">
        <v>1565</v>
      </c>
      <c r="F436" s="746" t="s">
        <v>1566</v>
      </c>
      <c r="G436" s="747" t="s">
        <v>19</v>
      </c>
      <c r="H436" s="748">
        <v>4</v>
      </c>
      <c r="I436" s="749"/>
      <c r="J436" s="749"/>
      <c r="K436" s="749">
        <f>ROUND(P436*H436,2)</f>
        <v>0</v>
      </c>
      <c r="L436" s="750"/>
      <c r="M436" s="631"/>
      <c r="N436" s="751" t="s">
        <v>1043</v>
      </c>
      <c r="O436" s="752" t="s">
        <v>1129</v>
      </c>
      <c r="P436" s="753">
        <f>I436+J436</f>
        <v>0</v>
      </c>
      <c r="Q436" s="753">
        <f>ROUND(I436*H436,2)</f>
        <v>0</v>
      </c>
      <c r="R436" s="753">
        <f>ROUND(J436*H436,2)</f>
        <v>0</v>
      </c>
      <c r="S436" s="754">
        <v>1.7909999999999999</v>
      </c>
      <c r="T436" s="754">
        <f>S436*H436</f>
        <v>7.1639999999999997</v>
      </c>
      <c r="U436" s="754">
        <v>0</v>
      </c>
      <c r="V436" s="754">
        <f>U436*H436</f>
        <v>0</v>
      </c>
      <c r="W436" s="754">
        <v>0</v>
      </c>
      <c r="X436" s="755">
        <f>W436*H436</f>
        <v>0</v>
      </c>
      <c r="Y436" s="705"/>
      <c r="Z436" s="705"/>
      <c r="AA436" s="705"/>
      <c r="AB436" s="705"/>
      <c r="AC436" s="705"/>
      <c r="AD436" s="705"/>
      <c r="AE436" s="705"/>
      <c r="AR436" s="686" t="s">
        <v>1185</v>
      </c>
      <c r="AT436" s="686" t="s">
        <v>29</v>
      </c>
      <c r="AU436" s="686" t="s">
        <v>795</v>
      </c>
      <c r="AY436" s="629" t="s">
        <v>1063</v>
      </c>
      <c r="BE436" s="687">
        <f>IF(O436="základná",K436,0)</f>
        <v>0</v>
      </c>
      <c r="BF436" s="687">
        <f>IF(O436="znížená",K436,0)</f>
        <v>0</v>
      </c>
      <c r="BG436" s="687">
        <f>IF(O436="zákl. prenesená",K436,0)</f>
        <v>0</v>
      </c>
      <c r="BH436" s="687">
        <f>IF(O436="zníž. prenesená",K436,0)</f>
        <v>0</v>
      </c>
      <c r="BI436" s="687">
        <f>IF(O436="nulová",K436,0)</f>
        <v>0</v>
      </c>
      <c r="BJ436" s="629" t="s">
        <v>795</v>
      </c>
      <c r="BK436" s="687">
        <f>ROUND(P436*H436,2)</f>
        <v>0</v>
      </c>
      <c r="BL436" s="629" t="s">
        <v>1185</v>
      </c>
      <c r="BM436" s="686" t="s">
        <v>1567</v>
      </c>
    </row>
    <row r="437" spans="1:65" s="756" customFormat="1" ht="11.25">
      <c r="B437" s="757"/>
      <c r="C437" s="758"/>
      <c r="D437" s="759" t="s">
        <v>1143</v>
      </c>
      <c r="E437" s="760" t="s">
        <v>1043</v>
      </c>
      <c r="F437" s="761" t="s">
        <v>1568</v>
      </c>
      <c r="G437" s="758"/>
      <c r="H437" s="760" t="s">
        <v>1043</v>
      </c>
      <c r="I437" s="758"/>
      <c r="J437" s="758"/>
      <c r="K437" s="758"/>
      <c r="L437" s="758"/>
      <c r="M437" s="762"/>
      <c r="N437" s="763"/>
      <c r="O437" s="764"/>
      <c r="P437" s="764"/>
      <c r="Q437" s="764"/>
      <c r="R437" s="764"/>
      <c r="S437" s="764"/>
      <c r="T437" s="764"/>
      <c r="U437" s="764"/>
      <c r="V437" s="764"/>
      <c r="W437" s="764"/>
      <c r="X437" s="765"/>
      <c r="AT437" s="766" t="s">
        <v>1143</v>
      </c>
      <c r="AU437" s="766" t="s">
        <v>795</v>
      </c>
      <c r="AV437" s="756" t="s">
        <v>791</v>
      </c>
      <c r="AW437" s="756" t="s">
        <v>1145</v>
      </c>
      <c r="AX437" s="756" t="s">
        <v>788</v>
      </c>
      <c r="AY437" s="766" t="s">
        <v>1063</v>
      </c>
    </row>
    <row r="438" spans="1:65" s="767" customFormat="1" ht="11.25">
      <c r="B438" s="768"/>
      <c r="C438" s="769"/>
      <c r="D438" s="759" t="s">
        <v>1143</v>
      </c>
      <c r="E438" s="770" t="s">
        <v>1043</v>
      </c>
      <c r="F438" s="771" t="s">
        <v>1504</v>
      </c>
      <c r="G438" s="769"/>
      <c r="H438" s="772">
        <v>4</v>
      </c>
      <c r="I438" s="769"/>
      <c r="J438" s="769"/>
      <c r="K438" s="769"/>
      <c r="L438" s="769"/>
      <c r="M438" s="773"/>
      <c r="N438" s="774"/>
      <c r="O438" s="775"/>
      <c r="P438" s="775"/>
      <c r="Q438" s="775"/>
      <c r="R438" s="775"/>
      <c r="S438" s="775"/>
      <c r="T438" s="775"/>
      <c r="U438" s="775"/>
      <c r="V438" s="775"/>
      <c r="W438" s="775"/>
      <c r="X438" s="776"/>
      <c r="AT438" s="777" t="s">
        <v>1143</v>
      </c>
      <c r="AU438" s="777" t="s">
        <v>795</v>
      </c>
      <c r="AV438" s="767" t="s">
        <v>795</v>
      </c>
      <c r="AW438" s="767" t="s">
        <v>1145</v>
      </c>
      <c r="AX438" s="767" t="s">
        <v>788</v>
      </c>
      <c r="AY438" s="777" t="s">
        <v>1063</v>
      </c>
    </row>
    <row r="439" spans="1:65" s="778" customFormat="1" ht="11.25">
      <c r="B439" s="779"/>
      <c r="C439" s="780"/>
      <c r="D439" s="759" t="s">
        <v>1143</v>
      </c>
      <c r="E439" s="781" t="s">
        <v>1043</v>
      </c>
      <c r="F439" s="782" t="s">
        <v>1153</v>
      </c>
      <c r="G439" s="780"/>
      <c r="H439" s="783">
        <v>4</v>
      </c>
      <c r="I439" s="780"/>
      <c r="J439" s="780"/>
      <c r="K439" s="780"/>
      <c r="L439" s="780"/>
      <c r="M439" s="784"/>
      <c r="N439" s="785"/>
      <c r="O439" s="786"/>
      <c r="P439" s="786"/>
      <c r="Q439" s="786"/>
      <c r="R439" s="786"/>
      <c r="S439" s="786"/>
      <c r="T439" s="786"/>
      <c r="U439" s="786"/>
      <c r="V439" s="786"/>
      <c r="W439" s="786"/>
      <c r="X439" s="787"/>
      <c r="AT439" s="788" t="s">
        <v>1143</v>
      </c>
      <c r="AU439" s="788" t="s">
        <v>795</v>
      </c>
      <c r="AV439" s="778" t="s">
        <v>1065</v>
      </c>
      <c r="AW439" s="778" t="s">
        <v>1145</v>
      </c>
      <c r="AX439" s="778" t="s">
        <v>791</v>
      </c>
      <c r="AY439" s="788" t="s">
        <v>1063</v>
      </c>
    </row>
    <row r="440" spans="1:65" s="634" customFormat="1" ht="21.75" customHeight="1">
      <c r="A440" s="705"/>
      <c r="B440" s="706"/>
      <c r="C440" s="789" t="s">
        <v>1577</v>
      </c>
      <c r="D440" s="789" t="s">
        <v>83</v>
      </c>
      <c r="E440" s="790" t="s">
        <v>1570</v>
      </c>
      <c r="F440" s="791" t="s">
        <v>1571</v>
      </c>
      <c r="G440" s="792" t="s">
        <v>19</v>
      </c>
      <c r="H440" s="793">
        <v>4</v>
      </c>
      <c r="I440" s="794"/>
      <c r="J440" s="795"/>
      <c r="K440" s="794">
        <f>ROUND(P440*H440,2)</f>
        <v>0</v>
      </c>
      <c r="L440" s="795"/>
      <c r="M440" s="701"/>
      <c r="N440" s="796" t="s">
        <v>1043</v>
      </c>
      <c r="O440" s="752" t="s">
        <v>1129</v>
      </c>
      <c r="P440" s="753">
        <f>I440+J440</f>
        <v>0</v>
      </c>
      <c r="Q440" s="753">
        <f>ROUND(I440*H440,2)</f>
        <v>0</v>
      </c>
      <c r="R440" s="753">
        <f>ROUND(J440*H440,2)</f>
        <v>0</v>
      </c>
      <c r="S440" s="754">
        <v>0</v>
      </c>
      <c r="T440" s="754">
        <f>S440*H440</f>
        <v>0</v>
      </c>
      <c r="U440" s="754">
        <v>2.5400000000000002E-3</v>
      </c>
      <c r="V440" s="754">
        <f>U440*H440</f>
        <v>1.0160000000000001E-2</v>
      </c>
      <c r="W440" s="754">
        <v>0</v>
      </c>
      <c r="X440" s="755">
        <f>W440*H440</f>
        <v>0</v>
      </c>
      <c r="Y440" s="705"/>
      <c r="Z440" s="705"/>
      <c r="AA440" s="705"/>
      <c r="AB440" s="705"/>
      <c r="AC440" s="705"/>
      <c r="AD440" s="705"/>
      <c r="AE440" s="705"/>
      <c r="AR440" s="686" t="s">
        <v>1190</v>
      </c>
      <c r="AT440" s="686" t="s">
        <v>83</v>
      </c>
      <c r="AU440" s="686" t="s">
        <v>795</v>
      </c>
      <c r="AY440" s="629" t="s">
        <v>1063</v>
      </c>
      <c r="BE440" s="687">
        <f>IF(O440="základná",K440,0)</f>
        <v>0</v>
      </c>
      <c r="BF440" s="687">
        <f>IF(O440="znížená",K440,0)</f>
        <v>0</v>
      </c>
      <c r="BG440" s="687">
        <f>IF(O440="zákl. prenesená",K440,0)</f>
        <v>0</v>
      </c>
      <c r="BH440" s="687">
        <f>IF(O440="zníž. prenesená",K440,0)</f>
        <v>0</v>
      </c>
      <c r="BI440" s="687">
        <f>IF(O440="nulová",K440,0)</f>
        <v>0</v>
      </c>
      <c r="BJ440" s="629" t="s">
        <v>795</v>
      </c>
      <c r="BK440" s="687">
        <f>ROUND(P440*H440,2)</f>
        <v>0</v>
      </c>
      <c r="BL440" s="629" t="s">
        <v>1185</v>
      </c>
      <c r="BM440" s="686" t="s">
        <v>1572</v>
      </c>
    </row>
    <row r="441" spans="1:65" s="756" customFormat="1" ht="11.25">
      <c r="B441" s="757"/>
      <c r="C441" s="758"/>
      <c r="D441" s="759" t="s">
        <v>1143</v>
      </c>
      <c r="E441" s="760" t="s">
        <v>1043</v>
      </c>
      <c r="F441" s="761" t="s">
        <v>1568</v>
      </c>
      <c r="G441" s="758"/>
      <c r="H441" s="760" t="s">
        <v>1043</v>
      </c>
      <c r="I441" s="758"/>
      <c r="J441" s="758"/>
      <c r="K441" s="758"/>
      <c r="L441" s="758"/>
      <c r="M441" s="762"/>
      <c r="N441" s="763"/>
      <c r="O441" s="764"/>
      <c r="P441" s="764"/>
      <c r="Q441" s="764"/>
      <c r="R441" s="764"/>
      <c r="S441" s="764"/>
      <c r="T441" s="764"/>
      <c r="U441" s="764"/>
      <c r="V441" s="764"/>
      <c r="W441" s="764"/>
      <c r="X441" s="765"/>
      <c r="AT441" s="766" t="s">
        <v>1143</v>
      </c>
      <c r="AU441" s="766" t="s">
        <v>795</v>
      </c>
      <c r="AV441" s="756" t="s">
        <v>791</v>
      </c>
      <c r="AW441" s="756" t="s">
        <v>1145</v>
      </c>
      <c r="AX441" s="756" t="s">
        <v>788</v>
      </c>
      <c r="AY441" s="766" t="s">
        <v>1063</v>
      </c>
    </row>
    <row r="442" spans="1:65" s="767" customFormat="1" ht="11.25">
      <c r="B442" s="768"/>
      <c r="C442" s="769"/>
      <c r="D442" s="759" t="s">
        <v>1143</v>
      </c>
      <c r="E442" s="770" t="s">
        <v>1043</v>
      </c>
      <c r="F442" s="771" t="s">
        <v>1504</v>
      </c>
      <c r="G442" s="769"/>
      <c r="H442" s="772">
        <v>4</v>
      </c>
      <c r="I442" s="769"/>
      <c r="J442" s="769"/>
      <c r="K442" s="769"/>
      <c r="L442" s="769"/>
      <c r="M442" s="773"/>
      <c r="N442" s="774"/>
      <c r="O442" s="775"/>
      <c r="P442" s="775"/>
      <c r="Q442" s="775"/>
      <c r="R442" s="775"/>
      <c r="S442" s="775"/>
      <c r="T442" s="775"/>
      <c r="U442" s="775"/>
      <c r="V442" s="775"/>
      <c r="W442" s="775"/>
      <c r="X442" s="776"/>
      <c r="AT442" s="777" t="s">
        <v>1143</v>
      </c>
      <c r="AU442" s="777" t="s">
        <v>795</v>
      </c>
      <c r="AV442" s="767" t="s">
        <v>795</v>
      </c>
      <c r="AW442" s="767" t="s">
        <v>1145</v>
      </c>
      <c r="AX442" s="767" t="s">
        <v>788</v>
      </c>
      <c r="AY442" s="777" t="s">
        <v>1063</v>
      </c>
    </row>
    <row r="443" spans="1:65" s="778" customFormat="1" ht="11.25">
      <c r="B443" s="779"/>
      <c r="C443" s="780"/>
      <c r="D443" s="759" t="s">
        <v>1143</v>
      </c>
      <c r="E443" s="781" t="s">
        <v>1043</v>
      </c>
      <c r="F443" s="782" t="s">
        <v>1153</v>
      </c>
      <c r="G443" s="780"/>
      <c r="H443" s="783">
        <v>4</v>
      </c>
      <c r="I443" s="780"/>
      <c r="J443" s="780"/>
      <c r="K443" s="780"/>
      <c r="L443" s="780"/>
      <c r="M443" s="784"/>
      <c r="N443" s="785"/>
      <c r="O443" s="786"/>
      <c r="P443" s="786"/>
      <c r="Q443" s="786"/>
      <c r="R443" s="786"/>
      <c r="S443" s="786"/>
      <c r="T443" s="786"/>
      <c r="U443" s="786"/>
      <c r="V443" s="786"/>
      <c r="W443" s="786"/>
      <c r="X443" s="787"/>
      <c r="AT443" s="788" t="s">
        <v>1143</v>
      </c>
      <c r="AU443" s="788" t="s">
        <v>795</v>
      </c>
      <c r="AV443" s="778" t="s">
        <v>1065</v>
      </c>
      <c r="AW443" s="778" t="s">
        <v>1145</v>
      </c>
      <c r="AX443" s="778" t="s">
        <v>791</v>
      </c>
      <c r="AY443" s="788" t="s">
        <v>1063</v>
      </c>
    </row>
    <row r="444" spans="1:65" s="634" customFormat="1" ht="16.5" customHeight="1">
      <c r="A444" s="705"/>
      <c r="B444" s="706"/>
      <c r="C444" s="744" t="s">
        <v>1581</v>
      </c>
      <c r="D444" s="744" t="s">
        <v>29</v>
      </c>
      <c r="E444" s="745" t="s">
        <v>1574</v>
      </c>
      <c r="F444" s="746" t="s">
        <v>1575</v>
      </c>
      <c r="G444" s="747" t="s">
        <v>19</v>
      </c>
      <c r="H444" s="748">
        <v>4</v>
      </c>
      <c r="I444" s="749"/>
      <c r="J444" s="749"/>
      <c r="K444" s="749">
        <f>ROUND(P444*H444,2)</f>
        <v>0</v>
      </c>
      <c r="L444" s="750"/>
      <c r="M444" s="631"/>
      <c r="N444" s="751" t="s">
        <v>1043</v>
      </c>
      <c r="O444" s="752" t="s">
        <v>1129</v>
      </c>
      <c r="P444" s="753">
        <f>I444+J444</f>
        <v>0</v>
      </c>
      <c r="Q444" s="753">
        <f>ROUND(I444*H444,2)</f>
        <v>0</v>
      </c>
      <c r="R444" s="753">
        <f>ROUND(J444*H444,2)</f>
        <v>0</v>
      </c>
      <c r="S444" s="754">
        <v>0.20599999999999999</v>
      </c>
      <c r="T444" s="754">
        <f>S444*H444</f>
        <v>0.82399999999999995</v>
      </c>
      <c r="U444" s="754">
        <v>2.7999999999999998E-4</v>
      </c>
      <c r="V444" s="754">
        <f>U444*H444</f>
        <v>1.1199999999999999E-3</v>
      </c>
      <c r="W444" s="754">
        <v>0</v>
      </c>
      <c r="X444" s="755">
        <f>W444*H444</f>
        <v>0</v>
      </c>
      <c r="Y444" s="705"/>
      <c r="Z444" s="705"/>
      <c r="AA444" s="705"/>
      <c r="AB444" s="705"/>
      <c r="AC444" s="705"/>
      <c r="AD444" s="705"/>
      <c r="AE444" s="705"/>
      <c r="AR444" s="686" t="s">
        <v>1185</v>
      </c>
      <c r="AT444" s="686" t="s">
        <v>29</v>
      </c>
      <c r="AU444" s="686" t="s">
        <v>795</v>
      </c>
      <c r="AY444" s="629" t="s">
        <v>1063</v>
      </c>
      <c r="BE444" s="687">
        <f>IF(O444="základná",K444,0)</f>
        <v>0</v>
      </c>
      <c r="BF444" s="687">
        <f>IF(O444="znížená",K444,0)</f>
        <v>0</v>
      </c>
      <c r="BG444" s="687">
        <f>IF(O444="zákl. prenesená",K444,0)</f>
        <v>0</v>
      </c>
      <c r="BH444" s="687">
        <f>IF(O444="zníž. prenesená",K444,0)</f>
        <v>0</v>
      </c>
      <c r="BI444" s="687">
        <f>IF(O444="nulová",K444,0)</f>
        <v>0</v>
      </c>
      <c r="BJ444" s="629" t="s">
        <v>795</v>
      </c>
      <c r="BK444" s="687">
        <f>ROUND(P444*H444,2)</f>
        <v>0</v>
      </c>
      <c r="BL444" s="629" t="s">
        <v>1185</v>
      </c>
      <c r="BM444" s="686" t="s">
        <v>1576</v>
      </c>
    </row>
    <row r="445" spans="1:65" s="756" customFormat="1" ht="11.25">
      <c r="B445" s="757"/>
      <c r="C445" s="758"/>
      <c r="D445" s="759" t="s">
        <v>1143</v>
      </c>
      <c r="E445" s="760" t="s">
        <v>1043</v>
      </c>
      <c r="F445" s="761" t="s">
        <v>1568</v>
      </c>
      <c r="G445" s="758"/>
      <c r="H445" s="760" t="s">
        <v>1043</v>
      </c>
      <c r="I445" s="758"/>
      <c r="J445" s="758"/>
      <c r="K445" s="758"/>
      <c r="L445" s="758"/>
      <c r="M445" s="762"/>
      <c r="N445" s="763"/>
      <c r="O445" s="764"/>
      <c r="P445" s="764"/>
      <c r="Q445" s="764"/>
      <c r="R445" s="764"/>
      <c r="S445" s="764"/>
      <c r="T445" s="764"/>
      <c r="U445" s="764"/>
      <c r="V445" s="764"/>
      <c r="W445" s="764"/>
      <c r="X445" s="765"/>
      <c r="AT445" s="766" t="s">
        <v>1143</v>
      </c>
      <c r="AU445" s="766" t="s">
        <v>795</v>
      </c>
      <c r="AV445" s="756" t="s">
        <v>791</v>
      </c>
      <c r="AW445" s="756" t="s">
        <v>1145</v>
      </c>
      <c r="AX445" s="756" t="s">
        <v>788</v>
      </c>
      <c r="AY445" s="766" t="s">
        <v>1063</v>
      </c>
    </row>
    <row r="446" spans="1:65" s="767" customFormat="1" ht="11.25">
      <c r="B446" s="768"/>
      <c r="C446" s="769"/>
      <c r="D446" s="759" t="s">
        <v>1143</v>
      </c>
      <c r="E446" s="770" t="s">
        <v>1043</v>
      </c>
      <c r="F446" s="771" t="s">
        <v>1504</v>
      </c>
      <c r="G446" s="769"/>
      <c r="H446" s="772">
        <v>4</v>
      </c>
      <c r="I446" s="769"/>
      <c r="J446" s="769"/>
      <c r="K446" s="769"/>
      <c r="L446" s="769"/>
      <c r="M446" s="773"/>
      <c r="N446" s="774"/>
      <c r="O446" s="775"/>
      <c r="P446" s="775"/>
      <c r="Q446" s="775"/>
      <c r="R446" s="775"/>
      <c r="S446" s="775"/>
      <c r="T446" s="775"/>
      <c r="U446" s="775"/>
      <c r="V446" s="775"/>
      <c r="W446" s="775"/>
      <c r="X446" s="776"/>
      <c r="AT446" s="777" t="s">
        <v>1143</v>
      </c>
      <c r="AU446" s="777" t="s">
        <v>795</v>
      </c>
      <c r="AV446" s="767" t="s">
        <v>795</v>
      </c>
      <c r="AW446" s="767" t="s">
        <v>1145</v>
      </c>
      <c r="AX446" s="767" t="s">
        <v>788</v>
      </c>
      <c r="AY446" s="777" t="s">
        <v>1063</v>
      </c>
    </row>
    <row r="447" spans="1:65" s="778" customFormat="1" ht="11.25">
      <c r="B447" s="779"/>
      <c r="C447" s="780"/>
      <c r="D447" s="759" t="s">
        <v>1143</v>
      </c>
      <c r="E447" s="781" t="s">
        <v>1043</v>
      </c>
      <c r="F447" s="782" t="s">
        <v>1153</v>
      </c>
      <c r="G447" s="780"/>
      <c r="H447" s="783">
        <v>4</v>
      </c>
      <c r="I447" s="780"/>
      <c r="J447" s="780"/>
      <c r="K447" s="780"/>
      <c r="L447" s="780"/>
      <c r="M447" s="784"/>
      <c r="N447" s="785"/>
      <c r="O447" s="786"/>
      <c r="P447" s="786"/>
      <c r="Q447" s="786"/>
      <c r="R447" s="786"/>
      <c r="S447" s="786"/>
      <c r="T447" s="786"/>
      <c r="U447" s="786"/>
      <c r="V447" s="786"/>
      <c r="W447" s="786"/>
      <c r="X447" s="787"/>
      <c r="AT447" s="788" t="s">
        <v>1143</v>
      </c>
      <c r="AU447" s="788" t="s">
        <v>795</v>
      </c>
      <c r="AV447" s="778" t="s">
        <v>1065</v>
      </c>
      <c r="AW447" s="778" t="s">
        <v>1145</v>
      </c>
      <c r="AX447" s="778" t="s">
        <v>791</v>
      </c>
      <c r="AY447" s="788" t="s">
        <v>1063</v>
      </c>
    </row>
    <row r="448" spans="1:65" s="634" customFormat="1" ht="16.5" customHeight="1">
      <c r="A448" s="705"/>
      <c r="B448" s="706"/>
      <c r="C448" s="789" t="s">
        <v>1587</v>
      </c>
      <c r="D448" s="789" t="s">
        <v>83</v>
      </c>
      <c r="E448" s="790" t="s">
        <v>1578</v>
      </c>
      <c r="F448" s="791" t="s">
        <v>1579</v>
      </c>
      <c r="G448" s="792" t="s">
        <v>19</v>
      </c>
      <c r="H448" s="793">
        <v>4</v>
      </c>
      <c r="I448" s="794"/>
      <c r="J448" s="795"/>
      <c r="K448" s="794">
        <f>ROUND(P448*H448,2)</f>
        <v>0</v>
      </c>
      <c r="L448" s="795"/>
      <c r="M448" s="701"/>
      <c r="N448" s="796" t="s">
        <v>1043</v>
      </c>
      <c r="O448" s="752" t="s">
        <v>1129</v>
      </c>
      <c r="P448" s="753">
        <f>I448+J448</f>
        <v>0</v>
      </c>
      <c r="Q448" s="753">
        <f>ROUND(I448*H448,2)</f>
        <v>0</v>
      </c>
      <c r="R448" s="753">
        <f>ROUND(J448*H448,2)</f>
        <v>0</v>
      </c>
      <c r="S448" s="754">
        <v>0</v>
      </c>
      <c r="T448" s="754">
        <f>S448*H448</f>
        <v>0</v>
      </c>
      <c r="U448" s="754">
        <v>6.1999999999999998E-3</v>
      </c>
      <c r="V448" s="754">
        <f>U448*H448</f>
        <v>2.4799999999999999E-2</v>
      </c>
      <c r="W448" s="754">
        <v>0</v>
      </c>
      <c r="X448" s="755">
        <f>W448*H448</f>
        <v>0</v>
      </c>
      <c r="Y448" s="705"/>
      <c r="Z448" s="705"/>
      <c r="AA448" s="705"/>
      <c r="AB448" s="705"/>
      <c r="AC448" s="705"/>
      <c r="AD448" s="705"/>
      <c r="AE448" s="705"/>
      <c r="AR448" s="686" t="s">
        <v>1190</v>
      </c>
      <c r="AT448" s="686" t="s">
        <v>83</v>
      </c>
      <c r="AU448" s="686" t="s">
        <v>795</v>
      </c>
      <c r="AY448" s="629" t="s">
        <v>1063</v>
      </c>
      <c r="BE448" s="687">
        <f>IF(O448="základná",K448,0)</f>
        <v>0</v>
      </c>
      <c r="BF448" s="687">
        <f>IF(O448="znížená",K448,0)</f>
        <v>0</v>
      </c>
      <c r="BG448" s="687">
        <f>IF(O448="zákl. prenesená",K448,0)</f>
        <v>0</v>
      </c>
      <c r="BH448" s="687">
        <f>IF(O448="zníž. prenesená",K448,0)</f>
        <v>0</v>
      </c>
      <c r="BI448" s="687">
        <f>IF(O448="nulová",K448,0)</f>
        <v>0</v>
      </c>
      <c r="BJ448" s="629" t="s">
        <v>795</v>
      </c>
      <c r="BK448" s="687">
        <f>ROUND(P448*H448,2)</f>
        <v>0</v>
      </c>
      <c r="BL448" s="629" t="s">
        <v>1185</v>
      </c>
      <c r="BM448" s="686" t="s">
        <v>1580</v>
      </c>
    </row>
    <row r="449" spans="1:65" s="756" customFormat="1" ht="11.25">
      <c r="B449" s="757"/>
      <c r="C449" s="758"/>
      <c r="D449" s="759" t="s">
        <v>1143</v>
      </c>
      <c r="E449" s="760" t="s">
        <v>1043</v>
      </c>
      <c r="F449" s="761" t="s">
        <v>1568</v>
      </c>
      <c r="G449" s="758"/>
      <c r="H449" s="760" t="s">
        <v>1043</v>
      </c>
      <c r="I449" s="758"/>
      <c r="J449" s="758"/>
      <c r="K449" s="758"/>
      <c r="L449" s="758"/>
      <c r="M449" s="762"/>
      <c r="N449" s="763"/>
      <c r="O449" s="764"/>
      <c r="P449" s="764"/>
      <c r="Q449" s="764"/>
      <c r="R449" s="764"/>
      <c r="S449" s="764"/>
      <c r="T449" s="764"/>
      <c r="U449" s="764"/>
      <c r="V449" s="764"/>
      <c r="W449" s="764"/>
      <c r="X449" s="765"/>
      <c r="AT449" s="766" t="s">
        <v>1143</v>
      </c>
      <c r="AU449" s="766" t="s">
        <v>795</v>
      </c>
      <c r="AV449" s="756" t="s">
        <v>791</v>
      </c>
      <c r="AW449" s="756" t="s">
        <v>1145</v>
      </c>
      <c r="AX449" s="756" t="s">
        <v>788</v>
      </c>
      <c r="AY449" s="766" t="s">
        <v>1063</v>
      </c>
    </row>
    <row r="450" spans="1:65" s="767" customFormat="1" ht="11.25">
      <c r="B450" s="768"/>
      <c r="C450" s="769"/>
      <c r="D450" s="759" t="s">
        <v>1143</v>
      </c>
      <c r="E450" s="770" t="s">
        <v>1043</v>
      </c>
      <c r="F450" s="771" t="s">
        <v>1504</v>
      </c>
      <c r="G450" s="769"/>
      <c r="H450" s="772">
        <v>4</v>
      </c>
      <c r="I450" s="769"/>
      <c r="J450" s="769"/>
      <c r="K450" s="769"/>
      <c r="L450" s="769"/>
      <c r="M450" s="773"/>
      <c r="N450" s="774"/>
      <c r="O450" s="775"/>
      <c r="P450" s="775"/>
      <c r="Q450" s="775"/>
      <c r="R450" s="775"/>
      <c r="S450" s="775"/>
      <c r="T450" s="775"/>
      <c r="U450" s="775"/>
      <c r="V450" s="775"/>
      <c r="W450" s="775"/>
      <c r="X450" s="776"/>
      <c r="AT450" s="777" t="s">
        <v>1143</v>
      </c>
      <c r="AU450" s="777" t="s">
        <v>795</v>
      </c>
      <c r="AV450" s="767" t="s">
        <v>795</v>
      </c>
      <c r="AW450" s="767" t="s">
        <v>1145</v>
      </c>
      <c r="AX450" s="767" t="s">
        <v>788</v>
      </c>
      <c r="AY450" s="777" t="s">
        <v>1063</v>
      </c>
    </row>
    <row r="451" spans="1:65" s="778" customFormat="1" ht="11.25">
      <c r="B451" s="779"/>
      <c r="C451" s="780"/>
      <c r="D451" s="759" t="s">
        <v>1143</v>
      </c>
      <c r="E451" s="781" t="s">
        <v>1043</v>
      </c>
      <c r="F451" s="782" t="s">
        <v>1153</v>
      </c>
      <c r="G451" s="780"/>
      <c r="H451" s="783">
        <v>4</v>
      </c>
      <c r="I451" s="780"/>
      <c r="J451" s="780"/>
      <c r="K451" s="780"/>
      <c r="L451" s="780"/>
      <c r="M451" s="784"/>
      <c r="N451" s="785"/>
      <c r="O451" s="786"/>
      <c r="P451" s="786"/>
      <c r="Q451" s="786"/>
      <c r="R451" s="786"/>
      <c r="S451" s="786"/>
      <c r="T451" s="786"/>
      <c r="U451" s="786"/>
      <c r="V451" s="786"/>
      <c r="W451" s="786"/>
      <c r="X451" s="787"/>
      <c r="AT451" s="788" t="s">
        <v>1143</v>
      </c>
      <c r="AU451" s="788" t="s">
        <v>795</v>
      </c>
      <c r="AV451" s="778" t="s">
        <v>1065</v>
      </c>
      <c r="AW451" s="778" t="s">
        <v>1145</v>
      </c>
      <c r="AX451" s="778" t="s">
        <v>791</v>
      </c>
      <c r="AY451" s="788" t="s">
        <v>1063</v>
      </c>
    </row>
    <row r="452" spans="1:65" s="634" customFormat="1" ht="21.75" customHeight="1">
      <c r="A452" s="705"/>
      <c r="B452" s="706"/>
      <c r="C452" s="744" t="s">
        <v>1589</v>
      </c>
      <c r="D452" s="744" t="s">
        <v>29</v>
      </c>
      <c r="E452" s="745" t="s">
        <v>1582</v>
      </c>
      <c r="F452" s="746" t="s">
        <v>1583</v>
      </c>
      <c r="G452" s="747" t="s">
        <v>19</v>
      </c>
      <c r="H452" s="748">
        <v>2</v>
      </c>
      <c r="I452" s="749"/>
      <c r="J452" s="749"/>
      <c r="K452" s="749">
        <f>ROUND(P452*H452,2)</f>
        <v>0</v>
      </c>
      <c r="L452" s="750"/>
      <c r="M452" s="631"/>
      <c r="N452" s="751" t="s">
        <v>1043</v>
      </c>
      <c r="O452" s="752" t="s">
        <v>1129</v>
      </c>
      <c r="P452" s="753">
        <f>I452+J452</f>
        <v>0</v>
      </c>
      <c r="Q452" s="753">
        <f>ROUND(I452*H452,2)</f>
        <v>0</v>
      </c>
      <c r="R452" s="753">
        <f>ROUND(J452*H452,2)</f>
        <v>0</v>
      </c>
      <c r="S452" s="754">
        <v>1.494</v>
      </c>
      <c r="T452" s="754">
        <f>S452*H452</f>
        <v>2.988</v>
      </c>
      <c r="U452" s="754">
        <v>2.7999999999999998E-4</v>
      </c>
      <c r="V452" s="754">
        <f>U452*H452</f>
        <v>5.5999999999999995E-4</v>
      </c>
      <c r="W452" s="754">
        <v>0</v>
      </c>
      <c r="X452" s="755">
        <f>W452*H452</f>
        <v>0</v>
      </c>
      <c r="Y452" s="705"/>
      <c r="Z452" s="705"/>
      <c r="AA452" s="705"/>
      <c r="AB452" s="705"/>
      <c r="AC452" s="705"/>
      <c r="AD452" s="705"/>
      <c r="AE452" s="705"/>
      <c r="AR452" s="686" t="s">
        <v>1185</v>
      </c>
      <c r="AT452" s="686" t="s">
        <v>29</v>
      </c>
      <c r="AU452" s="686" t="s">
        <v>795</v>
      </c>
      <c r="AY452" s="629" t="s">
        <v>1063</v>
      </c>
      <c r="BE452" s="687">
        <f>IF(O452="základná",K452,0)</f>
        <v>0</v>
      </c>
      <c r="BF452" s="687">
        <f>IF(O452="znížená",K452,0)</f>
        <v>0</v>
      </c>
      <c r="BG452" s="687">
        <f>IF(O452="zákl. prenesená",K452,0)</f>
        <v>0</v>
      </c>
      <c r="BH452" s="687">
        <f>IF(O452="zníž. prenesená",K452,0)</f>
        <v>0</v>
      </c>
      <c r="BI452" s="687">
        <f>IF(O452="nulová",K452,0)</f>
        <v>0</v>
      </c>
      <c r="BJ452" s="629" t="s">
        <v>795</v>
      </c>
      <c r="BK452" s="687">
        <f>ROUND(P452*H452,2)</f>
        <v>0</v>
      </c>
      <c r="BL452" s="629" t="s">
        <v>1185</v>
      </c>
      <c r="BM452" s="686" t="s">
        <v>1584</v>
      </c>
    </row>
    <row r="453" spans="1:65" s="756" customFormat="1" ht="11.25">
      <c r="B453" s="757"/>
      <c r="C453" s="758"/>
      <c r="D453" s="759" t="s">
        <v>1143</v>
      </c>
      <c r="E453" s="760" t="s">
        <v>1043</v>
      </c>
      <c r="F453" s="761" t="s">
        <v>1585</v>
      </c>
      <c r="G453" s="758"/>
      <c r="H453" s="760" t="s">
        <v>1043</v>
      </c>
      <c r="I453" s="758"/>
      <c r="J453" s="758"/>
      <c r="K453" s="758"/>
      <c r="L453" s="758"/>
      <c r="M453" s="762"/>
      <c r="N453" s="763"/>
      <c r="O453" s="764"/>
      <c r="P453" s="764"/>
      <c r="Q453" s="764"/>
      <c r="R453" s="764"/>
      <c r="S453" s="764"/>
      <c r="T453" s="764"/>
      <c r="U453" s="764"/>
      <c r="V453" s="764"/>
      <c r="W453" s="764"/>
      <c r="X453" s="765"/>
      <c r="AT453" s="766" t="s">
        <v>1143</v>
      </c>
      <c r="AU453" s="766" t="s">
        <v>795</v>
      </c>
      <c r="AV453" s="756" t="s">
        <v>791</v>
      </c>
      <c r="AW453" s="756" t="s">
        <v>1145</v>
      </c>
      <c r="AX453" s="756" t="s">
        <v>788</v>
      </c>
      <c r="AY453" s="766" t="s">
        <v>1063</v>
      </c>
    </row>
    <row r="454" spans="1:65" s="767" customFormat="1" ht="11.25">
      <c r="B454" s="768"/>
      <c r="C454" s="769"/>
      <c r="D454" s="759" t="s">
        <v>1143</v>
      </c>
      <c r="E454" s="770" t="s">
        <v>1043</v>
      </c>
      <c r="F454" s="771" t="s">
        <v>1586</v>
      </c>
      <c r="G454" s="769"/>
      <c r="H454" s="772">
        <v>2</v>
      </c>
      <c r="I454" s="769"/>
      <c r="J454" s="769"/>
      <c r="K454" s="769"/>
      <c r="L454" s="769"/>
      <c r="M454" s="773"/>
      <c r="N454" s="774"/>
      <c r="O454" s="775"/>
      <c r="P454" s="775"/>
      <c r="Q454" s="775"/>
      <c r="R454" s="775"/>
      <c r="S454" s="775"/>
      <c r="T454" s="775"/>
      <c r="U454" s="775"/>
      <c r="V454" s="775"/>
      <c r="W454" s="775"/>
      <c r="X454" s="776"/>
      <c r="AT454" s="777" t="s">
        <v>1143</v>
      </c>
      <c r="AU454" s="777" t="s">
        <v>795</v>
      </c>
      <c r="AV454" s="767" t="s">
        <v>795</v>
      </c>
      <c r="AW454" s="767" t="s">
        <v>1145</v>
      </c>
      <c r="AX454" s="767" t="s">
        <v>788</v>
      </c>
      <c r="AY454" s="777" t="s">
        <v>1063</v>
      </c>
    </row>
    <row r="455" spans="1:65" s="778" customFormat="1" ht="11.25">
      <c r="B455" s="779"/>
      <c r="C455" s="780"/>
      <c r="D455" s="759" t="s">
        <v>1143</v>
      </c>
      <c r="E455" s="781" t="s">
        <v>1043</v>
      </c>
      <c r="F455" s="782" t="s">
        <v>1153</v>
      </c>
      <c r="G455" s="780"/>
      <c r="H455" s="783">
        <v>2</v>
      </c>
      <c r="I455" s="780"/>
      <c r="J455" s="780"/>
      <c r="K455" s="780"/>
      <c r="L455" s="780"/>
      <c r="M455" s="784"/>
      <c r="N455" s="785"/>
      <c r="O455" s="786"/>
      <c r="P455" s="786"/>
      <c r="Q455" s="786"/>
      <c r="R455" s="786"/>
      <c r="S455" s="786"/>
      <c r="T455" s="786"/>
      <c r="U455" s="786"/>
      <c r="V455" s="786"/>
      <c r="W455" s="786"/>
      <c r="X455" s="787"/>
      <c r="AT455" s="788" t="s">
        <v>1143</v>
      </c>
      <c r="AU455" s="788" t="s">
        <v>795</v>
      </c>
      <c r="AV455" s="778" t="s">
        <v>1065</v>
      </c>
      <c r="AW455" s="778" t="s">
        <v>1145</v>
      </c>
      <c r="AX455" s="778" t="s">
        <v>791</v>
      </c>
      <c r="AY455" s="788" t="s">
        <v>1063</v>
      </c>
    </row>
    <row r="456" spans="1:65" s="634" customFormat="1" ht="16.5" customHeight="1">
      <c r="A456" s="705"/>
      <c r="B456" s="706"/>
      <c r="C456" s="789" t="s">
        <v>1593</v>
      </c>
      <c r="D456" s="789" t="s">
        <v>83</v>
      </c>
      <c r="E456" s="790" t="s">
        <v>1578</v>
      </c>
      <c r="F456" s="791" t="s">
        <v>1579</v>
      </c>
      <c r="G456" s="792" t="s">
        <v>19</v>
      </c>
      <c r="H456" s="793">
        <v>1</v>
      </c>
      <c r="I456" s="794"/>
      <c r="J456" s="795"/>
      <c r="K456" s="794">
        <f>ROUND(P456*H456,2)</f>
        <v>0</v>
      </c>
      <c r="L456" s="795"/>
      <c r="M456" s="701"/>
      <c r="N456" s="796" t="s">
        <v>1043</v>
      </c>
      <c r="O456" s="752" t="s">
        <v>1129</v>
      </c>
      <c r="P456" s="753">
        <f>I456+J456</f>
        <v>0</v>
      </c>
      <c r="Q456" s="753">
        <f>ROUND(I456*H456,2)</f>
        <v>0</v>
      </c>
      <c r="R456" s="753">
        <f>ROUND(J456*H456,2)</f>
        <v>0</v>
      </c>
      <c r="S456" s="754">
        <v>0</v>
      </c>
      <c r="T456" s="754">
        <f>S456*H456</f>
        <v>0</v>
      </c>
      <c r="U456" s="754">
        <v>6.1999999999999998E-3</v>
      </c>
      <c r="V456" s="754">
        <f>U456*H456</f>
        <v>6.1999999999999998E-3</v>
      </c>
      <c r="W456" s="754">
        <v>0</v>
      </c>
      <c r="X456" s="755">
        <f>W456*H456</f>
        <v>0</v>
      </c>
      <c r="Y456" s="705"/>
      <c r="Z456" s="705"/>
      <c r="AA456" s="705"/>
      <c r="AB456" s="705"/>
      <c r="AC456" s="705"/>
      <c r="AD456" s="705"/>
      <c r="AE456" s="705"/>
      <c r="AR456" s="686" t="s">
        <v>1190</v>
      </c>
      <c r="AT456" s="686" t="s">
        <v>83</v>
      </c>
      <c r="AU456" s="686" t="s">
        <v>795</v>
      </c>
      <c r="AY456" s="629" t="s">
        <v>1063</v>
      </c>
      <c r="BE456" s="687">
        <f>IF(O456="základná",K456,0)</f>
        <v>0</v>
      </c>
      <c r="BF456" s="687">
        <f>IF(O456="znížená",K456,0)</f>
        <v>0</v>
      </c>
      <c r="BG456" s="687">
        <f>IF(O456="zákl. prenesená",K456,0)</f>
        <v>0</v>
      </c>
      <c r="BH456" s="687">
        <f>IF(O456="zníž. prenesená",K456,0)</f>
        <v>0</v>
      </c>
      <c r="BI456" s="687">
        <f>IF(O456="nulová",K456,0)</f>
        <v>0</v>
      </c>
      <c r="BJ456" s="629" t="s">
        <v>795</v>
      </c>
      <c r="BK456" s="687">
        <f>ROUND(P456*H456,2)</f>
        <v>0</v>
      </c>
      <c r="BL456" s="629" t="s">
        <v>1185</v>
      </c>
      <c r="BM456" s="686" t="s">
        <v>1588</v>
      </c>
    </row>
    <row r="457" spans="1:65" s="756" customFormat="1" ht="11.25">
      <c r="B457" s="757"/>
      <c r="C457" s="758"/>
      <c r="D457" s="759" t="s">
        <v>1143</v>
      </c>
      <c r="E457" s="760" t="s">
        <v>1043</v>
      </c>
      <c r="F457" s="761" t="s">
        <v>1434</v>
      </c>
      <c r="G457" s="758"/>
      <c r="H457" s="760" t="s">
        <v>1043</v>
      </c>
      <c r="I457" s="758"/>
      <c r="J457" s="758"/>
      <c r="K457" s="758"/>
      <c r="L457" s="758"/>
      <c r="M457" s="762"/>
      <c r="N457" s="763"/>
      <c r="O457" s="764"/>
      <c r="P457" s="764"/>
      <c r="Q457" s="764"/>
      <c r="R457" s="764"/>
      <c r="S457" s="764"/>
      <c r="T457" s="764"/>
      <c r="U457" s="764"/>
      <c r="V457" s="764"/>
      <c r="W457" s="764"/>
      <c r="X457" s="765"/>
      <c r="AT457" s="766" t="s">
        <v>1143</v>
      </c>
      <c r="AU457" s="766" t="s">
        <v>795</v>
      </c>
      <c r="AV457" s="756" t="s">
        <v>791</v>
      </c>
      <c r="AW457" s="756" t="s">
        <v>1145</v>
      </c>
      <c r="AX457" s="756" t="s">
        <v>788</v>
      </c>
      <c r="AY457" s="766" t="s">
        <v>1063</v>
      </c>
    </row>
    <row r="458" spans="1:65" s="767" customFormat="1" ht="11.25">
      <c r="B458" s="768"/>
      <c r="C458" s="769"/>
      <c r="D458" s="759" t="s">
        <v>1143</v>
      </c>
      <c r="E458" s="770" t="s">
        <v>1043</v>
      </c>
      <c r="F458" s="771" t="s">
        <v>791</v>
      </c>
      <c r="G458" s="769"/>
      <c r="H458" s="772">
        <v>1</v>
      </c>
      <c r="I458" s="769"/>
      <c r="J458" s="769"/>
      <c r="K458" s="769"/>
      <c r="L458" s="769"/>
      <c r="M458" s="773"/>
      <c r="N458" s="774"/>
      <c r="O458" s="775"/>
      <c r="P458" s="775"/>
      <c r="Q458" s="775"/>
      <c r="R458" s="775"/>
      <c r="S458" s="775"/>
      <c r="T458" s="775"/>
      <c r="U458" s="775"/>
      <c r="V458" s="775"/>
      <c r="W458" s="775"/>
      <c r="X458" s="776"/>
      <c r="AT458" s="777" t="s">
        <v>1143</v>
      </c>
      <c r="AU458" s="777" t="s">
        <v>795</v>
      </c>
      <c r="AV458" s="767" t="s">
        <v>795</v>
      </c>
      <c r="AW458" s="767" t="s">
        <v>1145</v>
      </c>
      <c r="AX458" s="767" t="s">
        <v>788</v>
      </c>
      <c r="AY458" s="777" t="s">
        <v>1063</v>
      </c>
    </row>
    <row r="459" spans="1:65" s="778" customFormat="1" ht="11.25">
      <c r="B459" s="779"/>
      <c r="C459" s="780"/>
      <c r="D459" s="759" t="s">
        <v>1143</v>
      </c>
      <c r="E459" s="781" t="s">
        <v>1043</v>
      </c>
      <c r="F459" s="782" t="s">
        <v>1153</v>
      </c>
      <c r="G459" s="780"/>
      <c r="H459" s="783">
        <v>1</v>
      </c>
      <c r="I459" s="780"/>
      <c r="J459" s="780"/>
      <c r="K459" s="780"/>
      <c r="L459" s="780"/>
      <c r="M459" s="784"/>
      <c r="N459" s="785"/>
      <c r="O459" s="786"/>
      <c r="P459" s="786"/>
      <c r="Q459" s="786"/>
      <c r="R459" s="786"/>
      <c r="S459" s="786"/>
      <c r="T459" s="786"/>
      <c r="U459" s="786"/>
      <c r="V459" s="786"/>
      <c r="W459" s="786"/>
      <c r="X459" s="787"/>
      <c r="AT459" s="788" t="s">
        <v>1143</v>
      </c>
      <c r="AU459" s="788" t="s">
        <v>795</v>
      </c>
      <c r="AV459" s="778" t="s">
        <v>1065</v>
      </c>
      <c r="AW459" s="778" t="s">
        <v>1145</v>
      </c>
      <c r="AX459" s="778" t="s">
        <v>791</v>
      </c>
      <c r="AY459" s="788" t="s">
        <v>1063</v>
      </c>
    </row>
    <row r="460" spans="1:65" s="634" customFormat="1" ht="16.5" customHeight="1">
      <c r="A460" s="705"/>
      <c r="B460" s="706"/>
      <c r="C460" s="789" t="s">
        <v>1597</v>
      </c>
      <c r="D460" s="789" t="s">
        <v>83</v>
      </c>
      <c r="E460" s="790" t="s">
        <v>1590</v>
      </c>
      <c r="F460" s="791" t="s">
        <v>1591</v>
      </c>
      <c r="G460" s="792" t="s">
        <v>19</v>
      </c>
      <c r="H460" s="793">
        <v>1</v>
      </c>
      <c r="I460" s="794"/>
      <c r="J460" s="795"/>
      <c r="K460" s="794">
        <f>ROUND(P460*H460,2)</f>
        <v>0</v>
      </c>
      <c r="L460" s="795"/>
      <c r="M460" s="701"/>
      <c r="N460" s="796" t="s">
        <v>1043</v>
      </c>
      <c r="O460" s="752" t="s">
        <v>1129</v>
      </c>
      <c r="P460" s="753">
        <f>I460+J460</f>
        <v>0</v>
      </c>
      <c r="Q460" s="753">
        <f>ROUND(I460*H460,2)</f>
        <v>0</v>
      </c>
      <c r="R460" s="753">
        <f>ROUND(J460*H460,2)</f>
        <v>0</v>
      </c>
      <c r="S460" s="754">
        <v>0</v>
      </c>
      <c r="T460" s="754">
        <f>S460*H460</f>
        <v>0</v>
      </c>
      <c r="U460" s="754">
        <v>8.6E-3</v>
      </c>
      <c r="V460" s="754">
        <f>U460*H460</f>
        <v>8.6E-3</v>
      </c>
      <c r="W460" s="754">
        <v>0</v>
      </c>
      <c r="X460" s="755">
        <f>W460*H460</f>
        <v>0</v>
      </c>
      <c r="Y460" s="705"/>
      <c r="Z460" s="705"/>
      <c r="AA460" s="705"/>
      <c r="AB460" s="705"/>
      <c r="AC460" s="705"/>
      <c r="AD460" s="705"/>
      <c r="AE460" s="705"/>
      <c r="AR460" s="686" t="s">
        <v>1190</v>
      </c>
      <c r="AT460" s="686" t="s">
        <v>83</v>
      </c>
      <c r="AU460" s="686" t="s">
        <v>795</v>
      </c>
      <c r="AY460" s="629" t="s">
        <v>1063</v>
      </c>
      <c r="BE460" s="687">
        <f>IF(O460="základná",K460,0)</f>
        <v>0</v>
      </c>
      <c r="BF460" s="687">
        <f>IF(O460="znížená",K460,0)</f>
        <v>0</v>
      </c>
      <c r="BG460" s="687">
        <f>IF(O460="zákl. prenesená",K460,0)</f>
        <v>0</v>
      </c>
      <c r="BH460" s="687">
        <f>IF(O460="zníž. prenesená",K460,0)</f>
        <v>0</v>
      </c>
      <c r="BI460" s="687">
        <f>IF(O460="nulová",K460,0)</f>
        <v>0</v>
      </c>
      <c r="BJ460" s="629" t="s">
        <v>795</v>
      </c>
      <c r="BK460" s="687">
        <f>ROUND(P460*H460,2)</f>
        <v>0</v>
      </c>
      <c r="BL460" s="629" t="s">
        <v>1185</v>
      </c>
      <c r="BM460" s="686" t="s">
        <v>1592</v>
      </c>
    </row>
    <row r="461" spans="1:65" s="756" customFormat="1" ht="11.25">
      <c r="B461" s="757"/>
      <c r="C461" s="758"/>
      <c r="D461" s="759" t="s">
        <v>1143</v>
      </c>
      <c r="E461" s="760" t="s">
        <v>1043</v>
      </c>
      <c r="F461" s="761" t="s">
        <v>1544</v>
      </c>
      <c r="G461" s="758"/>
      <c r="H461" s="760" t="s">
        <v>1043</v>
      </c>
      <c r="I461" s="758"/>
      <c r="J461" s="758"/>
      <c r="K461" s="758"/>
      <c r="L461" s="758"/>
      <c r="M461" s="762"/>
      <c r="N461" s="763"/>
      <c r="O461" s="764"/>
      <c r="P461" s="764"/>
      <c r="Q461" s="764"/>
      <c r="R461" s="764"/>
      <c r="S461" s="764"/>
      <c r="T461" s="764"/>
      <c r="U461" s="764"/>
      <c r="V461" s="764"/>
      <c r="W461" s="764"/>
      <c r="X461" s="765"/>
      <c r="AT461" s="766" t="s">
        <v>1143</v>
      </c>
      <c r="AU461" s="766" t="s">
        <v>795</v>
      </c>
      <c r="AV461" s="756" t="s">
        <v>791</v>
      </c>
      <c r="AW461" s="756" t="s">
        <v>1145</v>
      </c>
      <c r="AX461" s="756" t="s">
        <v>788</v>
      </c>
      <c r="AY461" s="766" t="s">
        <v>1063</v>
      </c>
    </row>
    <row r="462" spans="1:65" s="767" customFormat="1" ht="11.25">
      <c r="B462" s="768"/>
      <c r="C462" s="769"/>
      <c r="D462" s="759" t="s">
        <v>1143</v>
      </c>
      <c r="E462" s="770" t="s">
        <v>1043</v>
      </c>
      <c r="F462" s="771" t="s">
        <v>791</v>
      </c>
      <c r="G462" s="769"/>
      <c r="H462" s="772">
        <v>1</v>
      </c>
      <c r="I462" s="769"/>
      <c r="J462" s="769"/>
      <c r="K462" s="769"/>
      <c r="L462" s="769"/>
      <c r="M462" s="773"/>
      <c r="N462" s="774"/>
      <c r="O462" s="775"/>
      <c r="P462" s="775"/>
      <c r="Q462" s="775"/>
      <c r="R462" s="775"/>
      <c r="S462" s="775"/>
      <c r="T462" s="775"/>
      <c r="U462" s="775"/>
      <c r="V462" s="775"/>
      <c r="W462" s="775"/>
      <c r="X462" s="776"/>
      <c r="AT462" s="777" t="s">
        <v>1143</v>
      </c>
      <c r="AU462" s="777" t="s">
        <v>795</v>
      </c>
      <c r="AV462" s="767" t="s">
        <v>795</v>
      </c>
      <c r="AW462" s="767" t="s">
        <v>1145</v>
      </c>
      <c r="AX462" s="767" t="s">
        <v>788</v>
      </c>
      <c r="AY462" s="777" t="s">
        <v>1063</v>
      </c>
    </row>
    <row r="463" spans="1:65" s="778" customFormat="1" ht="11.25">
      <c r="B463" s="779"/>
      <c r="C463" s="780"/>
      <c r="D463" s="759" t="s">
        <v>1143</v>
      </c>
      <c r="E463" s="781" t="s">
        <v>1043</v>
      </c>
      <c r="F463" s="782" t="s">
        <v>1153</v>
      </c>
      <c r="G463" s="780"/>
      <c r="H463" s="783">
        <v>1</v>
      </c>
      <c r="I463" s="780"/>
      <c r="J463" s="780"/>
      <c r="K463" s="780"/>
      <c r="L463" s="780"/>
      <c r="M463" s="784"/>
      <c r="N463" s="785"/>
      <c r="O463" s="786"/>
      <c r="P463" s="786"/>
      <c r="Q463" s="786"/>
      <c r="R463" s="786"/>
      <c r="S463" s="786"/>
      <c r="T463" s="786"/>
      <c r="U463" s="786"/>
      <c r="V463" s="786"/>
      <c r="W463" s="786"/>
      <c r="X463" s="787"/>
      <c r="AT463" s="788" t="s">
        <v>1143</v>
      </c>
      <c r="AU463" s="788" t="s">
        <v>795</v>
      </c>
      <c r="AV463" s="778" t="s">
        <v>1065</v>
      </c>
      <c r="AW463" s="778" t="s">
        <v>1145</v>
      </c>
      <c r="AX463" s="778" t="s">
        <v>791</v>
      </c>
      <c r="AY463" s="788" t="s">
        <v>1063</v>
      </c>
    </row>
    <row r="464" spans="1:65" s="634" customFormat="1" ht="21.75" customHeight="1">
      <c r="A464" s="705"/>
      <c r="B464" s="706"/>
      <c r="C464" s="744" t="s">
        <v>1601</v>
      </c>
      <c r="D464" s="744" t="s">
        <v>29</v>
      </c>
      <c r="E464" s="745" t="s">
        <v>1594</v>
      </c>
      <c r="F464" s="746" t="s">
        <v>1595</v>
      </c>
      <c r="G464" s="747" t="s">
        <v>19</v>
      </c>
      <c r="H464" s="748">
        <v>1</v>
      </c>
      <c r="I464" s="749"/>
      <c r="J464" s="749"/>
      <c r="K464" s="749">
        <f>ROUND(P464*H464,2)</f>
        <v>0</v>
      </c>
      <c r="L464" s="750"/>
      <c r="M464" s="631"/>
      <c r="N464" s="751" t="s">
        <v>1043</v>
      </c>
      <c r="O464" s="752" t="s">
        <v>1129</v>
      </c>
      <c r="P464" s="753">
        <f>I464+J464</f>
        <v>0</v>
      </c>
      <c r="Q464" s="753">
        <f>ROUND(I464*H464,2)</f>
        <v>0</v>
      </c>
      <c r="R464" s="753">
        <f>ROUND(J464*H464,2)</f>
        <v>0</v>
      </c>
      <c r="S464" s="754">
        <v>0.96699999999999997</v>
      </c>
      <c r="T464" s="754">
        <f>S464*H464</f>
        <v>0.96699999999999997</v>
      </c>
      <c r="U464" s="754">
        <v>2.7999999999999998E-4</v>
      </c>
      <c r="V464" s="754">
        <f>U464*H464</f>
        <v>2.7999999999999998E-4</v>
      </c>
      <c r="W464" s="754">
        <v>0</v>
      </c>
      <c r="X464" s="755">
        <f>W464*H464</f>
        <v>0</v>
      </c>
      <c r="Y464" s="705"/>
      <c r="Z464" s="705"/>
      <c r="AA464" s="705"/>
      <c r="AB464" s="705"/>
      <c r="AC464" s="705"/>
      <c r="AD464" s="705"/>
      <c r="AE464" s="705"/>
      <c r="AR464" s="686" t="s">
        <v>1185</v>
      </c>
      <c r="AT464" s="686" t="s">
        <v>29</v>
      </c>
      <c r="AU464" s="686" t="s">
        <v>795</v>
      </c>
      <c r="AY464" s="629" t="s">
        <v>1063</v>
      </c>
      <c r="BE464" s="687">
        <f>IF(O464="základná",K464,0)</f>
        <v>0</v>
      </c>
      <c r="BF464" s="687">
        <f>IF(O464="znížená",K464,0)</f>
        <v>0</v>
      </c>
      <c r="BG464" s="687">
        <f>IF(O464="zákl. prenesená",K464,0)</f>
        <v>0</v>
      </c>
      <c r="BH464" s="687">
        <f>IF(O464="zníž. prenesená",K464,0)</f>
        <v>0</v>
      </c>
      <c r="BI464" s="687">
        <f>IF(O464="nulová",K464,0)</f>
        <v>0</v>
      </c>
      <c r="BJ464" s="629" t="s">
        <v>795</v>
      </c>
      <c r="BK464" s="687">
        <f>ROUND(P464*H464,2)</f>
        <v>0</v>
      </c>
      <c r="BL464" s="629" t="s">
        <v>1185</v>
      </c>
      <c r="BM464" s="686" t="s">
        <v>1596</v>
      </c>
    </row>
    <row r="465" spans="1:65" s="756" customFormat="1" ht="11.25">
      <c r="B465" s="757"/>
      <c r="C465" s="758"/>
      <c r="D465" s="759" t="s">
        <v>1143</v>
      </c>
      <c r="E465" s="760" t="s">
        <v>1043</v>
      </c>
      <c r="F465" s="761" t="s">
        <v>1421</v>
      </c>
      <c r="G465" s="758"/>
      <c r="H465" s="760" t="s">
        <v>1043</v>
      </c>
      <c r="I465" s="758"/>
      <c r="J465" s="758"/>
      <c r="K465" s="758"/>
      <c r="L465" s="758"/>
      <c r="M465" s="762"/>
      <c r="N465" s="763"/>
      <c r="O465" s="764"/>
      <c r="P465" s="764"/>
      <c r="Q465" s="764"/>
      <c r="R465" s="764"/>
      <c r="S465" s="764"/>
      <c r="T465" s="764"/>
      <c r="U465" s="764"/>
      <c r="V465" s="764"/>
      <c r="W465" s="764"/>
      <c r="X465" s="765"/>
      <c r="AT465" s="766" t="s">
        <v>1143</v>
      </c>
      <c r="AU465" s="766" t="s">
        <v>795</v>
      </c>
      <c r="AV465" s="756" t="s">
        <v>791</v>
      </c>
      <c r="AW465" s="756" t="s">
        <v>1145</v>
      </c>
      <c r="AX465" s="756" t="s">
        <v>788</v>
      </c>
      <c r="AY465" s="766" t="s">
        <v>1063</v>
      </c>
    </row>
    <row r="466" spans="1:65" s="767" customFormat="1" ht="11.25">
      <c r="B466" s="768"/>
      <c r="C466" s="769"/>
      <c r="D466" s="759" t="s">
        <v>1143</v>
      </c>
      <c r="E466" s="770" t="s">
        <v>1043</v>
      </c>
      <c r="F466" s="771" t="s">
        <v>791</v>
      </c>
      <c r="G466" s="769"/>
      <c r="H466" s="772">
        <v>1</v>
      </c>
      <c r="I466" s="769"/>
      <c r="J466" s="769"/>
      <c r="K466" s="769"/>
      <c r="L466" s="769"/>
      <c r="M466" s="773"/>
      <c r="N466" s="774"/>
      <c r="O466" s="775"/>
      <c r="P466" s="775"/>
      <c r="Q466" s="775"/>
      <c r="R466" s="775"/>
      <c r="S466" s="775"/>
      <c r="T466" s="775"/>
      <c r="U466" s="775"/>
      <c r="V466" s="775"/>
      <c r="W466" s="775"/>
      <c r="X466" s="776"/>
      <c r="AT466" s="777" t="s">
        <v>1143</v>
      </c>
      <c r="AU466" s="777" t="s">
        <v>795</v>
      </c>
      <c r="AV466" s="767" t="s">
        <v>795</v>
      </c>
      <c r="AW466" s="767" t="s">
        <v>1145</v>
      </c>
      <c r="AX466" s="767" t="s">
        <v>788</v>
      </c>
      <c r="AY466" s="777" t="s">
        <v>1063</v>
      </c>
    </row>
    <row r="467" spans="1:65" s="778" customFormat="1" ht="11.25">
      <c r="B467" s="779"/>
      <c r="C467" s="780"/>
      <c r="D467" s="759" t="s">
        <v>1143</v>
      </c>
      <c r="E467" s="781" t="s">
        <v>1043</v>
      </c>
      <c r="F467" s="782" t="s">
        <v>1153</v>
      </c>
      <c r="G467" s="780"/>
      <c r="H467" s="783">
        <v>1</v>
      </c>
      <c r="I467" s="780"/>
      <c r="J467" s="780"/>
      <c r="K467" s="780"/>
      <c r="L467" s="780"/>
      <c r="M467" s="784"/>
      <c r="N467" s="785"/>
      <c r="O467" s="786"/>
      <c r="P467" s="786"/>
      <c r="Q467" s="786"/>
      <c r="R467" s="786"/>
      <c r="S467" s="786"/>
      <c r="T467" s="786"/>
      <c r="U467" s="786"/>
      <c r="V467" s="786"/>
      <c r="W467" s="786"/>
      <c r="X467" s="787"/>
      <c r="AT467" s="788" t="s">
        <v>1143</v>
      </c>
      <c r="AU467" s="788" t="s">
        <v>795</v>
      </c>
      <c r="AV467" s="778" t="s">
        <v>1065</v>
      </c>
      <c r="AW467" s="778" t="s">
        <v>1145</v>
      </c>
      <c r="AX467" s="778" t="s">
        <v>791</v>
      </c>
      <c r="AY467" s="788" t="s">
        <v>1063</v>
      </c>
    </row>
    <row r="468" spans="1:65" s="634" customFormat="1" ht="16.5" customHeight="1">
      <c r="A468" s="705"/>
      <c r="B468" s="706"/>
      <c r="C468" s="789" t="s">
        <v>1606</v>
      </c>
      <c r="D468" s="789" t="s">
        <v>83</v>
      </c>
      <c r="E468" s="790" t="s">
        <v>1598</v>
      </c>
      <c r="F468" s="791" t="s">
        <v>1599</v>
      </c>
      <c r="G468" s="792" t="s">
        <v>19</v>
      </c>
      <c r="H468" s="793">
        <v>1</v>
      </c>
      <c r="I468" s="794"/>
      <c r="J468" s="795"/>
      <c r="K468" s="794">
        <f>ROUND(P468*H468,2)</f>
        <v>0</v>
      </c>
      <c r="L468" s="795"/>
      <c r="M468" s="701"/>
      <c r="N468" s="796" t="s">
        <v>1043</v>
      </c>
      <c r="O468" s="752" t="s">
        <v>1129</v>
      </c>
      <c r="P468" s="753">
        <f>I468+J468</f>
        <v>0</v>
      </c>
      <c r="Q468" s="753">
        <f>ROUND(I468*H468,2)</f>
        <v>0</v>
      </c>
      <c r="R468" s="753">
        <f>ROUND(J468*H468,2)</f>
        <v>0</v>
      </c>
      <c r="S468" s="754">
        <v>0</v>
      </c>
      <c r="T468" s="754">
        <f>S468*H468</f>
        <v>0</v>
      </c>
      <c r="U468" s="754">
        <v>1.8499999999999999E-2</v>
      </c>
      <c r="V468" s="754">
        <f>U468*H468</f>
        <v>1.8499999999999999E-2</v>
      </c>
      <c r="W468" s="754">
        <v>0</v>
      </c>
      <c r="X468" s="755">
        <f>W468*H468</f>
        <v>0</v>
      </c>
      <c r="Y468" s="705"/>
      <c r="Z468" s="705"/>
      <c r="AA468" s="705"/>
      <c r="AB468" s="705"/>
      <c r="AC468" s="705"/>
      <c r="AD468" s="705"/>
      <c r="AE468" s="705"/>
      <c r="AR468" s="686" t="s">
        <v>1190</v>
      </c>
      <c r="AT468" s="686" t="s">
        <v>83</v>
      </c>
      <c r="AU468" s="686" t="s">
        <v>795</v>
      </c>
      <c r="AY468" s="629" t="s">
        <v>1063</v>
      </c>
      <c r="BE468" s="687">
        <f>IF(O468="základná",K468,0)</f>
        <v>0</v>
      </c>
      <c r="BF468" s="687">
        <f>IF(O468="znížená",K468,0)</f>
        <v>0</v>
      </c>
      <c r="BG468" s="687">
        <f>IF(O468="zákl. prenesená",K468,0)</f>
        <v>0</v>
      </c>
      <c r="BH468" s="687">
        <f>IF(O468="zníž. prenesená",K468,0)</f>
        <v>0</v>
      </c>
      <c r="BI468" s="687">
        <f>IF(O468="nulová",K468,0)</f>
        <v>0</v>
      </c>
      <c r="BJ468" s="629" t="s">
        <v>795</v>
      </c>
      <c r="BK468" s="687">
        <f>ROUND(P468*H468,2)</f>
        <v>0</v>
      </c>
      <c r="BL468" s="629" t="s">
        <v>1185</v>
      </c>
      <c r="BM468" s="686" t="s">
        <v>1600</v>
      </c>
    </row>
    <row r="469" spans="1:65" s="756" customFormat="1" ht="11.25">
      <c r="B469" s="757"/>
      <c r="C469" s="758"/>
      <c r="D469" s="759" t="s">
        <v>1143</v>
      </c>
      <c r="E469" s="760" t="s">
        <v>1043</v>
      </c>
      <c r="F469" s="761" t="s">
        <v>1421</v>
      </c>
      <c r="G469" s="758"/>
      <c r="H469" s="760" t="s">
        <v>1043</v>
      </c>
      <c r="I469" s="758"/>
      <c r="J469" s="758"/>
      <c r="K469" s="758"/>
      <c r="L469" s="758"/>
      <c r="M469" s="762"/>
      <c r="N469" s="763"/>
      <c r="O469" s="764"/>
      <c r="P469" s="764"/>
      <c r="Q469" s="764"/>
      <c r="R469" s="764"/>
      <c r="S469" s="764"/>
      <c r="T469" s="764"/>
      <c r="U469" s="764"/>
      <c r="V469" s="764"/>
      <c r="W469" s="764"/>
      <c r="X469" s="765"/>
      <c r="AT469" s="766" t="s">
        <v>1143</v>
      </c>
      <c r="AU469" s="766" t="s">
        <v>795</v>
      </c>
      <c r="AV469" s="756" t="s">
        <v>791</v>
      </c>
      <c r="AW469" s="756" t="s">
        <v>1145</v>
      </c>
      <c r="AX469" s="756" t="s">
        <v>788</v>
      </c>
      <c r="AY469" s="766" t="s">
        <v>1063</v>
      </c>
    </row>
    <row r="470" spans="1:65" s="767" customFormat="1" ht="11.25">
      <c r="B470" s="768"/>
      <c r="C470" s="769"/>
      <c r="D470" s="759" t="s">
        <v>1143</v>
      </c>
      <c r="E470" s="770" t="s">
        <v>1043</v>
      </c>
      <c r="F470" s="771" t="s">
        <v>791</v>
      </c>
      <c r="G470" s="769"/>
      <c r="H470" s="772">
        <v>1</v>
      </c>
      <c r="I470" s="769"/>
      <c r="J470" s="769"/>
      <c r="K470" s="769"/>
      <c r="L470" s="769"/>
      <c r="M470" s="773"/>
      <c r="N470" s="774"/>
      <c r="O470" s="775"/>
      <c r="P470" s="775"/>
      <c r="Q470" s="775"/>
      <c r="R470" s="775"/>
      <c r="S470" s="775"/>
      <c r="T470" s="775"/>
      <c r="U470" s="775"/>
      <c r="V470" s="775"/>
      <c r="W470" s="775"/>
      <c r="X470" s="776"/>
      <c r="AT470" s="777" t="s">
        <v>1143</v>
      </c>
      <c r="AU470" s="777" t="s">
        <v>795</v>
      </c>
      <c r="AV470" s="767" t="s">
        <v>795</v>
      </c>
      <c r="AW470" s="767" t="s">
        <v>1145</v>
      </c>
      <c r="AX470" s="767" t="s">
        <v>788</v>
      </c>
      <c r="AY470" s="777" t="s">
        <v>1063</v>
      </c>
    </row>
    <row r="471" spans="1:65" s="778" customFormat="1" ht="11.25">
      <c r="B471" s="779"/>
      <c r="C471" s="780"/>
      <c r="D471" s="759" t="s">
        <v>1143</v>
      </c>
      <c r="E471" s="781" t="s">
        <v>1043</v>
      </c>
      <c r="F471" s="782" t="s">
        <v>1153</v>
      </c>
      <c r="G471" s="780"/>
      <c r="H471" s="783">
        <v>1</v>
      </c>
      <c r="I471" s="780"/>
      <c r="J471" s="780"/>
      <c r="K471" s="780"/>
      <c r="L471" s="780"/>
      <c r="M471" s="784"/>
      <c r="N471" s="785"/>
      <c r="O471" s="786"/>
      <c r="P471" s="786"/>
      <c r="Q471" s="786"/>
      <c r="R471" s="786"/>
      <c r="S471" s="786"/>
      <c r="T471" s="786"/>
      <c r="U471" s="786"/>
      <c r="V471" s="786"/>
      <c r="W471" s="786"/>
      <c r="X471" s="787"/>
      <c r="AT471" s="788" t="s">
        <v>1143</v>
      </c>
      <c r="AU471" s="788" t="s">
        <v>795</v>
      </c>
      <c r="AV471" s="778" t="s">
        <v>1065</v>
      </c>
      <c r="AW471" s="778" t="s">
        <v>1145</v>
      </c>
      <c r="AX471" s="778" t="s">
        <v>791</v>
      </c>
      <c r="AY471" s="788" t="s">
        <v>1063</v>
      </c>
    </row>
    <row r="472" spans="1:65" s="634" customFormat="1" ht="21.75" customHeight="1">
      <c r="A472" s="705"/>
      <c r="B472" s="706"/>
      <c r="C472" s="744" t="s">
        <v>1611</v>
      </c>
      <c r="D472" s="744" t="s">
        <v>29</v>
      </c>
      <c r="E472" s="745" t="s">
        <v>1602</v>
      </c>
      <c r="F472" s="746" t="s">
        <v>1603</v>
      </c>
      <c r="G472" s="747" t="s">
        <v>19</v>
      </c>
      <c r="H472" s="748">
        <v>17</v>
      </c>
      <c r="I472" s="749"/>
      <c r="J472" s="749"/>
      <c r="K472" s="749">
        <f>ROUND(P472*H472,2)</f>
        <v>0</v>
      </c>
      <c r="L472" s="750"/>
      <c r="M472" s="631"/>
      <c r="N472" s="751" t="s">
        <v>1043</v>
      </c>
      <c r="O472" s="752" t="s">
        <v>1129</v>
      </c>
      <c r="P472" s="753">
        <f>I472+J472</f>
        <v>0</v>
      </c>
      <c r="Q472" s="753">
        <f>ROUND(I472*H472,2)</f>
        <v>0</v>
      </c>
      <c r="R472" s="753">
        <f>ROUND(J472*H472,2)</f>
        <v>0</v>
      </c>
      <c r="S472" s="754">
        <v>0.16</v>
      </c>
      <c r="T472" s="754">
        <f>S472*H472</f>
        <v>2.72</v>
      </c>
      <c r="U472" s="754">
        <v>0</v>
      </c>
      <c r="V472" s="754">
        <f>U472*H472</f>
        <v>0</v>
      </c>
      <c r="W472" s="754">
        <v>0</v>
      </c>
      <c r="X472" s="755">
        <f>W472*H472</f>
        <v>0</v>
      </c>
      <c r="Y472" s="705"/>
      <c r="Z472" s="705"/>
      <c r="AA472" s="705"/>
      <c r="AB472" s="705"/>
      <c r="AC472" s="705"/>
      <c r="AD472" s="705"/>
      <c r="AE472" s="705"/>
      <c r="AR472" s="686" t="s">
        <v>1185</v>
      </c>
      <c r="AT472" s="686" t="s">
        <v>29</v>
      </c>
      <c r="AU472" s="686" t="s">
        <v>795</v>
      </c>
      <c r="AY472" s="629" t="s">
        <v>1063</v>
      </c>
      <c r="BE472" s="687">
        <f>IF(O472="základná",K472,0)</f>
        <v>0</v>
      </c>
      <c r="BF472" s="687">
        <f>IF(O472="znížená",K472,0)</f>
        <v>0</v>
      </c>
      <c r="BG472" s="687">
        <f>IF(O472="zákl. prenesená",K472,0)</f>
        <v>0</v>
      </c>
      <c r="BH472" s="687">
        <f>IF(O472="zníž. prenesená",K472,0)</f>
        <v>0</v>
      </c>
      <c r="BI472" s="687">
        <f>IF(O472="nulová",K472,0)</f>
        <v>0</v>
      </c>
      <c r="BJ472" s="629" t="s">
        <v>795</v>
      </c>
      <c r="BK472" s="687">
        <f>ROUND(P472*H472,2)</f>
        <v>0</v>
      </c>
      <c r="BL472" s="629" t="s">
        <v>1185</v>
      </c>
      <c r="BM472" s="686" t="s">
        <v>1604</v>
      </c>
    </row>
    <row r="473" spans="1:65" s="756" customFormat="1" ht="11.25">
      <c r="B473" s="757"/>
      <c r="C473" s="758"/>
      <c r="D473" s="759" t="s">
        <v>1143</v>
      </c>
      <c r="E473" s="760" t="s">
        <v>1043</v>
      </c>
      <c r="F473" s="761" t="s">
        <v>1605</v>
      </c>
      <c r="G473" s="758"/>
      <c r="H473" s="760" t="s">
        <v>1043</v>
      </c>
      <c r="I473" s="758"/>
      <c r="J473" s="758"/>
      <c r="K473" s="758"/>
      <c r="L473" s="758"/>
      <c r="M473" s="762"/>
      <c r="N473" s="763"/>
      <c r="O473" s="764"/>
      <c r="P473" s="764"/>
      <c r="Q473" s="764"/>
      <c r="R473" s="764"/>
      <c r="S473" s="764"/>
      <c r="T473" s="764"/>
      <c r="U473" s="764"/>
      <c r="V473" s="764"/>
      <c r="W473" s="764"/>
      <c r="X473" s="765"/>
      <c r="AT473" s="766" t="s">
        <v>1143</v>
      </c>
      <c r="AU473" s="766" t="s">
        <v>795</v>
      </c>
      <c r="AV473" s="756" t="s">
        <v>791</v>
      </c>
      <c r="AW473" s="756" t="s">
        <v>1145</v>
      </c>
      <c r="AX473" s="756" t="s">
        <v>788</v>
      </c>
      <c r="AY473" s="766" t="s">
        <v>1063</v>
      </c>
    </row>
    <row r="474" spans="1:65" s="767" customFormat="1" ht="11.25">
      <c r="B474" s="768"/>
      <c r="C474" s="769"/>
      <c r="D474" s="759" t="s">
        <v>1143</v>
      </c>
      <c r="E474" s="770" t="s">
        <v>1043</v>
      </c>
      <c r="F474" s="771" t="s">
        <v>1234</v>
      </c>
      <c r="G474" s="769"/>
      <c r="H474" s="772">
        <v>17</v>
      </c>
      <c r="I474" s="769"/>
      <c r="J474" s="769"/>
      <c r="K474" s="769"/>
      <c r="L474" s="769"/>
      <c r="M474" s="773"/>
      <c r="N474" s="774"/>
      <c r="O474" s="775"/>
      <c r="P474" s="775"/>
      <c r="Q474" s="775"/>
      <c r="R474" s="775"/>
      <c r="S474" s="775"/>
      <c r="T474" s="775"/>
      <c r="U474" s="775"/>
      <c r="V474" s="775"/>
      <c r="W474" s="775"/>
      <c r="X474" s="776"/>
      <c r="AT474" s="777" t="s">
        <v>1143</v>
      </c>
      <c r="AU474" s="777" t="s">
        <v>795</v>
      </c>
      <c r="AV474" s="767" t="s">
        <v>795</v>
      </c>
      <c r="AW474" s="767" t="s">
        <v>1145</v>
      </c>
      <c r="AX474" s="767" t="s">
        <v>788</v>
      </c>
      <c r="AY474" s="777" t="s">
        <v>1063</v>
      </c>
    </row>
    <row r="475" spans="1:65" s="778" customFormat="1" ht="11.25">
      <c r="B475" s="779"/>
      <c r="C475" s="780"/>
      <c r="D475" s="759" t="s">
        <v>1143</v>
      </c>
      <c r="E475" s="781" t="s">
        <v>1043</v>
      </c>
      <c r="F475" s="782" t="s">
        <v>1153</v>
      </c>
      <c r="G475" s="780"/>
      <c r="H475" s="783">
        <v>17</v>
      </c>
      <c r="I475" s="780"/>
      <c r="J475" s="780"/>
      <c r="K475" s="780"/>
      <c r="L475" s="780"/>
      <c r="M475" s="784"/>
      <c r="N475" s="785"/>
      <c r="O475" s="786"/>
      <c r="P475" s="786"/>
      <c r="Q475" s="786"/>
      <c r="R475" s="786"/>
      <c r="S475" s="786"/>
      <c r="T475" s="786"/>
      <c r="U475" s="786"/>
      <c r="V475" s="786"/>
      <c r="W475" s="786"/>
      <c r="X475" s="787"/>
      <c r="AT475" s="788" t="s">
        <v>1143</v>
      </c>
      <c r="AU475" s="788" t="s">
        <v>795</v>
      </c>
      <c r="AV475" s="778" t="s">
        <v>1065</v>
      </c>
      <c r="AW475" s="778" t="s">
        <v>1145</v>
      </c>
      <c r="AX475" s="778" t="s">
        <v>791</v>
      </c>
      <c r="AY475" s="788" t="s">
        <v>1063</v>
      </c>
    </row>
    <row r="476" spans="1:65" s="634" customFormat="1" ht="16.5" customHeight="1">
      <c r="A476" s="705"/>
      <c r="B476" s="706"/>
      <c r="C476" s="789" t="s">
        <v>1615</v>
      </c>
      <c r="D476" s="789" t="s">
        <v>83</v>
      </c>
      <c r="E476" s="790" t="s">
        <v>1607</v>
      </c>
      <c r="F476" s="791" t="s">
        <v>1608</v>
      </c>
      <c r="G476" s="792" t="s">
        <v>19</v>
      </c>
      <c r="H476" s="793">
        <v>5</v>
      </c>
      <c r="I476" s="794"/>
      <c r="J476" s="795"/>
      <c r="K476" s="794">
        <f>ROUND(P476*H476,2)</f>
        <v>0</v>
      </c>
      <c r="L476" s="795"/>
      <c r="M476" s="701"/>
      <c r="N476" s="796" t="s">
        <v>1043</v>
      </c>
      <c r="O476" s="752" t="s">
        <v>1129</v>
      </c>
      <c r="P476" s="753">
        <f>I476+J476</f>
        <v>0</v>
      </c>
      <c r="Q476" s="753">
        <f>ROUND(I476*H476,2)</f>
        <v>0</v>
      </c>
      <c r="R476" s="753">
        <f>ROUND(J476*H476,2)</f>
        <v>0</v>
      </c>
      <c r="S476" s="754">
        <v>0</v>
      </c>
      <c r="T476" s="754">
        <f>S476*H476</f>
        <v>0</v>
      </c>
      <c r="U476" s="754">
        <v>4.0000000000000002E-4</v>
      </c>
      <c r="V476" s="754">
        <f>U476*H476</f>
        <v>2E-3</v>
      </c>
      <c r="W476" s="754">
        <v>0</v>
      </c>
      <c r="X476" s="755">
        <f>W476*H476</f>
        <v>0</v>
      </c>
      <c r="Y476" s="705"/>
      <c r="Z476" s="705"/>
      <c r="AA476" s="705"/>
      <c r="AB476" s="705"/>
      <c r="AC476" s="705"/>
      <c r="AD476" s="705"/>
      <c r="AE476" s="705"/>
      <c r="AR476" s="686" t="s">
        <v>1190</v>
      </c>
      <c r="AT476" s="686" t="s">
        <v>83</v>
      </c>
      <c r="AU476" s="686" t="s">
        <v>795</v>
      </c>
      <c r="AY476" s="629" t="s">
        <v>1063</v>
      </c>
      <c r="BE476" s="687">
        <f>IF(O476="základná",K476,0)</f>
        <v>0</v>
      </c>
      <c r="BF476" s="687">
        <f>IF(O476="znížená",K476,0)</f>
        <v>0</v>
      </c>
      <c r="BG476" s="687">
        <f>IF(O476="zákl. prenesená",K476,0)</f>
        <v>0</v>
      </c>
      <c r="BH476" s="687">
        <f>IF(O476="zníž. prenesená",K476,0)</f>
        <v>0</v>
      </c>
      <c r="BI476" s="687">
        <f>IF(O476="nulová",K476,0)</f>
        <v>0</v>
      </c>
      <c r="BJ476" s="629" t="s">
        <v>795</v>
      </c>
      <c r="BK476" s="687">
        <f>ROUND(P476*H476,2)</f>
        <v>0</v>
      </c>
      <c r="BL476" s="629" t="s">
        <v>1185</v>
      </c>
      <c r="BM476" s="686" t="s">
        <v>1609</v>
      </c>
    </row>
    <row r="477" spans="1:65" s="756" customFormat="1" ht="11.25">
      <c r="B477" s="757"/>
      <c r="C477" s="758"/>
      <c r="D477" s="759" t="s">
        <v>1143</v>
      </c>
      <c r="E477" s="760" t="s">
        <v>1043</v>
      </c>
      <c r="F477" s="761" t="s">
        <v>1610</v>
      </c>
      <c r="G477" s="758"/>
      <c r="H477" s="760" t="s">
        <v>1043</v>
      </c>
      <c r="I477" s="758"/>
      <c r="J477" s="758"/>
      <c r="K477" s="758"/>
      <c r="L477" s="758"/>
      <c r="M477" s="762"/>
      <c r="N477" s="763"/>
      <c r="O477" s="764"/>
      <c r="P477" s="764"/>
      <c r="Q477" s="764"/>
      <c r="R477" s="764"/>
      <c r="S477" s="764"/>
      <c r="T477" s="764"/>
      <c r="U477" s="764"/>
      <c r="V477" s="764"/>
      <c r="W477" s="764"/>
      <c r="X477" s="765"/>
      <c r="AT477" s="766" t="s">
        <v>1143</v>
      </c>
      <c r="AU477" s="766" t="s">
        <v>795</v>
      </c>
      <c r="AV477" s="756" t="s">
        <v>791</v>
      </c>
      <c r="AW477" s="756" t="s">
        <v>1145</v>
      </c>
      <c r="AX477" s="756" t="s">
        <v>788</v>
      </c>
      <c r="AY477" s="766" t="s">
        <v>1063</v>
      </c>
    </row>
    <row r="478" spans="1:65" s="767" customFormat="1" ht="11.25">
      <c r="B478" s="768"/>
      <c r="C478" s="769"/>
      <c r="D478" s="759" t="s">
        <v>1143</v>
      </c>
      <c r="E478" s="770" t="s">
        <v>1043</v>
      </c>
      <c r="F478" s="771" t="s">
        <v>1074</v>
      </c>
      <c r="G478" s="769"/>
      <c r="H478" s="772">
        <v>5</v>
      </c>
      <c r="I478" s="769"/>
      <c r="J478" s="769"/>
      <c r="K478" s="769"/>
      <c r="L478" s="769"/>
      <c r="M478" s="773"/>
      <c r="N478" s="774"/>
      <c r="O478" s="775"/>
      <c r="P478" s="775"/>
      <c r="Q478" s="775"/>
      <c r="R478" s="775"/>
      <c r="S478" s="775"/>
      <c r="T478" s="775"/>
      <c r="U478" s="775"/>
      <c r="V478" s="775"/>
      <c r="W478" s="775"/>
      <c r="X478" s="776"/>
      <c r="AT478" s="777" t="s">
        <v>1143</v>
      </c>
      <c r="AU478" s="777" t="s">
        <v>795</v>
      </c>
      <c r="AV478" s="767" t="s">
        <v>795</v>
      </c>
      <c r="AW478" s="767" t="s">
        <v>1145</v>
      </c>
      <c r="AX478" s="767" t="s">
        <v>788</v>
      </c>
      <c r="AY478" s="777" t="s">
        <v>1063</v>
      </c>
    </row>
    <row r="479" spans="1:65" s="778" customFormat="1" ht="11.25">
      <c r="B479" s="779"/>
      <c r="C479" s="780"/>
      <c r="D479" s="759" t="s">
        <v>1143</v>
      </c>
      <c r="E479" s="781" t="s">
        <v>1043</v>
      </c>
      <c r="F479" s="782" t="s">
        <v>1153</v>
      </c>
      <c r="G479" s="780"/>
      <c r="H479" s="783">
        <v>5</v>
      </c>
      <c r="I479" s="780"/>
      <c r="J479" s="780"/>
      <c r="K479" s="780"/>
      <c r="L479" s="780"/>
      <c r="M479" s="784"/>
      <c r="N479" s="785"/>
      <c r="O479" s="786"/>
      <c r="P479" s="786"/>
      <c r="Q479" s="786"/>
      <c r="R479" s="786"/>
      <c r="S479" s="786"/>
      <c r="T479" s="786"/>
      <c r="U479" s="786"/>
      <c r="V479" s="786"/>
      <c r="W479" s="786"/>
      <c r="X479" s="787"/>
      <c r="AT479" s="788" t="s">
        <v>1143</v>
      </c>
      <c r="AU479" s="788" t="s">
        <v>795</v>
      </c>
      <c r="AV479" s="778" t="s">
        <v>1065</v>
      </c>
      <c r="AW479" s="778" t="s">
        <v>1145</v>
      </c>
      <c r="AX479" s="778" t="s">
        <v>791</v>
      </c>
      <c r="AY479" s="788" t="s">
        <v>1063</v>
      </c>
    </row>
    <row r="480" spans="1:65" s="634" customFormat="1" ht="16.5" customHeight="1">
      <c r="A480" s="705"/>
      <c r="B480" s="706"/>
      <c r="C480" s="789" t="s">
        <v>1619</v>
      </c>
      <c r="D480" s="789" t="s">
        <v>83</v>
      </c>
      <c r="E480" s="790" t="s">
        <v>1612</v>
      </c>
      <c r="F480" s="791" t="s">
        <v>1613</v>
      </c>
      <c r="G480" s="792" t="s">
        <v>19</v>
      </c>
      <c r="H480" s="793">
        <v>6</v>
      </c>
      <c r="I480" s="794"/>
      <c r="J480" s="795"/>
      <c r="K480" s="794">
        <f>ROUND(P480*H480,2)</f>
        <v>0</v>
      </c>
      <c r="L480" s="795"/>
      <c r="M480" s="701"/>
      <c r="N480" s="796" t="s">
        <v>1043</v>
      </c>
      <c r="O480" s="752" t="s">
        <v>1129</v>
      </c>
      <c r="P480" s="753">
        <f>I480+J480</f>
        <v>0</v>
      </c>
      <c r="Q480" s="753">
        <f>ROUND(I480*H480,2)</f>
        <v>0</v>
      </c>
      <c r="R480" s="753">
        <f>ROUND(J480*H480,2)</f>
        <v>0</v>
      </c>
      <c r="S480" s="754">
        <v>0</v>
      </c>
      <c r="T480" s="754">
        <f>S480*H480</f>
        <v>0</v>
      </c>
      <c r="U480" s="754">
        <v>5.0000000000000001E-4</v>
      </c>
      <c r="V480" s="754">
        <f>U480*H480</f>
        <v>3.0000000000000001E-3</v>
      </c>
      <c r="W480" s="754">
        <v>0</v>
      </c>
      <c r="X480" s="755">
        <f>W480*H480</f>
        <v>0</v>
      </c>
      <c r="Y480" s="705"/>
      <c r="Z480" s="705"/>
      <c r="AA480" s="705"/>
      <c r="AB480" s="705"/>
      <c r="AC480" s="705"/>
      <c r="AD480" s="705"/>
      <c r="AE480" s="705"/>
      <c r="AR480" s="686" t="s">
        <v>1190</v>
      </c>
      <c r="AT480" s="686" t="s">
        <v>83</v>
      </c>
      <c r="AU480" s="686" t="s">
        <v>795</v>
      </c>
      <c r="AY480" s="629" t="s">
        <v>1063</v>
      </c>
      <c r="BE480" s="687">
        <f>IF(O480="základná",K480,0)</f>
        <v>0</v>
      </c>
      <c r="BF480" s="687">
        <f>IF(O480="znížená",K480,0)</f>
        <v>0</v>
      </c>
      <c r="BG480" s="687">
        <f>IF(O480="zákl. prenesená",K480,0)</f>
        <v>0</v>
      </c>
      <c r="BH480" s="687">
        <f>IF(O480="zníž. prenesená",K480,0)</f>
        <v>0</v>
      </c>
      <c r="BI480" s="687">
        <f>IF(O480="nulová",K480,0)</f>
        <v>0</v>
      </c>
      <c r="BJ480" s="629" t="s">
        <v>795</v>
      </c>
      <c r="BK480" s="687">
        <f>ROUND(P480*H480,2)</f>
        <v>0</v>
      </c>
      <c r="BL480" s="629" t="s">
        <v>1185</v>
      </c>
      <c r="BM480" s="686" t="s">
        <v>1614</v>
      </c>
    </row>
    <row r="481" spans="1:65" s="756" customFormat="1" ht="11.25">
      <c r="B481" s="757"/>
      <c r="C481" s="758"/>
      <c r="D481" s="759" t="s">
        <v>1143</v>
      </c>
      <c r="E481" s="760" t="s">
        <v>1043</v>
      </c>
      <c r="F481" s="761" t="s">
        <v>1475</v>
      </c>
      <c r="G481" s="758"/>
      <c r="H481" s="760" t="s">
        <v>1043</v>
      </c>
      <c r="I481" s="758"/>
      <c r="J481" s="758"/>
      <c r="K481" s="758"/>
      <c r="L481" s="758"/>
      <c r="M481" s="762"/>
      <c r="N481" s="763"/>
      <c r="O481" s="764"/>
      <c r="P481" s="764"/>
      <c r="Q481" s="764"/>
      <c r="R481" s="764"/>
      <c r="S481" s="764"/>
      <c r="T481" s="764"/>
      <c r="U481" s="764"/>
      <c r="V481" s="764"/>
      <c r="W481" s="764"/>
      <c r="X481" s="765"/>
      <c r="AT481" s="766" t="s">
        <v>1143</v>
      </c>
      <c r="AU481" s="766" t="s">
        <v>795</v>
      </c>
      <c r="AV481" s="756" t="s">
        <v>791</v>
      </c>
      <c r="AW481" s="756" t="s">
        <v>1145</v>
      </c>
      <c r="AX481" s="756" t="s">
        <v>788</v>
      </c>
      <c r="AY481" s="766" t="s">
        <v>1063</v>
      </c>
    </row>
    <row r="482" spans="1:65" s="767" customFormat="1" ht="11.25">
      <c r="B482" s="768"/>
      <c r="C482" s="769"/>
      <c r="D482" s="759" t="s">
        <v>1143</v>
      </c>
      <c r="E482" s="770" t="s">
        <v>1043</v>
      </c>
      <c r="F482" s="771" t="s">
        <v>1176</v>
      </c>
      <c r="G482" s="769"/>
      <c r="H482" s="772">
        <v>6</v>
      </c>
      <c r="I482" s="769"/>
      <c r="J482" s="769"/>
      <c r="K482" s="769"/>
      <c r="L482" s="769"/>
      <c r="M482" s="773"/>
      <c r="N482" s="774"/>
      <c r="O482" s="775"/>
      <c r="P482" s="775"/>
      <c r="Q482" s="775"/>
      <c r="R482" s="775"/>
      <c r="S482" s="775"/>
      <c r="T482" s="775"/>
      <c r="U482" s="775"/>
      <c r="V482" s="775"/>
      <c r="W482" s="775"/>
      <c r="X482" s="776"/>
      <c r="AT482" s="777" t="s">
        <v>1143</v>
      </c>
      <c r="AU482" s="777" t="s">
        <v>795</v>
      </c>
      <c r="AV482" s="767" t="s">
        <v>795</v>
      </c>
      <c r="AW482" s="767" t="s">
        <v>1145</v>
      </c>
      <c r="AX482" s="767" t="s">
        <v>788</v>
      </c>
      <c r="AY482" s="777" t="s">
        <v>1063</v>
      </c>
    </row>
    <row r="483" spans="1:65" s="778" customFormat="1" ht="11.25">
      <c r="B483" s="779"/>
      <c r="C483" s="780"/>
      <c r="D483" s="759" t="s">
        <v>1143</v>
      </c>
      <c r="E483" s="781" t="s">
        <v>1043</v>
      </c>
      <c r="F483" s="782" t="s">
        <v>1153</v>
      </c>
      <c r="G483" s="780"/>
      <c r="H483" s="783">
        <v>6</v>
      </c>
      <c r="I483" s="780"/>
      <c r="J483" s="780"/>
      <c r="K483" s="780"/>
      <c r="L483" s="780"/>
      <c r="M483" s="784"/>
      <c r="N483" s="785"/>
      <c r="O483" s="786"/>
      <c r="P483" s="786"/>
      <c r="Q483" s="786"/>
      <c r="R483" s="786"/>
      <c r="S483" s="786"/>
      <c r="T483" s="786"/>
      <c r="U483" s="786"/>
      <c r="V483" s="786"/>
      <c r="W483" s="786"/>
      <c r="X483" s="787"/>
      <c r="AT483" s="788" t="s">
        <v>1143</v>
      </c>
      <c r="AU483" s="788" t="s">
        <v>795</v>
      </c>
      <c r="AV483" s="778" t="s">
        <v>1065</v>
      </c>
      <c r="AW483" s="778" t="s">
        <v>1145</v>
      </c>
      <c r="AX483" s="778" t="s">
        <v>791</v>
      </c>
      <c r="AY483" s="788" t="s">
        <v>1063</v>
      </c>
    </row>
    <row r="484" spans="1:65" s="634" customFormat="1" ht="16.5" customHeight="1">
      <c r="A484" s="705"/>
      <c r="B484" s="706"/>
      <c r="C484" s="789" t="s">
        <v>1624</v>
      </c>
      <c r="D484" s="789" t="s">
        <v>83</v>
      </c>
      <c r="E484" s="790" t="s">
        <v>1616</v>
      </c>
      <c r="F484" s="791" t="s">
        <v>1617</v>
      </c>
      <c r="G484" s="792" t="s">
        <v>19</v>
      </c>
      <c r="H484" s="793">
        <v>1</v>
      </c>
      <c r="I484" s="794"/>
      <c r="J484" s="795"/>
      <c r="K484" s="794">
        <f>ROUND(P484*H484,2)</f>
        <v>0</v>
      </c>
      <c r="L484" s="795"/>
      <c r="M484" s="701"/>
      <c r="N484" s="796" t="s">
        <v>1043</v>
      </c>
      <c r="O484" s="752" t="s">
        <v>1129</v>
      </c>
      <c r="P484" s="753">
        <f>I484+J484</f>
        <v>0</v>
      </c>
      <c r="Q484" s="753">
        <f>ROUND(I484*H484,2)</f>
        <v>0</v>
      </c>
      <c r="R484" s="753">
        <f>ROUND(J484*H484,2)</f>
        <v>0</v>
      </c>
      <c r="S484" s="754">
        <v>0</v>
      </c>
      <c r="T484" s="754">
        <f>S484*H484</f>
        <v>0</v>
      </c>
      <c r="U484" s="754">
        <v>1.4400000000000001E-3</v>
      </c>
      <c r="V484" s="754">
        <f>U484*H484</f>
        <v>1.4400000000000001E-3</v>
      </c>
      <c r="W484" s="754">
        <v>0</v>
      </c>
      <c r="X484" s="755">
        <f>W484*H484</f>
        <v>0</v>
      </c>
      <c r="Y484" s="705"/>
      <c r="Z484" s="705"/>
      <c r="AA484" s="705"/>
      <c r="AB484" s="705"/>
      <c r="AC484" s="705"/>
      <c r="AD484" s="705"/>
      <c r="AE484" s="705"/>
      <c r="AR484" s="686" t="s">
        <v>1190</v>
      </c>
      <c r="AT484" s="686" t="s">
        <v>83</v>
      </c>
      <c r="AU484" s="686" t="s">
        <v>795</v>
      </c>
      <c r="AY484" s="629" t="s">
        <v>1063</v>
      </c>
      <c r="BE484" s="687">
        <f>IF(O484="základná",K484,0)</f>
        <v>0</v>
      </c>
      <c r="BF484" s="687">
        <f>IF(O484="znížená",K484,0)</f>
        <v>0</v>
      </c>
      <c r="BG484" s="687">
        <f>IF(O484="zákl. prenesená",K484,0)</f>
        <v>0</v>
      </c>
      <c r="BH484" s="687">
        <f>IF(O484="zníž. prenesená",K484,0)</f>
        <v>0</v>
      </c>
      <c r="BI484" s="687">
        <f>IF(O484="nulová",K484,0)</f>
        <v>0</v>
      </c>
      <c r="BJ484" s="629" t="s">
        <v>795</v>
      </c>
      <c r="BK484" s="687">
        <f>ROUND(P484*H484,2)</f>
        <v>0</v>
      </c>
      <c r="BL484" s="629" t="s">
        <v>1185</v>
      </c>
      <c r="BM484" s="686" t="s">
        <v>1618</v>
      </c>
    </row>
    <row r="485" spans="1:65" s="756" customFormat="1" ht="11.25">
      <c r="B485" s="757"/>
      <c r="C485" s="758"/>
      <c r="D485" s="759" t="s">
        <v>1143</v>
      </c>
      <c r="E485" s="760" t="s">
        <v>1043</v>
      </c>
      <c r="F485" s="761" t="s">
        <v>1544</v>
      </c>
      <c r="G485" s="758"/>
      <c r="H485" s="760" t="s">
        <v>1043</v>
      </c>
      <c r="I485" s="758"/>
      <c r="J485" s="758"/>
      <c r="K485" s="758"/>
      <c r="L485" s="758"/>
      <c r="M485" s="762"/>
      <c r="N485" s="763"/>
      <c r="O485" s="764"/>
      <c r="P485" s="764"/>
      <c r="Q485" s="764"/>
      <c r="R485" s="764"/>
      <c r="S485" s="764"/>
      <c r="T485" s="764"/>
      <c r="U485" s="764"/>
      <c r="V485" s="764"/>
      <c r="W485" s="764"/>
      <c r="X485" s="765"/>
      <c r="AT485" s="766" t="s">
        <v>1143</v>
      </c>
      <c r="AU485" s="766" t="s">
        <v>795</v>
      </c>
      <c r="AV485" s="756" t="s">
        <v>791</v>
      </c>
      <c r="AW485" s="756" t="s">
        <v>1145</v>
      </c>
      <c r="AX485" s="756" t="s">
        <v>788</v>
      </c>
      <c r="AY485" s="766" t="s">
        <v>1063</v>
      </c>
    </row>
    <row r="486" spans="1:65" s="767" customFormat="1" ht="11.25">
      <c r="B486" s="768"/>
      <c r="C486" s="769"/>
      <c r="D486" s="759" t="s">
        <v>1143</v>
      </c>
      <c r="E486" s="770" t="s">
        <v>1043</v>
      </c>
      <c r="F486" s="771" t="s">
        <v>791</v>
      </c>
      <c r="G486" s="769"/>
      <c r="H486" s="772">
        <v>1</v>
      </c>
      <c r="I486" s="769"/>
      <c r="J486" s="769"/>
      <c r="K486" s="769"/>
      <c r="L486" s="769"/>
      <c r="M486" s="773"/>
      <c r="N486" s="774"/>
      <c r="O486" s="775"/>
      <c r="P486" s="775"/>
      <c r="Q486" s="775"/>
      <c r="R486" s="775"/>
      <c r="S486" s="775"/>
      <c r="T486" s="775"/>
      <c r="U486" s="775"/>
      <c r="V486" s="775"/>
      <c r="W486" s="775"/>
      <c r="X486" s="776"/>
      <c r="AT486" s="777" t="s">
        <v>1143</v>
      </c>
      <c r="AU486" s="777" t="s">
        <v>795</v>
      </c>
      <c r="AV486" s="767" t="s">
        <v>795</v>
      </c>
      <c r="AW486" s="767" t="s">
        <v>1145</v>
      </c>
      <c r="AX486" s="767" t="s">
        <v>788</v>
      </c>
      <c r="AY486" s="777" t="s">
        <v>1063</v>
      </c>
    </row>
    <row r="487" spans="1:65" s="778" customFormat="1" ht="11.25">
      <c r="B487" s="779"/>
      <c r="C487" s="780"/>
      <c r="D487" s="759" t="s">
        <v>1143</v>
      </c>
      <c r="E487" s="781" t="s">
        <v>1043</v>
      </c>
      <c r="F487" s="782" t="s">
        <v>1153</v>
      </c>
      <c r="G487" s="780"/>
      <c r="H487" s="783">
        <v>1</v>
      </c>
      <c r="I487" s="780"/>
      <c r="J487" s="780"/>
      <c r="K487" s="780"/>
      <c r="L487" s="780"/>
      <c r="M487" s="784"/>
      <c r="N487" s="785"/>
      <c r="O487" s="786"/>
      <c r="P487" s="786"/>
      <c r="Q487" s="786"/>
      <c r="R487" s="786"/>
      <c r="S487" s="786"/>
      <c r="T487" s="786"/>
      <c r="U487" s="786"/>
      <c r="V487" s="786"/>
      <c r="W487" s="786"/>
      <c r="X487" s="787"/>
      <c r="AT487" s="788" t="s">
        <v>1143</v>
      </c>
      <c r="AU487" s="788" t="s">
        <v>795</v>
      </c>
      <c r="AV487" s="778" t="s">
        <v>1065</v>
      </c>
      <c r="AW487" s="778" t="s">
        <v>1145</v>
      </c>
      <c r="AX487" s="778" t="s">
        <v>791</v>
      </c>
      <c r="AY487" s="788" t="s">
        <v>1063</v>
      </c>
    </row>
    <row r="488" spans="1:65" s="634" customFormat="1" ht="16.5" customHeight="1">
      <c r="A488" s="705"/>
      <c r="B488" s="706"/>
      <c r="C488" s="789" t="s">
        <v>1628</v>
      </c>
      <c r="D488" s="789" t="s">
        <v>83</v>
      </c>
      <c r="E488" s="790" t="s">
        <v>1620</v>
      </c>
      <c r="F488" s="791" t="s">
        <v>1621</v>
      </c>
      <c r="G488" s="792" t="s">
        <v>19</v>
      </c>
      <c r="H488" s="793">
        <v>5</v>
      </c>
      <c r="I488" s="794"/>
      <c r="J488" s="795"/>
      <c r="K488" s="794">
        <f>ROUND(P488*H488,2)</f>
        <v>0</v>
      </c>
      <c r="L488" s="795"/>
      <c r="M488" s="701"/>
      <c r="N488" s="796" t="s">
        <v>1043</v>
      </c>
      <c r="O488" s="752" t="s">
        <v>1129</v>
      </c>
      <c r="P488" s="753">
        <f>I488+J488</f>
        <v>0</v>
      </c>
      <c r="Q488" s="753">
        <f>ROUND(I488*H488,2)</f>
        <v>0</v>
      </c>
      <c r="R488" s="753">
        <f>ROUND(J488*H488,2)</f>
        <v>0</v>
      </c>
      <c r="S488" s="754">
        <v>0</v>
      </c>
      <c r="T488" s="754">
        <f>S488*H488</f>
        <v>0</v>
      </c>
      <c r="U488" s="754">
        <v>2.0799999999999998E-3</v>
      </c>
      <c r="V488" s="754">
        <f>U488*H488</f>
        <v>1.04E-2</v>
      </c>
      <c r="W488" s="754">
        <v>0</v>
      </c>
      <c r="X488" s="755">
        <f>W488*H488</f>
        <v>0</v>
      </c>
      <c r="Y488" s="705"/>
      <c r="Z488" s="705"/>
      <c r="AA488" s="705"/>
      <c r="AB488" s="705"/>
      <c r="AC488" s="705"/>
      <c r="AD488" s="705"/>
      <c r="AE488" s="705"/>
      <c r="AR488" s="686" t="s">
        <v>1190</v>
      </c>
      <c r="AT488" s="686" t="s">
        <v>83</v>
      </c>
      <c r="AU488" s="686" t="s">
        <v>795</v>
      </c>
      <c r="AY488" s="629" t="s">
        <v>1063</v>
      </c>
      <c r="BE488" s="687">
        <f>IF(O488="základná",K488,0)</f>
        <v>0</v>
      </c>
      <c r="BF488" s="687">
        <f>IF(O488="znížená",K488,0)</f>
        <v>0</v>
      </c>
      <c r="BG488" s="687">
        <f>IF(O488="zákl. prenesená",K488,0)</f>
        <v>0</v>
      </c>
      <c r="BH488" s="687">
        <f>IF(O488="zníž. prenesená",K488,0)</f>
        <v>0</v>
      </c>
      <c r="BI488" s="687">
        <f>IF(O488="nulová",K488,0)</f>
        <v>0</v>
      </c>
      <c r="BJ488" s="629" t="s">
        <v>795</v>
      </c>
      <c r="BK488" s="687">
        <f>ROUND(P488*H488,2)</f>
        <v>0</v>
      </c>
      <c r="BL488" s="629" t="s">
        <v>1185</v>
      </c>
      <c r="BM488" s="686" t="s">
        <v>1622</v>
      </c>
    </row>
    <row r="489" spans="1:65" s="756" customFormat="1" ht="11.25">
      <c r="B489" s="757"/>
      <c r="C489" s="758"/>
      <c r="D489" s="759" t="s">
        <v>1143</v>
      </c>
      <c r="E489" s="760" t="s">
        <v>1043</v>
      </c>
      <c r="F489" s="761" t="s">
        <v>1623</v>
      </c>
      <c r="G489" s="758"/>
      <c r="H489" s="760" t="s">
        <v>1043</v>
      </c>
      <c r="I489" s="758"/>
      <c r="J489" s="758"/>
      <c r="K489" s="758"/>
      <c r="L489" s="758"/>
      <c r="M489" s="762"/>
      <c r="N489" s="763"/>
      <c r="O489" s="764"/>
      <c r="P489" s="764"/>
      <c r="Q489" s="764"/>
      <c r="R489" s="764"/>
      <c r="S489" s="764"/>
      <c r="T489" s="764"/>
      <c r="U489" s="764"/>
      <c r="V489" s="764"/>
      <c r="W489" s="764"/>
      <c r="X489" s="765"/>
      <c r="AT489" s="766" t="s">
        <v>1143</v>
      </c>
      <c r="AU489" s="766" t="s">
        <v>795</v>
      </c>
      <c r="AV489" s="756" t="s">
        <v>791</v>
      </c>
      <c r="AW489" s="756" t="s">
        <v>1145</v>
      </c>
      <c r="AX489" s="756" t="s">
        <v>788</v>
      </c>
      <c r="AY489" s="766" t="s">
        <v>1063</v>
      </c>
    </row>
    <row r="490" spans="1:65" s="767" customFormat="1" ht="11.25">
      <c r="B490" s="768"/>
      <c r="C490" s="769"/>
      <c r="D490" s="759" t="s">
        <v>1143</v>
      </c>
      <c r="E490" s="770" t="s">
        <v>1043</v>
      </c>
      <c r="F490" s="771" t="s">
        <v>1074</v>
      </c>
      <c r="G490" s="769"/>
      <c r="H490" s="772">
        <v>5</v>
      </c>
      <c r="I490" s="769"/>
      <c r="J490" s="769"/>
      <c r="K490" s="769"/>
      <c r="L490" s="769"/>
      <c r="M490" s="773"/>
      <c r="N490" s="774"/>
      <c r="O490" s="775"/>
      <c r="P490" s="775"/>
      <c r="Q490" s="775"/>
      <c r="R490" s="775"/>
      <c r="S490" s="775"/>
      <c r="T490" s="775"/>
      <c r="U490" s="775"/>
      <c r="V490" s="775"/>
      <c r="W490" s="775"/>
      <c r="X490" s="776"/>
      <c r="AT490" s="777" t="s">
        <v>1143</v>
      </c>
      <c r="AU490" s="777" t="s">
        <v>795</v>
      </c>
      <c r="AV490" s="767" t="s">
        <v>795</v>
      </c>
      <c r="AW490" s="767" t="s">
        <v>1145</v>
      </c>
      <c r="AX490" s="767" t="s">
        <v>788</v>
      </c>
      <c r="AY490" s="777" t="s">
        <v>1063</v>
      </c>
    </row>
    <row r="491" spans="1:65" s="778" customFormat="1" ht="11.25">
      <c r="B491" s="779"/>
      <c r="C491" s="780"/>
      <c r="D491" s="759" t="s">
        <v>1143</v>
      </c>
      <c r="E491" s="781" t="s">
        <v>1043</v>
      </c>
      <c r="F491" s="782" t="s">
        <v>1153</v>
      </c>
      <c r="G491" s="780"/>
      <c r="H491" s="783">
        <v>5</v>
      </c>
      <c r="I491" s="780"/>
      <c r="J491" s="780"/>
      <c r="K491" s="780"/>
      <c r="L491" s="780"/>
      <c r="M491" s="784"/>
      <c r="N491" s="785"/>
      <c r="O491" s="786"/>
      <c r="P491" s="786"/>
      <c r="Q491" s="786"/>
      <c r="R491" s="786"/>
      <c r="S491" s="786"/>
      <c r="T491" s="786"/>
      <c r="U491" s="786"/>
      <c r="V491" s="786"/>
      <c r="W491" s="786"/>
      <c r="X491" s="787"/>
      <c r="AT491" s="788" t="s">
        <v>1143</v>
      </c>
      <c r="AU491" s="788" t="s">
        <v>795</v>
      </c>
      <c r="AV491" s="778" t="s">
        <v>1065</v>
      </c>
      <c r="AW491" s="778" t="s">
        <v>1145</v>
      </c>
      <c r="AX491" s="778" t="s">
        <v>791</v>
      </c>
      <c r="AY491" s="788" t="s">
        <v>1063</v>
      </c>
    </row>
    <row r="492" spans="1:65" s="634" customFormat="1" ht="21.75" customHeight="1">
      <c r="A492" s="705"/>
      <c r="B492" s="706"/>
      <c r="C492" s="744" t="s">
        <v>1632</v>
      </c>
      <c r="D492" s="744" t="s">
        <v>29</v>
      </c>
      <c r="E492" s="745" t="s">
        <v>1625</v>
      </c>
      <c r="F492" s="746" t="s">
        <v>1626</v>
      </c>
      <c r="G492" s="747" t="s">
        <v>19</v>
      </c>
      <c r="H492" s="748">
        <v>2</v>
      </c>
      <c r="I492" s="749"/>
      <c r="J492" s="749"/>
      <c r="K492" s="749">
        <f>ROUND(P492*H492,2)</f>
        <v>0</v>
      </c>
      <c r="L492" s="750"/>
      <c r="M492" s="631"/>
      <c r="N492" s="751" t="s">
        <v>1043</v>
      </c>
      <c r="O492" s="752" t="s">
        <v>1129</v>
      </c>
      <c r="P492" s="753">
        <f>I492+J492</f>
        <v>0</v>
      </c>
      <c r="Q492" s="753">
        <f>ROUND(I492*H492,2)</f>
        <v>0</v>
      </c>
      <c r="R492" s="753">
        <f>ROUND(J492*H492,2)</f>
        <v>0</v>
      </c>
      <c r="S492" s="754">
        <v>0.19900000000000001</v>
      </c>
      <c r="T492" s="754">
        <f>S492*H492</f>
        <v>0.39800000000000002</v>
      </c>
      <c r="U492" s="754">
        <v>0</v>
      </c>
      <c r="V492" s="754">
        <f>U492*H492</f>
        <v>0</v>
      </c>
      <c r="W492" s="754">
        <v>0</v>
      </c>
      <c r="X492" s="755">
        <f>W492*H492</f>
        <v>0</v>
      </c>
      <c r="Y492" s="705"/>
      <c r="Z492" s="705"/>
      <c r="AA492" s="705"/>
      <c r="AB492" s="705"/>
      <c r="AC492" s="705"/>
      <c r="AD492" s="705"/>
      <c r="AE492" s="705"/>
      <c r="AR492" s="686" t="s">
        <v>1185</v>
      </c>
      <c r="AT492" s="686" t="s">
        <v>29</v>
      </c>
      <c r="AU492" s="686" t="s">
        <v>795</v>
      </c>
      <c r="AY492" s="629" t="s">
        <v>1063</v>
      </c>
      <c r="BE492" s="687">
        <f>IF(O492="základná",K492,0)</f>
        <v>0</v>
      </c>
      <c r="BF492" s="687">
        <f>IF(O492="znížená",K492,0)</f>
        <v>0</v>
      </c>
      <c r="BG492" s="687">
        <f>IF(O492="zákl. prenesená",K492,0)</f>
        <v>0</v>
      </c>
      <c r="BH492" s="687">
        <f>IF(O492="zníž. prenesená",K492,0)</f>
        <v>0</v>
      </c>
      <c r="BI492" s="687">
        <f>IF(O492="nulová",K492,0)</f>
        <v>0</v>
      </c>
      <c r="BJ492" s="629" t="s">
        <v>795</v>
      </c>
      <c r="BK492" s="687">
        <f>ROUND(P492*H492,2)</f>
        <v>0</v>
      </c>
      <c r="BL492" s="629" t="s">
        <v>1185</v>
      </c>
      <c r="BM492" s="686" t="s">
        <v>1627</v>
      </c>
    </row>
    <row r="493" spans="1:65" s="756" customFormat="1" ht="11.25">
      <c r="B493" s="757"/>
      <c r="C493" s="758"/>
      <c r="D493" s="759" t="s">
        <v>1143</v>
      </c>
      <c r="E493" s="760" t="s">
        <v>1043</v>
      </c>
      <c r="F493" s="761" t="s">
        <v>1544</v>
      </c>
      <c r="G493" s="758"/>
      <c r="H493" s="760" t="s">
        <v>1043</v>
      </c>
      <c r="I493" s="758"/>
      <c r="J493" s="758"/>
      <c r="K493" s="758"/>
      <c r="L493" s="758"/>
      <c r="M493" s="762"/>
      <c r="N493" s="763"/>
      <c r="O493" s="764"/>
      <c r="P493" s="764"/>
      <c r="Q493" s="764"/>
      <c r="R493" s="764"/>
      <c r="S493" s="764"/>
      <c r="T493" s="764"/>
      <c r="U493" s="764"/>
      <c r="V493" s="764"/>
      <c r="W493" s="764"/>
      <c r="X493" s="765"/>
      <c r="AT493" s="766" t="s">
        <v>1143</v>
      </c>
      <c r="AU493" s="766" t="s">
        <v>795</v>
      </c>
      <c r="AV493" s="756" t="s">
        <v>791</v>
      </c>
      <c r="AW493" s="756" t="s">
        <v>1145</v>
      </c>
      <c r="AX493" s="756" t="s">
        <v>788</v>
      </c>
      <c r="AY493" s="766" t="s">
        <v>1063</v>
      </c>
    </row>
    <row r="494" spans="1:65" s="767" customFormat="1" ht="11.25">
      <c r="B494" s="768"/>
      <c r="C494" s="769"/>
      <c r="D494" s="759" t="s">
        <v>1143</v>
      </c>
      <c r="E494" s="770" t="s">
        <v>1043</v>
      </c>
      <c r="F494" s="771" t="s">
        <v>795</v>
      </c>
      <c r="G494" s="769"/>
      <c r="H494" s="772">
        <v>2</v>
      </c>
      <c r="I494" s="769"/>
      <c r="J494" s="769"/>
      <c r="K494" s="769"/>
      <c r="L494" s="769"/>
      <c r="M494" s="773"/>
      <c r="N494" s="774"/>
      <c r="O494" s="775"/>
      <c r="P494" s="775"/>
      <c r="Q494" s="775"/>
      <c r="R494" s="775"/>
      <c r="S494" s="775"/>
      <c r="T494" s="775"/>
      <c r="U494" s="775"/>
      <c r="V494" s="775"/>
      <c r="W494" s="775"/>
      <c r="X494" s="776"/>
      <c r="AT494" s="777" t="s">
        <v>1143</v>
      </c>
      <c r="AU494" s="777" t="s">
        <v>795</v>
      </c>
      <c r="AV494" s="767" t="s">
        <v>795</v>
      </c>
      <c r="AW494" s="767" t="s">
        <v>1145</v>
      </c>
      <c r="AX494" s="767" t="s">
        <v>788</v>
      </c>
      <c r="AY494" s="777" t="s">
        <v>1063</v>
      </c>
    </row>
    <row r="495" spans="1:65" s="778" customFormat="1" ht="11.25">
      <c r="B495" s="779"/>
      <c r="C495" s="780"/>
      <c r="D495" s="759" t="s">
        <v>1143</v>
      </c>
      <c r="E495" s="781" t="s">
        <v>1043</v>
      </c>
      <c r="F495" s="782" t="s">
        <v>1153</v>
      </c>
      <c r="G495" s="780"/>
      <c r="H495" s="783">
        <v>2</v>
      </c>
      <c r="I495" s="780"/>
      <c r="J495" s="780"/>
      <c r="K495" s="780"/>
      <c r="L495" s="780"/>
      <c r="M495" s="784"/>
      <c r="N495" s="785"/>
      <c r="O495" s="786"/>
      <c r="P495" s="786"/>
      <c r="Q495" s="786"/>
      <c r="R495" s="786"/>
      <c r="S495" s="786"/>
      <c r="T495" s="786"/>
      <c r="U495" s="786"/>
      <c r="V495" s="786"/>
      <c r="W495" s="786"/>
      <c r="X495" s="787"/>
      <c r="AT495" s="788" t="s">
        <v>1143</v>
      </c>
      <c r="AU495" s="788" t="s">
        <v>795</v>
      </c>
      <c r="AV495" s="778" t="s">
        <v>1065</v>
      </c>
      <c r="AW495" s="778" t="s">
        <v>1145</v>
      </c>
      <c r="AX495" s="778" t="s">
        <v>791</v>
      </c>
      <c r="AY495" s="788" t="s">
        <v>1063</v>
      </c>
    </row>
    <row r="496" spans="1:65" s="634" customFormat="1" ht="16.5" customHeight="1">
      <c r="A496" s="705"/>
      <c r="B496" s="706"/>
      <c r="C496" s="789" t="s">
        <v>1637</v>
      </c>
      <c r="D496" s="789" t="s">
        <v>83</v>
      </c>
      <c r="E496" s="790" t="s">
        <v>1629</v>
      </c>
      <c r="F496" s="791" t="s">
        <v>1630</v>
      </c>
      <c r="G496" s="792" t="s">
        <v>19</v>
      </c>
      <c r="H496" s="793">
        <v>2</v>
      </c>
      <c r="I496" s="794"/>
      <c r="J496" s="795"/>
      <c r="K496" s="794">
        <f>ROUND(P496*H496,2)</f>
        <v>0</v>
      </c>
      <c r="L496" s="795"/>
      <c r="M496" s="701"/>
      <c r="N496" s="796" t="s">
        <v>1043</v>
      </c>
      <c r="O496" s="752" t="s">
        <v>1129</v>
      </c>
      <c r="P496" s="753">
        <f>I496+J496</f>
        <v>0</v>
      </c>
      <c r="Q496" s="753">
        <f>ROUND(I496*H496,2)</f>
        <v>0</v>
      </c>
      <c r="R496" s="753">
        <f>ROUND(J496*H496,2)</f>
        <v>0</v>
      </c>
      <c r="S496" s="754">
        <v>0</v>
      </c>
      <c r="T496" s="754">
        <f>S496*H496</f>
        <v>0</v>
      </c>
      <c r="U496" s="754">
        <v>3.5E-4</v>
      </c>
      <c r="V496" s="754">
        <f>U496*H496</f>
        <v>6.9999999999999999E-4</v>
      </c>
      <c r="W496" s="754">
        <v>0</v>
      </c>
      <c r="X496" s="755">
        <f>W496*H496</f>
        <v>0</v>
      </c>
      <c r="Y496" s="705"/>
      <c r="Z496" s="705"/>
      <c r="AA496" s="705"/>
      <c r="AB496" s="705"/>
      <c r="AC496" s="705"/>
      <c r="AD496" s="705"/>
      <c r="AE496" s="705"/>
      <c r="AR496" s="686" t="s">
        <v>1190</v>
      </c>
      <c r="AT496" s="686" t="s">
        <v>83</v>
      </c>
      <c r="AU496" s="686" t="s">
        <v>795</v>
      </c>
      <c r="AY496" s="629" t="s">
        <v>1063</v>
      </c>
      <c r="BE496" s="687">
        <f>IF(O496="základná",K496,0)</f>
        <v>0</v>
      </c>
      <c r="BF496" s="687">
        <f>IF(O496="znížená",K496,0)</f>
        <v>0</v>
      </c>
      <c r="BG496" s="687">
        <f>IF(O496="zákl. prenesená",K496,0)</f>
        <v>0</v>
      </c>
      <c r="BH496" s="687">
        <f>IF(O496="zníž. prenesená",K496,0)</f>
        <v>0</v>
      </c>
      <c r="BI496" s="687">
        <f>IF(O496="nulová",K496,0)</f>
        <v>0</v>
      </c>
      <c r="BJ496" s="629" t="s">
        <v>795</v>
      </c>
      <c r="BK496" s="687">
        <f>ROUND(P496*H496,2)</f>
        <v>0</v>
      </c>
      <c r="BL496" s="629" t="s">
        <v>1185</v>
      </c>
      <c r="BM496" s="686" t="s">
        <v>1631</v>
      </c>
    </row>
    <row r="497" spans="1:65" s="756" customFormat="1" ht="11.25">
      <c r="B497" s="757"/>
      <c r="C497" s="758"/>
      <c r="D497" s="759" t="s">
        <v>1143</v>
      </c>
      <c r="E497" s="760" t="s">
        <v>1043</v>
      </c>
      <c r="F497" s="761" t="s">
        <v>1544</v>
      </c>
      <c r="G497" s="758"/>
      <c r="H497" s="760" t="s">
        <v>1043</v>
      </c>
      <c r="I497" s="758"/>
      <c r="J497" s="758"/>
      <c r="K497" s="758"/>
      <c r="L497" s="758"/>
      <c r="M497" s="762"/>
      <c r="N497" s="763"/>
      <c r="O497" s="764"/>
      <c r="P497" s="764"/>
      <c r="Q497" s="764"/>
      <c r="R497" s="764"/>
      <c r="S497" s="764"/>
      <c r="T497" s="764"/>
      <c r="U497" s="764"/>
      <c r="V497" s="764"/>
      <c r="W497" s="764"/>
      <c r="X497" s="765"/>
      <c r="AT497" s="766" t="s">
        <v>1143</v>
      </c>
      <c r="AU497" s="766" t="s">
        <v>795</v>
      </c>
      <c r="AV497" s="756" t="s">
        <v>791</v>
      </c>
      <c r="AW497" s="756" t="s">
        <v>1145</v>
      </c>
      <c r="AX497" s="756" t="s">
        <v>788</v>
      </c>
      <c r="AY497" s="766" t="s">
        <v>1063</v>
      </c>
    </row>
    <row r="498" spans="1:65" s="767" customFormat="1" ht="11.25">
      <c r="B498" s="768"/>
      <c r="C498" s="769"/>
      <c r="D498" s="759" t="s">
        <v>1143</v>
      </c>
      <c r="E498" s="770" t="s">
        <v>1043</v>
      </c>
      <c r="F498" s="771" t="s">
        <v>795</v>
      </c>
      <c r="G498" s="769"/>
      <c r="H498" s="772">
        <v>2</v>
      </c>
      <c r="I498" s="769"/>
      <c r="J498" s="769"/>
      <c r="K498" s="769"/>
      <c r="L498" s="769"/>
      <c r="M498" s="773"/>
      <c r="N498" s="774"/>
      <c r="O498" s="775"/>
      <c r="P498" s="775"/>
      <c r="Q498" s="775"/>
      <c r="R498" s="775"/>
      <c r="S498" s="775"/>
      <c r="T498" s="775"/>
      <c r="U498" s="775"/>
      <c r="V498" s="775"/>
      <c r="W498" s="775"/>
      <c r="X498" s="776"/>
      <c r="AT498" s="777" t="s">
        <v>1143</v>
      </c>
      <c r="AU498" s="777" t="s">
        <v>795</v>
      </c>
      <c r="AV498" s="767" t="s">
        <v>795</v>
      </c>
      <c r="AW498" s="767" t="s">
        <v>1145</v>
      </c>
      <c r="AX498" s="767" t="s">
        <v>788</v>
      </c>
      <c r="AY498" s="777" t="s">
        <v>1063</v>
      </c>
    </row>
    <row r="499" spans="1:65" s="778" customFormat="1" ht="11.25">
      <c r="B499" s="779"/>
      <c r="C499" s="780"/>
      <c r="D499" s="759" t="s">
        <v>1143</v>
      </c>
      <c r="E499" s="781" t="s">
        <v>1043</v>
      </c>
      <c r="F499" s="782" t="s">
        <v>1153</v>
      </c>
      <c r="G499" s="780"/>
      <c r="H499" s="783">
        <v>2</v>
      </c>
      <c r="I499" s="780"/>
      <c r="J499" s="780"/>
      <c r="K499" s="780"/>
      <c r="L499" s="780"/>
      <c r="M499" s="784"/>
      <c r="N499" s="785"/>
      <c r="O499" s="786"/>
      <c r="P499" s="786"/>
      <c r="Q499" s="786"/>
      <c r="R499" s="786"/>
      <c r="S499" s="786"/>
      <c r="T499" s="786"/>
      <c r="U499" s="786"/>
      <c r="V499" s="786"/>
      <c r="W499" s="786"/>
      <c r="X499" s="787"/>
      <c r="AT499" s="788" t="s">
        <v>1143</v>
      </c>
      <c r="AU499" s="788" t="s">
        <v>795</v>
      </c>
      <c r="AV499" s="778" t="s">
        <v>1065</v>
      </c>
      <c r="AW499" s="778" t="s">
        <v>1145</v>
      </c>
      <c r="AX499" s="778" t="s">
        <v>791</v>
      </c>
      <c r="AY499" s="788" t="s">
        <v>1063</v>
      </c>
    </row>
    <row r="500" spans="1:65" s="634" customFormat="1" ht="21.75" customHeight="1">
      <c r="A500" s="705"/>
      <c r="B500" s="706"/>
      <c r="C500" s="744" t="s">
        <v>1641</v>
      </c>
      <c r="D500" s="744" t="s">
        <v>29</v>
      </c>
      <c r="E500" s="745" t="s">
        <v>1633</v>
      </c>
      <c r="F500" s="746" t="s">
        <v>1634</v>
      </c>
      <c r="G500" s="747" t="s">
        <v>19</v>
      </c>
      <c r="H500" s="748">
        <v>7</v>
      </c>
      <c r="I500" s="749"/>
      <c r="J500" s="749"/>
      <c r="K500" s="749">
        <f>ROUND(P500*H500,2)</f>
        <v>0</v>
      </c>
      <c r="L500" s="750"/>
      <c r="M500" s="631"/>
      <c r="N500" s="751" t="s">
        <v>1043</v>
      </c>
      <c r="O500" s="752" t="s">
        <v>1129</v>
      </c>
      <c r="P500" s="753">
        <f>I500+J500</f>
        <v>0</v>
      </c>
      <c r="Q500" s="753">
        <f>ROUND(I500*H500,2)</f>
        <v>0</v>
      </c>
      <c r="R500" s="753">
        <f>ROUND(J500*H500,2)</f>
        <v>0</v>
      </c>
      <c r="S500" s="754">
        <v>0.52900000000000003</v>
      </c>
      <c r="T500" s="754">
        <f>S500*H500</f>
        <v>3.7030000000000003</v>
      </c>
      <c r="U500" s="754">
        <v>2.7999999999999998E-4</v>
      </c>
      <c r="V500" s="754">
        <f>U500*H500</f>
        <v>1.9599999999999999E-3</v>
      </c>
      <c r="W500" s="754">
        <v>0</v>
      </c>
      <c r="X500" s="755">
        <f>W500*H500</f>
        <v>0</v>
      </c>
      <c r="Y500" s="705"/>
      <c r="Z500" s="705"/>
      <c r="AA500" s="705"/>
      <c r="AB500" s="705"/>
      <c r="AC500" s="705"/>
      <c r="AD500" s="705"/>
      <c r="AE500" s="705"/>
      <c r="AR500" s="686" t="s">
        <v>1185</v>
      </c>
      <c r="AT500" s="686" t="s">
        <v>29</v>
      </c>
      <c r="AU500" s="686" t="s">
        <v>795</v>
      </c>
      <c r="AY500" s="629" t="s">
        <v>1063</v>
      </c>
      <c r="BE500" s="687">
        <f>IF(O500="základná",K500,0)</f>
        <v>0</v>
      </c>
      <c r="BF500" s="687">
        <f>IF(O500="znížená",K500,0)</f>
        <v>0</v>
      </c>
      <c r="BG500" s="687">
        <f>IF(O500="zákl. prenesená",K500,0)</f>
        <v>0</v>
      </c>
      <c r="BH500" s="687">
        <f>IF(O500="zníž. prenesená",K500,0)</f>
        <v>0</v>
      </c>
      <c r="BI500" s="687">
        <f>IF(O500="nulová",K500,0)</f>
        <v>0</v>
      </c>
      <c r="BJ500" s="629" t="s">
        <v>795</v>
      </c>
      <c r="BK500" s="687">
        <f>ROUND(P500*H500,2)</f>
        <v>0</v>
      </c>
      <c r="BL500" s="629" t="s">
        <v>1185</v>
      </c>
      <c r="BM500" s="686" t="s">
        <v>1635</v>
      </c>
    </row>
    <row r="501" spans="1:65" s="756" customFormat="1" ht="11.25">
      <c r="B501" s="757"/>
      <c r="C501" s="758"/>
      <c r="D501" s="759" t="s">
        <v>1143</v>
      </c>
      <c r="E501" s="760" t="s">
        <v>1043</v>
      </c>
      <c r="F501" s="761" t="s">
        <v>1455</v>
      </c>
      <c r="G501" s="758"/>
      <c r="H501" s="760" t="s">
        <v>1043</v>
      </c>
      <c r="I501" s="758"/>
      <c r="J501" s="758"/>
      <c r="K501" s="758"/>
      <c r="L501" s="758"/>
      <c r="M501" s="762"/>
      <c r="N501" s="763"/>
      <c r="O501" s="764"/>
      <c r="P501" s="764"/>
      <c r="Q501" s="764"/>
      <c r="R501" s="764"/>
      <c r="S501" s="764"/>
      <c r="T501" s="764"/>
      <c r="U501" s="764"/>
      <c r="V501" s="764"/>
      <c r="W501" s="764"/>
      <c r="X501" s="765"/>
      <c r="AT501" s="766" t="s">
        <v>1143</v>
      </c>
      <c r="AU501" s="766" t="s">
        <v>795</v>
      </c>
      <c r="AV501" s="756" t="s">
        <v>791</v>
      </c>
      <c r="AW501" s="756" t="s">
        <v>1145</v>
      </c>
      <c r="AX501" s="756" t="s">
        <v>788</v>
      </c>
      <c r="AY501" s="766" t="s">
        <v>1063</v>
      </c>
    </row>
    <row r="502" spans="1:65" s="767" customFormat="1" ht="11.25">
      <c r="B502" s="768"/>
      <c r="C502" s="769"/>
      <c r="D502" s="759" t="s">
        <v>1143</v>
      </c>
      <c r="E502" s="770" t="s">
        <v>1043</v>
      </c>
      <c r="F502" s="771" t="s">
        <v>1636</v>
      </c>
      <c r="G502" s="769"/>
      <c r="H502" s="772">
        <v>7</v>
      </c>
      <c r="I502" s="769"/>
      <c r="J502" s="769"/>
      <c r="K502" s="769"/>
      <c r="L502" s="769"/>
      <c r="M502" s="773"/>
      <c r="N502" s="774"/>
      <c r="O502" s="775"/>
      <c r="P502" s="775"/>
      <c r="Q502" s="775"/>
      <c r="R502" s="775"/>
      <c r="S502" s="775"/>
      <c r="T502" s="775"/>
      <c r="U502" s="775"/>
      <c r="V502" s="775"/>
      <c r="W502" s="775"/>
      <c r="X502" s="776"/>
      <c r="AT502" s="777" t="s">
        <v>1143</v>
      </c>
      <c r="AU502" s="777" t="s">
        <v>795</v>
      </c>
      <c r="AV502" s="767" t="s">
        <v>795</v>
      </c>
      <c r="AW502" s="767" t="s">
        <v>1145</v>
      </c>
      <c r="AX502" s="767" t="s">
        <v>788</v>
      </c>
      <c r="AY502" s="777" t="s">
        <v>1063</v>
      </c>
    </row>
    <row r="503" spans="1:65" s="778" customFormat="1" ht="11.25">
      <c r="B503" s="779"/>
      <c r="C503" s="780"/>
      <c r="D503" s="759" t="s">
        <v>1143</v>
      </c>
      <c r="E503" s="781" t="s">
        <v>1043</v>
      </c>
      <c r="F503" s="782" t="s">
        <v>1153</v>
      </c>
      <c r="G503" s="780"/>
      <c r="H503" s="783">
        <v>7</v>
      </c>
      <c r="I503" s="780"/>
      <c r="J503" s="780"/>
      <c r="K503" s="780"/>
      <c r="L503" s="780"/>
      <c r="M503" s="784"/>
      <c r="N503" s="785"/>
      <c r="O503" s="786"/>
      <c r="P503" s="786"/>
      <c r="Q503" s="786"/>
      <c r="R503" s="786"/>
      <c r="S503" s="786"/>
      <c r="T503" s="786"/>
      <c r="U503" s="786"/>
      <c r="V503" s="786"/>
      <c r="W503" s="786"/>
      <c r="X503" s="787"/>
      <c r="AT503" s="788" t="s">
        <v>1143</v>
      </c>
      <c r="AU503" s="788" t="s">
        <v>795</v>
      </c>
      <c r="AV503" s="778" t="s">
        <v>1065</v>
      </c>
      <c r="AW503" s="778" t="s">
        <v>1145</v>
      </c>
      <c r="AX503" s="778" t="s">
        <v>791</v>
      </c>
      <c r="AY503" s="788" t="s">
        <v>1063</v>
      </c>
    </row>
    <row r="504" spans="1:65" s="634" customFormat="1" ht="33" customHeight="1">
      <c r="A504" s="705"/>
      <c r="B504" s="706"/>
      <c r="C504" s="789" t="s">
        <v>1645</v>
      </c>
      <c r="D504" s="789" t="s">
        <v>83</v>
      </c>
      <c r="E504" s="790" t="s">
        <v>1638</v>
      </c>
      <c r="F504" s="791" t="s">
        <v>1639</v>
      </c>
      <c r="G504" s="792" t="s">
        <v>19</v>
      </c>
      <c r="H504" s="793">
        <v>7</v>
      </c>
      <c r="I504" s="794"/>
      <c r="J504" s="795"/>
      <c r="K504" s="794">
        <f>ROUND(P504*H504,2)</f>
        <v>0</v>
      </c>
      <c r="L504" s="795"/>
      <c r="M504" s="701"/>
      <c r="N504" s="796" t="s">
        <v>1043</v>
      </c>
      <c r="O504" s="752" t="s">
        <v>1129</v>
      </c>
      <c r="P504" s="753">
        <f>I504+J504</f>
        <v>0</v>
      </c>
      <c r="Q504" s="753">
        <f>ROUND(I504*H504,2)</f>
        <v>0</v>
      </c>
      <c r="R504" s="753">
        <f>ROUND(J504*H504,2)</f>
        <v>0</v>
      </c>
      <c r="S504" s="754">
        <v>0</v>
      </c>
      <c r="T504" s="754">
        <f>S504*H504</f>
        <v>0</v>
      </c>
      <c r="U504" s="754">
        <v>3.0000000000000001E-3</v>
      </c>
      <c r="V504" s="754">
        <f>U504*H504</f>
        <v>2.1000000000000001E-2</v>
      </c>
      <c r="W504" s="754">
        <v>0</v>
      </c>
      <c r="X504" s="755">
        <f>W504*H504</f>
        <v>0</v>
      </c>
      <c r="Y504" s="705"/>
      <c r="Z504" s="705"/>
      <c r="AA504" s="705"/>
      <c r="AB504" s="705"/>
      <c r="AC504" s="705"/>
      <c r="AD504" s="705"/>
      <c r="AE504" s="705"/>
      <c r="AR504" s="686" t="s">
        <v>1190</v>
      </c>
      <c r="AT504" s="686" t="s">
        <v>83</v>
      </c>
      <c r="AU504" s="686" t="s">
        <v>795</v>
      </c>
      <c r="AY504" s="629" t="s">
        <v>1063</v>
      </c>
      <c r="BE504" s="687">
        <f>IF(O504="základná",K504,0)</f>
        <v>0</v>
      </c>
      <c r="BF504" s="687">
        <f>IF(O504="znížená",K504,0)</f>
        <v>0</v>
      </c>
      <c r="BG504" s="687">
        <f>IF(O504="zákl. prenesená",K504,0)</f>
        <v>0</v>
      </c>
      <c r="BH504" s="687">
        <f>IF(O504="zníž. prenesená",K504,0)</f>
        <v>0</v>
      </c>
      <c r="BI504" s="687">
        <f>IF(O504="nulová",K504,0)</f>
        <v>0</v>
      </c>
      <c r="BJ504" s="629" t="s">
        <v>795</v>
      </c>
      <c r="BK504" s="687">
        <f>ROUND(P504*H504,2)</f>
        <v>0</v>
      </c>
      <c r="BL504" s="629" t="s">
        <v>1185</v>
      </c>
      <c r="BM504" s="686" t="s">
        <v>1640</v>
      </c>
    </row>
    <row r="505" spans="1:65" s="756" customFormat="1" ht="11.25">
      <c r="B505" s="757"/>
      <c r="C505" s="758"/>
      <c r="D505" s="759" t="s">
        <v>1143</v>
      </c>
      <c r="E505" s="760" t="s">
        <v>1043</v>
      </c>
      <c r="F505" s="761" t="s">
        <v>1455</v>
      </c>
      <c r="G505" s="758"/>
      <c r="H505" s="760" t="s">
        <v>1043</v>
      </c>
      <c r="I505" s="758"/>
      <c r="J505" s="758"/>
      <c r="K505" s="758"/>
      <c r="L505" s="758"/>
      <c r="M505" s="762"/>
      <c r="N505" s="763"/>
      <c r="O505" s="764"/>
      <c r="P505" s="764"/>
      <c r="Q505" s="764"/>
      <c r="R505" s="764"/>
      <c r="S505" s="764"/>
      <c r="T505" s="764"/>
      <c r="U505" s="764"/>
      <c r="V505" s="764"/>
      <c r="W505" s="764"/>
      <c r="X505" s="765"/>
      <c r="AT505" s="766" t="s">
        <v>1143</v>
      </c>
      <c r="AU505" s="766" t="s">
        <v>795</v>
      </c>
      <c r="AV505" s="756" t="s">
        <v>791</v>
      </c>
      <c r="AW505" s="756" t="s">
        <v>1145</v>
      </c>
      <c r="AX505" s="756" t="s">
        <v>788</v>
      </c>
      <c r="AY505" s="766" t="s">
        <v>1063</v>
      </c>
    </row>
    <row r="506" spans="1:65" s="767" customFormat="1" ht="11.25">
      <c r="B506" s="768"/>
      <c r="C506" s="769"/>
      <c r="D506" s="759" t="s">
        <v>1143</v>
      </c>
      <c r="E506" s="770" t="s">
        <v>1043</v>
      </c>
      <c r="F506" s="771" t="s">
        <v>1636</v>
      </c>
      <c r="G506" s="769"/>
      <c r="H506" s="772">
        <v>7</v>
      </c>
      <c r="I506" s="769"/>
      <c r="J506" s="769"/>
      <c r="K506" s="769"/>
      <c r="L506" s="769"/>
      <c r="M506" s="773"/>
      <c r="N506" s="774"/>
      <c r="O506" s="775"/>
      <c r="P506" s="775"/>
      <c r="Q506" s="775"/>
      <c r="R506" s="775"/>
      <c r="S506" s="775"/>
      <c r="T506" s="775"/>
      <c r="U506" s="775"/>
      <c r="V506" s="775"/>
      <c r="W506" s="775"/>
      <c r="X506" s="776"/>
      <c r="AT506" s="777" t="s">
        <v>1143</v>
      </c>
      <c r="AU506" s="777" t="s">
        <v>795</v>
      </c>
      <c r="AV506" s="767" t="s">
        <v>795</v>
      </c>
      <c r="AW506" s="767" t="s">
        <v>1145</v>
      </c>
      <c r="AX506" s="767" t="s">
        <v>788</v>
      </c>
      <c r="AY506" s="777" t="s">
        <v>1063</v>
      </c>
    </row>
    <row r="507" spans="1:65" s="778" customFormat="1" ht="11.25">
      <c r="B507" s="779"/>
      <c r="C507" s="780"/>
      <c r="D507" s="759" t="s">
        <v>1143</v>
      </c>
      <c r="E507" s="781" t="s">
        <v>1043</v>
      </c>
      <c r="F507" s="782" t="s">
        <v>1153</v>
      </c>
      <c r="G507" s="780"/>
      <c r="H507" s="783">
        <v>7</v>
      </c>
      <c r="I507" s="780"/>
      <c r="J507" s="780"/>
      <c r="K507" s="780"/>
      <c r="L507" s="780"/>
      <c r="M507" s="784"/>
      <c r="N507" s="785"/>
      <c r="O507" s="786"/>
      <c r="P507" s="786"/>
      <c r="Q507" s="786"/>
      <c r="R507" s="786"/>
      <c r="S507" s="786"/>
      <c r="T507" s="786"/>
      <c r="U507" s="786"/>
      <c r="V507" s="786"/>
      <c r="W507" s="786"/>
      <c r="X507" s="787"/>
      <c r="AT507" s="788" t="s">
        <v>1143</v>
      </c>
      <c r="AU507" s="788" t="s">
        <v>795</v>
      </c>
      <c r="AV507" s="778" t="s">
        <v>1065</v>
      </c>
      <c r="AW507" s="778" t="s">
        <v>1145</v>
      </c>
      <c r="AX507" s="778" t="s">
        <v>791</v>
      </c>
      <c r="AY507" s="788" t="s">
        <v>1063</v>
      </c>
    </row>
    <row r="508" spans="1:65" s="634" customFormat="1" ht="33" customHeight="1">
      <c r="A508" s="705"/>
      <c r="B508" s="706"/>
      <c r="C508" s="744" t="s">
        <v>1649</v>
      </c>
      <c r="D508" s="744" t="s">
        <v>29</v>
      </c>
      <c r="E508" s="745" t="s">
        <v>1642</v>
      </c>
      <c r="F508" s="746" t="s">
        <v>1643</v>
      </c>
      <c r="G508" s="747" t="s">
        <v>19</v>
      </c>
      <c r="H508" s="748">
        <v>6</v>
      </c>
      <c r="I508" s="749"/>
      <c r="J508" s="749"/>
      <c r="K508" s="749">
        <f>ROUND(P508*H508,2)</f>
        <v>0</v>
      </c>
      <c r="L508" s="750"/>
      <c r="M508" s="631"/>
      <c r="N508" s="751" t="s">
        <v>1043</v>
      </c>
      <c r="O508" s="752" t="s">
        <v>1129</v>
      </c>
      <c r="P508" s="753">
        <f>I508+J508</f>
        <v>0</v>
      </c>
      <c r="Q508" s="753">
        <f>ROUND(I508*H508,2)</f>
        <v>0</v>
      </c>
      <c r="R508" s="753">
        <f>ROUND(J508*H508,2)</f>
        <v>0</v>
      </c>
      <c r="S508" s="754">
        <v>0.53100000000000003</v>
      </c>
      <c r="T508" s="754">
        <f>S508*H508</f>
        <v>3.1859999999999999</v>
      </c>
      <c r="U508" s="754">
        <v>1E-4</v>
      </c>
      <c r="V508" s="754">
        <f>U508*H508</f>
        <v>6.0000000000000006E-4</v>
      </c>
      <c r="W508" s="754">
        <v>0</v>
      </c>
      <c r="X508" s="755">
        <f>W508*H508</f>
        <v>0</v>
      </c>
      <c r="Y508" s="705"/>
      <c r="Z508" s="705"/>
      <c r="AA508" s="705"/>
      <c r="AB508" s="705"/>
      <c r="AC508" s="705"/>
      <c r="AD508" s="705"/>
      <c r="AE508" s="705"/>
      <c r="AR508" s="686" t="s">
        <v>1185</v>
      </c>
      <c r="AT508" s="686" t="s">
        <v>29</v>
      </c>
      <c r="AU508" s="686" t="s">
        <v>795</v>
      </c>
      <c r="AY508" s="629" t="s">
        <v>1063</v>
      </c>
      <c r="BE508" s="687">
        <f>IF(O508="základná",K508,0)</f>
        <v>0</v>
      </c>
      <c r="BF508" s="687">
        <f>IF(O508="znížená",K508,0)</f>
        <v>0</v>
      </c>
      <c r="BG508" s="687">
        <f>IF(O508="zákl. prenesená",K508,0)</f>
        <v>0</v>
      </c>
      <c r="BH508" s="687">
        <f>IF(O508="zníž. prenesená",K508,0)</f>
        <v>0</v>
      </c>
      <c r="BI508" s="687">
        <f>IF(O508="nulová",K508,0)</f>
        <v>0</v>
      </c>
      <c r="BJ508" s="629" t="s">
        <v>795</v>
      </c>
      <c r="BK508" s="687">
        <f>ROUND(P508*H508,2)</f>
        <v>0</v>
      </c>
      <c r="BL508" s="629" t="s">
        <v>1185</v>
      </c>
      <c r="BM508" s="686" t="s">
        <v>1644</v>
      </c>
    </row>
    <row r="509" spans="1:65" s="756" customFormat="1" ht="11.25">
      <c r="B509" s="757"/>
      <c r="C509" s="758"/>
      <c r="D509" s="759" t="s">
        <v>1143</v>
      </c>
      <c r="E509" s="760" t="s">
        <v>1043</v>
      </c>
      <c r="F509" s="761" t="s">
        <v>1475</v>
      </c>
      <c r="G509" s="758"/>
      <c r="H509" s="760" t="s">
        <v>1043</v>
      </c>
      <c r="I509" s="758"/>
      <c r="J509" s="758"/>
      <c r="K509" s="758"/>
      <c r="L509" s="758"/>
      <c r="M509" s="762"/>
      <c r="N509" s="763"/>
      <c r="O509" s="764"/>
      <c r="P509" s="764"/>
      <c r="Q509" s="764"/>
      <c r="R509" s="764"/>
      <c r="S509" s="764"/>
      <c r="T509" s="764"/>
      <c r="U509" s="764"/>
      <c r="V509" s="764"/>
      <c r="W509" s="764"/>
      <c r="X509" s="765"/>
      <c r="AT509" s="766" t="s">
        <v>1143</v>
      </c>
      <c r="AU509" s="766" t="s">
        <v>795</v>
      </c>
      <c r="AV509" s="756" t="s">
        <v>791</v>
      </c>
      <c r="AW509" s="756" t="s">
        <v>1145</v>
      </c>
      <c r="AX509" s="756" t="s">
        <v>788</v>
      </c>
      <c r="AY509" s="766" t="s">
        <v>1063</v>
      </c>
    </row>
    <row r="510" spans="1:65" s="767" customFormat="1" ht="11.25">
      <c r="B510" s="768"/>
      <c r="C510" s="769"/>
      <c r="D510" s="759" t="s">
        <v>1143</v>
      </c>
      <c r="E510" s="770" t="s">
        <v>1043</v>
      </c>
      <c r="F510" s="771" t="s">
        <v>1476</v>
      </c>
      <c r="G510" s="769"/>
      <c r="H510" s="772">
        <v>6</v>
      </c>
      <c r="I510" s="769"/>
      <c r="J510" s="769"/>
      <c r="K510" s="769"/>
      <c r="L510" s="769"/>
      <c r="M510" s="773"/>
      <c r="N510" s="774"/>
      <c r="O510" s="775"/>
      <c r="P510" s="775"/>
      <c r="Q510" s="775"/>
      <c r="R510" s="775"/>
      <c r="S510" s="775"/>
      <c r="T510" s="775"/>
      <c r="U510" s="775"/>
      <c r="V510" s="775"/>
      <c r="W510" s="775"/>
      <c r="X510" s="776"/>
      <c r="AT510" s="777" t="s">
        <v>1143</v>
      </c>
      <c r="AU510" s="777" t="s">
        <v>795</v>
      </c>
      <c r="AV510" s="767" t="s">
        <v>795</v>
      </c>
      <c r="AW510" s="767" t="s">
        <v>1145</v>
      </c>
      <c r="AX510" s="767" t="s">
        <v>788</v>
      </c>
      <c r="AY510" s="777" t="s">
        <v>1063</v>
      </c>
    </row>
    <row r="511" spans="1:65" s="778" customFormat="1" ht="11.25">
      <c r="B511" s="779"/>
      <c r="C511" s="780"/>
      <c r="D511" s="759" t="s">
        <v>1143</v>
      </c>
      <c r="E511" s="781" t="s">
        <v>1043</v>
      </c>
      <c r="F511" s="782" t="s">
        <v>1153</v>
      </c>
      <c r="G511" s="780"/>
      <c r="H511" s="783">
        <v>6</v>
      </c>
      <c r="I511" s="780"/>
      <c r="J511" s="780"/>
      <c r="K511" s="780"/>
      <c r="L511" s="780"/>
      <c r="M511" s="784"/>
      <c r="N511" s="785"/>
      <c r="O511" s="786"/>
      <c r="P511" s="786"/>
      <c r="Q511" s="786"/>
      <c r="R511" s="786"/>
      <c r="S511" s="786"/>
      <c r="T511" s="786"/>
      <c r="U511" s="786"/>
      <c r="V511" s="786"/>
      <c r="W511" s="786"/>
      <c r="X511" s="787"/>
      <c r="AT511" s="788" t="s">
        <v>1143</v>
      </c>
      <c r="AU511" s="788" t="s">
        <v>795</v>
      </c>
      <c r="AV511" s="778" t="s">
        <v>1065</v>
      </c>
      <c r="AW511" s="778" t="s">
        <v>1145</v>
      </c>
      <c r="AX511" s="778" t="s">
        <v>791</v>
      </c>
      <c r="AY511" s="788" t="s">
        <v>1063</v>
      </c>
    </row>
    <row r="512" spans="1:65" s="634" customFormat="1" ht="16.5" customHeight="1">
      <c r="A512" s="705"/>
      <c r="B512" s="706"/>
      <c r="C512" s="789" t="s">
        <v>1653</v>
      </c>
      <c r="D512" s="789" t="s">
        <v>83</v>
      </c>
      <c r="E512" s="790" t="s">
        <v>1646</v>
      </c>
      <c r="F512" s="791" t="s">
        <v>1647</v>
      </c>
      <c r="G512" s="792" t="s">
        <v>19</v>
      </c>
      <c r="H512" s="793">
        <v>6</v>
      </c>
      <c r="I512" s="794"/>
      <c r="J512" s="795"/>
      <c r="K512" s="794">
        <f>ROUND(P512*H512,2)</f>
        <v>0</v>
      </c>
      <c r="L512" s="795"/>
      <c r="M512" s="701"/>
      <c r="N512" s="796" t="s">
        <v>1043</v>
      </c>
      <c r="O512" s="752" t="s">
        <v>1129</v>
      </c>
      <c r="P512" s="753">
        <f>I512+J512</f>
        <v>0</v>
      </c>
      <c r="Q512" s="753">
        <f>ROUND(I512*H512,2)</f>
        <v>0</v>
      </c>
      <c r="R512" s="753">
        <f>ROUND(J512*H512,2)</f>
        <v>0</v>
      </c>
      <c r="S512" s="754">
        <v>0</v>
      </c>
      <c r="T512" s="754">
        <f>S512*H512</f>
        <v>0</v>
      </c>
      <c r="U512" s="754">
        <v>2E-3</v>
      </c>
      <c r="V512" s="754">
        <f>U512*H512</f>
        <v>1.2E-2</v>
      </c>
      <c r="W512" s="754">
        <v>0</v>
      </c>
      <c r="X512" s="755">
        <f>W512*H512</f>
        <v>0</v>
      </c>
      <c r="Y512" s="705"/>
      <c r="Z512" s="705"/>
      <c r="AA512" s="705"/>
      <c r="AB512" s="705"/>
      <c r="AC512" s="705"/>
      <c r="AD512" s="705"/>
      <c r="AE512" s="705"/>
      <c r="AR512" s="686" t="s">
        <v>1190</v>
      </c>
      <c r="AT512" s="686" t="s">
        <v>83</v>
      </c>
      <c r="AU512" s="686" t="s">
        <v>795</v>
      </c>
      <c r="AY512" s="629" t="s">
        <v>1063</v>
      </c>
      <c r="BE512" s="687">
        <f>IF(O512="základná",K512,0)</f>
        <v>0</v>
      </c>
      <c r="BF512" s="687">
        <f>IF(O512="znížená",K512,0)</f>
        <v>0</v>
      </c>
      <c r="BG512" s="687">
        <f>IF(O512="zákl. prenesená",K512,0)</f>
        <v>0</v>
      </c>
      <c r="BH512" s="687">
        <f>IF(O512="zníž. prenesená",K512,0)</f>
        <v>0</v>
      </c>
      <c r="BI512" s="687">
        <f>IF(O512="nulová",K512,0)</f>
        <v>0</v>
      </c>
      <c r="BJ512" s="629" t="s">
        <v>795</v>
      </c>
      <c r="BK512" s="687">
        <f>ROUND(P512*H512,2)</f>
        <v>0</v>
      </c>
      <c r="BL512" s="629" t="s">
        <v>1185</v>
      </c>
      <c r="BM512" s="686" t="s">
        <v>1648</v>
      </c>
    </row>
    <row r="513" spans="1:65" s="756" customFormat="1" ht="11.25">
      <c r="B513" s="757"/>
      <c r="C513" s="758"/>
      <c r="D513" s="759" t="s">
        <v>1143</v>
      </c>
      <c r="E513" s="760" t="s">
        <v>1043</v>
      </c>
      <c r="F513" s="761" t="s">
        <v>1475</v>
      </c>
      <c r="G513" s="758"/>
      <c r="H513" s="760" t="s">
        <v>1043</v>
      </c>
      <c r="I513" s="758"/>
      <c r="J513" s="758"/>
      <c r="K513" s="758"/>
      <c r="L513" s="758"/>
      <c r="M513" s="762"/>
      <c r="N513" s="763"/>
      <c r="O513" s="764"/>
      <c r="P513" s="764"/>
      <c r="Q513" s="764"/>
      <c r="R513" s="764"/>
      <c r="S513" s="764"/>
      <c r="T513" s="764"/>
      <c r="U513" s="764"/>
      <c r="V513" s="764"/>
      <c r="W513" s="764"/>
      <c r="X513" s="765"/>
      <c r="AT513" s="766" t="s">
        <v>1143</v>
      </c>
      <c r="AU513" s="766" t="s">
        <v>795</v>
      </c>
      <c r="AV513" s="756" t="s">
        <v>791</v>
      </c>
      <c r="AW513" s="756" t="s">
        <v>1145</v>
      </c>
      <c r="AX513" s="756" t="s">
        <v>788</v>
      </c>
      <c r="AY513" s="766" t="s">
        <v>1063</v>
      </c>
    </row>
    <row r="514" spans="1:65" s="767" customFormat="1" ht="11.25">
      <c r="B514" s="768"/>
      <c r="C514" s="769"/>
      <c r="D514" s="759" t="s">
        <v>1143</v>
      </c>
      <c r="E514" s="770" t="s">
        <v>1043</v>
      </c>
      <c r="F514" s="771" t="s">
        <v>1476</v>
      </c>
      <c r="G514" s="769"/>
      <c r="H514" s="772">
        <v>6</v>
      </c>
      <c r="I514" s="769"/>
      <c r="J514" s="769"/>
      <c r="K514" s="769"/>
      <c r="L514" s="769"/>
      <c r="M514" s="773"/>
      <c r="N514" s="774"/>
      <c r="O514" s="775"/>
      <c r="P514" s="775"/>
      <c r="Q514" s="775"/>
      <c r="R514" s="775"/>
      <c r="S514" s="775"/>
      <c r="T514" s="775"/>
      <c r="U514" s="775"/>
      <c r="V514" s="775"/>
      <c r="W514" s="775"/>
      <c r="X514" s="776"/>
      <c r="AT514" s="777" t="s">
        <v>1143</v>
      </c>
      <c r="AU514" s="777" t="s">
        <v>795</v>
      </c>
      <c r="AV514" s="767" t="s">
        <v>795</v>
      </c>
      <c r="AW514" s="767" t="s">
        <v>1145</v>
      </c>
      <c r="AX514" s="767" t="s">
        <v>788</v>
      </c>
      <c r="AY514" s="777" t="s">
        <v>1063</v>
      </c>
    </row>
    <row r="515" spans="1:65" s="778" customFormat="1" ht="11.25">
      <c r="B515" s="779"/>
      <c r="C515" s="780"/>
      <c r="D515" s="759" t="s">
        <v>1143</v>
      </c>
      <c r="E515" s="781" t="s">
        <v>1043</v>
      </c>
      <c r="F515" s="782" t="s">
        <v>1153</v>
      </c>
      <c r="G515" s="780"/>
      <c r="H515" s="783">
        <v>6</v>
      </c>
      <c r="I515" s="780"/>
      <c r="J515" s="780"/>
      <c r="K515" s="780"/>
      <c r="L515" s="780"/>
      <c r="M515" s="784"/>
      <c r="N515" s="785"/>
      <c r="O515" s="786"/>
      <c r="P515" s="786"/>
      <c r="Q515" s="786"/>
      <c r="R515" s="786"/>
      <c r="S515" s="786"/>
      <c r="T515" s="786"/>
      <c r="U515" s="786"/>
      <c r="V515" s="786"/>
      <c r="W515" s="786"/>
      <c r="X515" s="787"/>
      <c r="AT515" s="788" t="s">
        <v>1143</v>
      </c>
      <c r="AU515" s="788" t="s">
        <v>795</v>
      </c>
      <c r="AV515" s="778" t="s">
        <v>1065</v>
      </c>
      <c r="AW515" s="778" t="s">
        <v>1145</v>
      </c>
      <c r="AX515" s="778" t="s">
        <v>791</v>
      </c>
      <c r="AY515" s="788" t="s">
        <v>1063</v>
      </c>
    </row>
    <row r="516" spans="1:65" s="634" customFormat="1" ht="33" customHeight="1">
      <c r="A516" s="705"/>
      <c r="B516" s="706"/>
      <c r="C516" s="744" t="s">
        <v>1657</v>
      </c>
      <c r="D516" s="744" t="s">
        <v>29</v>
      </c>
      <c r="E516" s="745" t="s">
        <v>1650</v>
      </c>
      <c r="F516" s="746" t="s">
        <v>1651</v>
      </c>
      <c r="G516" s="747" t="s">
        <v>19</v>
      </c>
      <c r="H516" s="748">
        <v>1</v>
      </c>
      <c r="I516" s="749"/>
      <c r="J516" s="749"/>
      <c r="K516" s="749">
        <f>ROUND(P516*H516,2)</f>
        <v>0</v>
      </c>
      <c r="L516" s="750"/>
      <c r="M516" s="631"/>
      <c r="N516" s="751" t="s">
        <v>1043</v>
      </c>
      <c r="O516" s="752" t="s">
        <v>1129</v>
      </c>
      <c r="P516" s="753">
        <f>I516+J516</f>
        <v>0</v>
      </c>
      <c r="Q516" s="753">
        <f>ROUND(I516*H516,2)</f>
        <v>0</v>
      </c>
      <c r="R516" s="753">
        <f>ROUND(J516*H516,2)</f>
        <v>0</v>
      </c>
      <c r="S516" s="754">
        <v>0.39200000000000002</v>
      </c>
      <c r="T516" s="754">
        <f>S516*H516</f>
        <v>0.39200000000000002</v>
      </c>
      <c r="U516" s="754">
        <v>0</v>
      </c>
      <c r="V516" s="754">
        <f>U516*H516</f>
        <v>0</v>
      </c>
      <c r="W516" s="754">
        <v>0</v>
      </c>
      <c r="X516" s="755">
        <f>W516*H516</f>
        <v>0</v>
      </c>
      <c r="Y516" s="705"/>
      <c r="Z516" s="705"/>
      <c r="AA516" s="705"/>
      <c r="AB516" s="705"/>
      <c r="AC516" s="705"/>
      <c r="AD516" s="705"/>
      <c r="AE516" s="705"/>
      <c r="AR516" s="686" t="s">
        <v>1185</v>
      </c>
      <c r="AT516" s="686" t="s">
        <v>29</v>
      </c>
      <c r="AU516" s="686" t="s">
        <v>795</v>
      </c>
      <c r="AY516" s="629" t="s">
        <v>1063</v>
      </c>
      <c r="BE516" s="687">
        <f>IF(O516="základná",K516,0)</f>
        <v>0</v>
      </c>
      <c r="BF516" s="687">
        <f>IF(O516="znížená",K516,0)</f>
        <v>0</v>
      </c>
      <c r="BG516" s="687">
        <f>IF(O516="zákl. prenesená",K516,0)</f>
        <v>0</v>
      </c>
      <c r="BH516" s="687">
        <f>IF(O516="zníž. prenesená",K516,0)</f>
        <v>0</v>
      </c>
      <c r="BI516" s="687">
        <f>IF(O516="nulová",K516,0)</f>
        <v>0</v>
      </c>
      <c r="BJ516" s="629" t="s">
        <v>795</v>
      </c>
      <c r="BK516" s="687">
        <f>ROUND(P516*H516,2)</f>
        <v>0</v>
      </c>
      <c r="BL516" s="629" t="s">
        <v>1185</v>
      </c>
      <c r="BM516" s="686" t="s">
        <v>1652</v>
      </c>
    </row>
    <row r="517" spans="1:65" s="756" customFormat="1" ht="11.25">
      <c r="B517" s="757"/>
      <c r="C517" s="758"/>
      <c r="D517" s="759" t="s">
        <v>1143</v>
      </c>
      <c r="E517" s="760" t="s">
        <v>1043</v>
      </c>
      <c r="F517" s="761" t="s">
        <v>1421</v>
      </c>
      <c r="G517" s="758"/>
      <c r="H517" s="760" t="s">
        <v>1043</v>
      </c>
      <c r="I517" s="758"/>
      <c r="J517" s="758"/>
      <c r="K517" s="758"/>
      <c r="L517" s="758"/>
      <c r="M517" s="762"/>
      <c r="N517" s="763"/>
      <c r="O517" s="764"/>
      <c r="P517" s="764"/>
      <c r="Q517" s="764"/>
      <c r="R517" s="764"/>
      <c r="S517" s="764"/>
      <c r="T517" s="764"/>
      <c r="U517" s="764"/>
      <c r="V517" s="764"/>
      <c r="W517" s="764"/>
      <c r="X517" s="765"/>
      <c r="AT517" s="766" t="s">
        <v>1143</v>
      </c>
      <c r="AU517" s="766" t="s">
        <v>795</v>
      </c>
      <c r="AV517" s="756" t="s">
        <v>791</v>
      </c>
      <c r="AW517" s="756" t="s">
        <v>1145</v>
      </c>
      <c r="AX517" s="756" t="s">
        <v>788</v>
      </c>
      <c r="AY517" s="766" t="s">
        <v>1063</v>
      </c>
    </row>
    <row r="518" spans="1:65" s="767" customFormat="1" ht="11.25">
      <c r="B518" s="768"/>
      <c r="C518" s="769"/>
      <c r="D518" s="759" t="s">
        <v>1143</v>
      </c>
      <c r="E518" s="770" t="s">
        <v>1043</v>
      </c>
      <c r="F518" s="771" t="s">
        <v>791</v>
      </c>
      <c r="G518" s="769"/>
      <c r="H518" s="772">
        <v>1</v>
      </c>
      <c r="I518" s="769"/>
      <c r="J518" s="769"/>
      <c r="K518" s="769"/>
      <c r="L518" s="769"/>
      <c r="M518" s="773"/>
      <c r="N518" s="774"/>
      <c r="O518" s="775"/>
      <c r="P518" s="775"/>
      <c r="Q518" s="775"/>
      <c r="R518" s="775"/>
      <c r="S518" s="775"/>
      <c r="T518" s="775"/>
      <c r="U518" s="775"/>
      <c r="V518" s="775"/>
      <c r="W518" s="775"/>
      <c r="X518" s="776"/>
      <c r="AT518" s="777" t="s">
        <v>1143</v>
      </c>
      <c r="AU518" s="777" t="s">
        <v>795</v>
      </c>
      <c r="AV518" s="767" t="s">
        <v>795</v>
      </c>
      <c r="AW518" s="767" t="s">
        <v>1145</v>
      </c>
      <c r="AX518" s="767" t="s">
        <v>788</v>
      </c>
      <c r="AY518" s="777" t="s">
        <v>1063</v>
      </c>
    </row>
    <row r="519" spans="1:65" s="778" customFormat="1" ht="11.25">
      <c r="B519" s="779"/>
      <c r="C519" s="780"/>
      <c r="D519" s="759" t="s">
        <v>1143</v>
      </c>
      <c r="E519" s="781" t="s">
        <v>1043</v>
      </c>
      <c r="F519" s="782" t="s">
        <v>1153</v>
      </c>
      <c r="G519" s="780"/>
      <c r="H519" s="783">
        <v>1</v>
      </c>
      <c r="I519" s="780"/>
      <c r="J519" s="780"/>
      <c r="K519" s="780"/>
      <c r="L519" s="780"/>
      <c r="M519" s="784"/>
      <c r="N519" s="785"/>
      <c r="O519" s="786"/>
      <c r="P519" s="786"/>
      <c r="Q519" s="786"/>
      <c r="R519" s="786"/>
      <c r="S519" s="786"/>
      <c r="T519" s="786"/>
      <c r="U519" s="786"/>
      <c r="V519" s="786"/>
      <c r="W519" s="786"/>
      <c r="X519" s="787"/>
      <c r="AT519" s="788" t="s">
        <v>1143</v>
      </c>
      <c r="AU519" s="788" t="s">
        <v>795</v>
      </c>
      <c r="AV519" s="778" t="s">
        <v>1065</v>
      </c>
      <c r="AW519" s="778" t="s">
        <v>1145</v>
      </c>
      <c r="AX519" s="778" t="s">
        <v>791</v>
      </c>
      <c r="AY519" s="788" t="s">
        <v>1063</v>
      </c>
    </row>
    <row r="520" spans="1:65" s="634" customFormat="1" ht="16.5" customHeight="1">
      <c r="A520" s="705"/>
      <c r="B520" s="706"/>
      <c r="C520" s="789" t="s">
        <v>1661</v>
      </c>
      <c r="D520" s="789" t="s">
        <v>83</v>
      </c>
      <c r="E520" s="790" t="s">
        <v>1654</v>
      </c>
      <c r="F520" s="791" t="s">
        <v>1655</v>
      </c>
      <c r="G520" s="792" t="s">
        <v>19</v>
      </c>
      <c r="H520" s="793">
        <v>1</v>
      </c>
      <c r="I520" s="794"/>
      <c r="J520" s="795"/>
      <c r="K520" s="794">
        <f>ROUND(P520*H520,2)</f>
        <v>0</v>
      </c>
      <c r="L520" s="795"/>
      <c r="M520" s="701"/>
      <c r="N520" s="796" t="s">
        <v>1043</v>
      </c>
      <c r="O520" s="752" t="s">
        <v>1129</v>
      </c>
      <c r="P520" s="753">
        <f>I520+J520</f>
        <v>0</v>
      </c>
      <c r="Q520" s="753">
        <f>ROUND(I520*H520,2)</f>
        <v>0</v>
      </c>
      <c r="R520" s="753">
        <f>ROUND(J520*H520,2)</f>
        <v>0</v>
      </c>
      <c r="S520" s="754">
        <v>0</v>
      </c>
      <c r="T520" s="754">
        <f>S520*H520</f>
        <v>0</v>
      </c>
      <c r="U520" s="754">
        <v>1E-3</v>
      </c>
      <c r="V520" s="754">
        <f>U520*H520</f>
        <v>1E-3</v>
      </c>
      <c r="W520" s="754">
        <v>0</v>
      </c>
      <c r="X520" s="755">
        <f>W520*H520</f>
        <v>0</v>
      </c>
      <c r="Y520" s="705"/>
      <c r="Z520" s="705"/>
      <c r="AA520" s="705"/>
      <c r="AB520" s="705"/>
      <c r="AC520" s="705"/>
      <c r="AD520" s="705"/>
      <c r="AE520" s="705"/>
      <c r="AR520" s="686" t="s">
        <v>1190</v>
      </c>
      <c r="AT520" s="686" t="s">
        <v>83</v>
      </c>
      <c r="AU520" s="686" t="s">
        <v>795</v>
      </c>
      <c r="AY520" s="629" t="s">
        <v>1063</v>
      </c>
      <c r="BE520" s="687">
        <f>IF(O520="základná",K520,0)</f>
        <v>0</v>
      </c>
      <c r="BF520" s="687">
        <f>IF(O520="znížená",K520,0)</f>
        <v>0</v>
      </c>
      <c r="BG520" s="687">
        <f>IF(O520="zákl. prenesená",K520,0)</f>
        <v>0</v>
      </c>
      <c r="BH520" s="687">
        <f>IF(O520="zníž. prenesená",K520,0)</f>
        <v>0</v>
      </c>
      <c r="BI520" s="687">
        <f>IF(O520="nulová",K520,0)</f>
        <v>0</v>
      </c>
      <c r="BJ520" s="629" t="s">
        <v>795</v>
      </c>
      <c r="BK520" s="687">
        <f>ROUND(P520*H520,2)</f>
        <v>0</v>
      </c>
      <c r="BL520" s="629" t="s">
        <v>1185</v>
      </c>
      <c r="BM520" s="686" t="s">
        <v>1656</v>
      </c>
    </row>
    <row r="521" spans="1:65" s="756" customFormat="1" ht="11.25">
      <c r="B521" s="757"/>
      <c r="C521" s="758"/>
      <c r="D521" s="759" t="s">
        <v>1143</v>
      </c>
      <c r="E521" s="760" t="s">
        <v>1043</v>
      </c>
      <c r="F521" s="761" t="s">
        <v>1421</v>
      </c>
      <c r="G521" s="758"/>
      <c r="H521" s="760" t="s">
        <v>1043</v>
      </c>
      <c r="I521" s="758"/>
      <c r="J521" s="758"/>
      <c r="K521" s="758"/>
      <c r="L521" s="758"/>
      <c r="M521" s="762"/>
      <c r="N521" s="763"/>
      <c r="O521" s="764"/>
      <c r="P521" s="764"/>
      <c r="Q521" s="764"/>
      <c r="R521" s="764"/>
      <c r="S521" s="764"/>
      <c r="T521" s="764"/>
      <c r="U521" s="764"/>
      <c r="V521" s="764"/>
      <c r="W521" s="764"/>
      <c r="X521" s="765"/>
      <c r="AT521" s="766" t="s">
        <v>1143</v>
      </c>
      <c r="AU521" s="766" t="s">
        <v>795</v>
      </c>
      <c r="AV521" s="756" t="s">
        <v>791</v>
      </c>
      <c r="AW521" s="756" t="s">
        <v>1145</v>
      </c>
      <c r="AX521" s="756" t="s">
        <v>788</v>
      </c>
      <c r="AY521" s="766" t="s">
        <v>1063</v>
      </c>
    </row>
    <row r="522" spans="1:65" s="767" customFormat="1" ht="11.25">
      <c r="B522" s="768"/>
      <c r="C522" s="769"/>
      <c r="D522" s="759" t="s">
        <v>1143</v>
      </c>
      <c r="E522" s="770" t="s">
        <v>1043</v>
      </c>
      <c r="F522" s="771" t="s">
        <v>791</v>
      </c>
      <c r="G522" s="769"/>
      <c r="H522" s="772">
        <v>1</v>
      </c>
      <c r="I522" s="769"/>
      <c r="J522" s="769"/>
      <c r="K522" s="769"/>
      <c r="L522" s="769"/>
      <c r="M522" s="773"/>
      <c r="N522" s="774"/>
      <c r="O522" s="775"/>
      <c r="P522" s="775"/>
      <c r="Q522" s="775"/>
      <c r="R522" s="775"/>
      <c r="S522" s="775"/>
      <c r="T522" s="775"/>
      <c r="U522" s="775"/>
      <c r="V522" s="775"/>
      <c r="W522" s="775"/>
      <c r="X522" s="776"/>
      <c r="AT522" s="777" t="s">
        <v>1143</v>
      </c>
      <c r="AU522" s="777" t="s">
        <v>795</v>
      </c>
      <c r="AV522" s="767" t="s">
        <v>795</v>
      </c>
      <c r="AW522" s="767" t="s">
        <v>1145</v>
      </c>
      <c r="AX522" s="767" t="s">
        <v>788</v>
      </c>
      <c r="AY522" s="777" t="s">
        <v>1063</v>
      </c>
    </row>
    <row r="523" spans="1:65" s="778" customFormat="1" ht="11.25">
      <c r="B523" s="779"/>
      <c r="C523" s="780"/>
      <c r="D523" s="759" t="s">
        <v>1143</v>
      </c>
      <c r="E523" s="781" t="s">
        <v>1043</v>
      </c>
      <c r="F523" s="782" t="s">
        <v>1153</v>
      </c>
      <c r="G523" s="780"/>
      <c r="H523" s="783">
        <v>1</v>
      </c>
      <c r="I523" s="780"/>
      <c r="J523" s="780"/>
      <c r="K523" s="780"/>
      <c r="L523" s="780"/>
      <c r="M523" s="784"/>
      <c r="N523" s="785"/>
      <c r="O523" s="786"/>
      <c r="P523" s="786"/>
      <c r="Q523" s="786"/>
      <c r="R523" s="786"/>
      <c r="S523" s="786"/>
      <c r="T523" s="786"/>
      <c r="U523" s="786"/>
      <c r="V523" s="786"/>
      <c r="W523" s="786"/>
      <c r="X523" s="787"/>
      <c r="AT523" s="788" t="s">
        <v>1143</v>
      </c>
      <c r="AU523" s="788" t="s">
        <v>795</v>
      </c>
      <c r="AV523" s="778" t="s">
        <v>1065</v>
      </c>
      <c r="AW523" s="778" t="s">
        <v>1145</v>
      </c>
      <c r="AX523" s="778" t="s">
        <v>791</v>
      </c>
      <c r="AY523" s="788" t="s">
        <v>1063</v>
      </c>
    </row>
    <row r="524" spans="1:65" s="634" customFormat="1" ht="21.75" customHeight="1">
      <c r="A524" s="705"/>
      <c r="B524" s="706"/>
      <c r="C524" s="744" t="s">
        <v>1665</v>
      </c>
      <c r="D524" s="744" t="s">
        <v>29</v>
      </c>
      <c r="E524" s="745" t="s">
        <v>1658</v>
      </c>
      <c r="F524" s="746" t="s">
        <v>1659</v>
      </c>
      <c r="G524" s="747" t="s">
        <v>19</v>
      </c>
      <c r="H524" s="748">
        <v>2</v>
      </c>
      <c r="I524" s="749"/>
      <c r="J524" s="749"/>
      <c r="K524" s="749">
        <f>ROUND(P524*H524,2)</f>
        <v>0</v>
      </c>
      <c r="L524" s="750"/>
      <c r="M524" s="631"/>
      <c r="N524" s="751" t="s">
        <v>1043</v>
      </c>
      <c r="O524" s="752" t="s">
        <v>1129</v>
      </c>
      <c r="P524" s="753">
        <f>I524+J524</f>
        <v>0</v>
      </c>
      <c r="Q524" s="753">
        <f>ROUND(I524*H524,2)</f>
        <v>0</v>
      </c>
      <c r="R524" s="753">
        <f>ROUND(J524*H524,2)</f>
        <v>0</v>
      </c>
      <c r="S524" s="754">
        <v>0.39</v>
      </c>
      <c r="T524" s="754">
        <f>S524*H524</f>
        <v>0.78</v>
      </c>
      <c r="U524" s="754">
        <v>0</v>
      </c>
      <c r="V524" s="754">
        <f>U524*H524</f>
        <v>0</v>
      </c>
      <c r="W524" s="754">
        <v>0</v>
      </c>
      <c r="X524" s="755">
        <f>W524*H524</f>
        <v>0</v>
      </c>
      <c r="Y524" s="705"/>
      <c r="Z524" s="705"/>
      <c r="AA524" s="705"/>
      <c r="AB524" s="705"/>
      <c r="AC524" s="705"/>
      <c r="AD524" s="705"/>
      <c r="AE524" s="705"/>
      <c r="AR524" s="686" t="s">
        <v>1185</v>
      </c>
      <c r="AT524" s="686" t="s">
        <v>29</v>
      </c>
      <c r="AU524" s="686" t="s">
        <v>795</v>
      </c>
      <c r="AY524" s="629" t="s">
        <v>1063</v>
      </c>
      <c r="BE524" s="687">
        <f>IF(O524="základná",K524,0)</f>
        <v>0</v>
      </c>
      <c r="BF524" s="687">
        <f>IF(O524="znížená",K524,0)</f>
        <v>0</v>
      </c>
      <c r="BG524" s="687">
        <f>IF(O524="zákl. prenesená",K524,0)</f>
        <v>0</v>
      </c>
      <c r="BH524" s="687">
        <f>IF(O524="zníž. prenesená",K524,0)</f>
        <v>0</v>
      </c>
      <c r="BI524" s="687">
        <f>IF(O524="nulová",K524,0)</f>
        <v>0</v>
      </c>
      <c r="BJ524" s="629" t="s">
        <v>795</v>
      </c>
      <c r="BK524" s="687">
        <f>ROUND(P524*H524,2)</f>
        <v>0</v>
      </c>
      <c r="BL524" s="629" t="s">
        <v>1185</v>
      </c>
      <c r="BM524" s="686" t="s">
        <v>1660</v>
      </c>
    </row>
    <row r="525" spans="1:65" s="756" customFormat="1" ht="11.25">
      <c r="B525" s="757"/>
      <c r="C525" s="758"/>
      <c r="D525" s="759" t="s">
        <v>1143</v>
      </c>
      <c r="E525" s="760" t="s">
        <v>1043</v>
      </c>
      <c r="F525" s="761" t="s">
        <v>1585</v>
      </c>
      <c r="G525" s="758"/>
      <c r="H525" s="760" t="s">
        <v>1043</v>
      </c>
      <c r="I525" s="758"/>
      <c r="J525" s="758"/>
      <c r="K525" s="758"/>
      <c r="L525" s="758"/>
      <c r="M525" s="762"/>
      <c r="N525" s="763"/>
      <c r="O525" s="764"/>
      <c r="P525" s="764"/>
      <c r="Q525" s="764"/>
      <c r="R525" s="764"/>
      <c r="S525" s="764"/>
      <c r="T525" s="764"/>
      <c r="U525" s="764"/>
      <c r="V525" s="764"/>
      <c r="W525" s="764"/>
      <c r="X525" s="765"/>
      <c r="AT525" s="766" t="s">
        <v>1143</v>
      </c>
      <c r="AU525" s="766" t="s">
        <v>795</v>
      </c>
      <c r="AV525" s="756" t="s">
        <v>791</v>
      </c>
      <c r="AW525" s="756" t="s">
        <v>1145</v>
      </c>
      <c r="AX525" s="756" t="s">
        <v>788</v>
      </c>
      <c r="AY525" s="766" t="s">
        <v>1063</v>
      </c>
    </row>
    <row r="526" spans="1:65" s="767" customFormat="1" ht="11.25">
      <c r="B526" s="768"/>
      <c r="C526" s="769"/>
      <c r="D526" s="759" t="s">
        <v>1143</v>
      </c>
      <c r="E526" s="770" t="s">
        <v>1043</v>
      </c>
      <c r="F526" s="771" t="s">
        <v>1586</v>
      </c>
      <c r="G526" s="769"/>
      <c r="H526" s="772">
        <v>2</v>
      </c>
      <c r="I526" s="769"/>
      <c r="J526" s="769"/>
      <c r="K526" s="769"/>
      <c r="L526" s="769"/>
      <c r="M526" s="773"/>
      <c r="N526" s="774"/>
      <c r="O526" s="775"/>
      <c r="P526" s="775"/>
      <c r="Q526" s="775"/>
      <c r="R526" s="775"/>
      <c r="S526" s="775"/>
      <c r="T526" s="775"/>
      <c r="U526" s="775"/>
      <c r="V526" s="775"/>
      <c r="W526" s="775"/>
      <c r="X526" s="776"/>
      <c r="AT526" s="777" t="s">
        <v>1143</v>
      </c>
      <c r="AU526" s="777" t="s">
        <v>795</v>
      </c>
      <c r="AV526" s="767" t="s">
        <v>795</v>
      </c>
      <c r="AW526" s="767" t="s">
        <v>1145</v>
      </c>
      <c r="AX526" s="767" t="s">
        <v>788</v>
      </c>
      <c r="AY526" s="777" t="s">
        <v>1063</v>
      </c>
    </row>
    <row r="527" spans="1:65" s="778" customFormat="1" ht="11.25">
      <c r="B527" s="779"/>
      <c r="C527" s="780"/>
      <c r="D527" s="759" t="s">
        <v>1143</v>
      </c>
      <c r="E527" s="781" t="s">
        <v>1043</v>
      </c>
      <c r="F527" s="782" t="s">
        <v>1153</v>
      </c>
      <c r="G527" s="780"/>
      <c r="H527" s="783">
        <v>2</v>
      </c>
      <c r="I527" s="780"/>
      <c r="J527" s="780"/>
      <c r="K527" s="780"/>
      <c r="L527" s="780"/>
      <c r="M527" s="784"/>
      <c r="N527" s="785"/>
      <c r="O527" s="786"/>
      <c r="P527" s="786"/>
      <c r="Q527" s="786"/>
      <c r="R527" s="786"/>
      <c r="S527" s="786"/>
      <c r="T527" s="786"/>
      <c r="U527" s="786"/>
      <c r="V527" s="786"/>
      <c r="W527" s="786"/>
      <c r="X527" s="787"/>
      <c r="AT527" s="788" t="s">
        <v>1143</v>
      </c>
      <c r="AU527" s="788" t="s">
        <v>795</v>
      </c>
      <c r="AV527" s="778" t="s">
        <v>1065</v>
      </c>
      <c r="AW527" s="778" t="s">
        <v>1145</v>
      </c>
      <c r="AX527" s="778" t="s">
        <v>791</v>
      </c>
      <c r="AY527" s="788" t="s">
        <v>1063</v>
      </c>
    </row>
    <row r="528" spans="1:65" s="634" customFormat="1" ht="21.75" customHeight="1">
      <c r="A528" s="705"/>
      <c r="B528" s="706"/>
      <c r="C528" s="789" t="s">
        <v>1669</v>
      </c>
      <c r="D528" s="789" t="s">
        <v>83</v>
      </c>
      <c r="E528" s="790" t="s">
        <v>1662</v>
      </c>
      <c r="F528" s="791" t="s">
        <v>1663</v>
      </c>
      <c r="G528" s="792" t="s">
        <v>19</v>
      </c>
      <c r="H528" s="793">
        <v>2</v>
      </c>
      <c r="I528" s="794"/>
      <c r="J528" s="795"/>
      <c r="K528" s="794">
        <f>ROUND(P528*H528,2)</f>
        <v>0</v>
      </c>
      <c r="L528" s="795"/>
      <c r="M528" s="701"/>
      <c r="N528" s="796" t="s">
        <v>1043</v>
      </c>
      <c r="O528" s="752" t="s">
        <v>1129</v>
      </c>
      <c r="P528" s="753">
        <f>I528+J528</f>
        <v>0</v>
      </c>
      <c r="Q528" s="753">
        <f>ROUND(I528*H528,2)</f>
        <v>0</v>
      </c>
      <c r="R528" s="753">
        <f>ROUND(J528*H528,2)</f>
        <v>0</v>
      </c>
      <c r="S528" s="754">
        <v>0</v>
      </c>
      <c r="T528" s="754">
        <f>S528*H528</f>
        <v>0</v>
      </c>
      <c r="U528" s="754">
        <v>3.3E-4</v>
      </c>
      <c r="V528" s="754">
        <f>U528*H528</f>
        <v>6.6E-4</v>
      </c>
      <c r="W528" s="754">
        <v>0</v>
      </c>
      <c r="X528" s="755">
        <f>W528*H528</f>
        <v>0</v>
      </c>
      <c r="Y528" s="705"/>
      <c r="Z528" s="705"/>
      <c r="AA528" s="705"/>
      <c r="AB528" s="705"/>
      <c r="AC528" s="705"/>
      <c r="AD528" s="705"/>
      <c r="AE528" s="705"/>
      <c r="AR528" s="686" t="s">
        <v>1190</v>
      </c>
      <c r="AT528" s="686" t="s">
        <v>83</v>
      </c>
      <c r="AU528" s="686" t="s">
        <v>795</v>
      </c>
      <c r="AY528" s="629" t="s">
        <v>1063</v>
      </c>
      <c r="BE528" s="687">
        <f>IF(O528="základná",K528,0)</f>
        <v>0</v>
      </c>
      <c r="BF528" s="687">
        <f>IF(O528="znížená",K528,0)</f>
        <v>0</v>
      </c>
      <c r="BG528" s="687">
        <f>IF(O528="zákl. prenesená",K528,0)</f>
        <v>0</v>
      </c>
      <c r="BH528" s="687">
        <f>IF(O528="zníž. prenesená",K528,0)</f>
        <v>0</v>
      </c>
      <c r="BI528" s="687">
        <f>IF(O528="nulová",K528,0)</f>
        <v>0</v>
      </c>
      <c r="BJ528" s="629" t="s">
        <v>795</v>
      </c>
      <c r="BK528" s="687">
        <f>ROUND(P528*H528,2)</f>
        <v>0</v>
      </c>
      <c r="BL528" s="629" t="s">
        <v>1185</v>
      </c>
      <c r="BM528" s="686" t="s">
        <v>1664</v>
      </c>
    </row>
    <row r="529" spans="1:65" s="756" customFormat="1" ht="11.25">
      <c r="B529" s="757"/>
      <c r="C529" s="758"/>
      <c r="D529" s="759" t="s">
        <v>1143</v>
      </c>
      <c r="E529" s="760" t="s">
        <v>1043</v>
      </c>
      <c r="F529" s="761" t="s">
        <v>1585</v>
      </c>
      <c r="G529" s="758"/>
      <c r="H529" s="760" t="s">
        <v>1043</v>
      </c>
      <c r="I529" s="758"/>
      <c r="J529" s="758"/>
      <c r="K529" s="758"/>
      <c r="L529" s="758"/>
      <c r="M529" s="762"/>
      <c r="N529" s="763"/>
      <c r="O529" s="764"/>
      <c r="P529" s="764"/>
      <c r="Q529" s="764"/>
      <c r="R529" s="764"/>
      <c r="S529" s="764"/>
      <c r="T529" s="764"/>
      <c r="U529" s="764"/>
      <c r="V529" s="764"/>
      <c r="W529" s="764"/>
      <c r="X529" s="765"/>
      <c r="AT529" s="766" t="s">
        <v>1143</v>
      </c>
      <c r="AU529" s="766" t="s">
        <v>795</v>
      </c>
      <c r="AV529" s="756" t="s">
        <v>791</v>
      </c>
      <c r="AW529" s="756" t="s">
        <v>1145</v>
      </c>
      <c r="AX529" s="756" t="s">
        <v>788</v>
      </c>
      <c r="AY529" s="766" t="s">
        <v>1063</v>
      </c>
    </row>
    <row r="530" spans="1:65" s="767" customFormat="1" ht="11.25">
      <c r="B530" s="768"/>
      <c r="C530" s="769"/>
      <c r="D530" s="759" t="s">
        <v>1143</v>
      </c>
      <c r="E530" s="770" t="s">
        <v>1043</v>
      </c>
      <c r="F530" s="771" t="s">
        <v>1586</v>
      </c>
      <c r="G530" s="769"/>
      <c r="H530" s="772">
        <v>2</v>
      </c>
      <c r="I530" s="769"/>
      <c r="J530" s="769"/>
      <c r="K530" s="769"/>
      <c r="L530" s="769"/>
      <c r="M530" s="773"/>
      <c r="N530" s="774"/>
      <c r="O530" s="775"/>
      <c r="P530" s="775"/>
      <c r="Q530" s="775"/>
      <c r="R530" s="775"/>
      <c r="S530" s="775"/>
      <c r="T530" s="775"/>
      <c r="U530" s="775"/>
      <c r="V530" s="775"/>
      <c r="W530" s="775"/>
      <c r="X530" s="776"/>
      <c r="AT530" s="777" t="s">
        <v>1143</v>
      </c>
      <c r="AU530" s="777" t="s">
        <v>795</v>
      </c>
      <c r="AV530" s="767" t="s">
        <v>795</v>
      </c>
      <c r="AW530" s="767" t="s">
        <v>1145</v>
      </c>
      <c r="AX530" s="767" t="s">
        <v>788</v>
      </c>
      <c r="AY530" s="777" t="s">
        <v>1063</v>
      </c>
    </row>
    <row r="531" spans="1:65" s="778" customFormat="1" ht="11.25">
      <c r="B531" s="779"/>
      <c r="C531" s="780"/>
      <c r="D531" s="759" t="s">
        <v>1143</v>
      </c>
      <c r="E531" s="781" t="s">
        <v>1043</v>
      </c>
      <c r="F531" s="782" t="s">
        <v>1153</v>
      </c>
      <c r="G531" s="780"/>
      <c r="H531" s="783">
        <v>2</v>
      </c>
      <c r="I531" s="780"/>
      <c r="J531" s="780"/>
      <c r="K531" s="780"/>
      <c r="L531" s="780"/>
      <c r="M531" s="784"/>
      <c r="N531" s="785"/>
      <c r="O531" s="786"/>
      <c r="P531" s="786"/>
      <c r="Q531" s="786"/>
      <c r="R531" s="786"/>
      <c r="S531" s="786"/>
      <c r="T531" s="786"/>
      <c r="U531" s="786"/>
      <c r="V531" s="786"/>
      <c r="W531" s="786"/>
      <c r="X531" s="787"/>
      <c r="AT531" s="788" t="s">
        <v>1143</v>
      </c>
      <c r="AU531" s="788" t="s">
        <v>795</v>
      </c>
      <c r="AV531" s="778" t="s">
        <v>1065</v>
      </c>
      <c r="AW531" s="778" t="s">
        <v>1145</v>
      </c>
      <c r="AX531" s="778" t="s">
        <v>791</v>
      </c>
      <c r="AY531" s="788" t="s">
        <v>1063</v>
      </c>
    </row>
    <row r="532" spans="1:65" s="634" customFormat="1" ht="33" customHeight="1">
      <c r="A532" s="705"/>
      <c r="B532" s="706"/>
      <c r="C532" s="744" t="s">
        <v>1673</v>
      </c>
      <c r="D532" s="744" t="s">
        <v>29</v>
      </c>
      <c r="E532" s="745" t="s">
        <v>1666</v>
      </c>
      <c r="F532" s="746" t="s">
        <v>1667</v>
      </c>
      <c r="G532" s="747" t="s">
        <v>19</v>
      </c>
      <c r="H532" s="748">
        <v>4</v>
      </c>
      <c r="I532" s="749"/>
      <c r="J532" s="749"/>
      <c r="K532" s="749">
        <f>ROUND(P532*H532,2)</f>
        <v>0</v>
      </c>
      <c r="L532" s="750"/>
      <c r="M532" s="631"/>
      <c r="N532" s="751" t="s">
        <v>1043</v>
      </c>
      <c r="O532" s="752" t="s">
        <v>1129</v>
      </c>
      <c r="P532" s="753">
        <f>I532+J532</f>
        <v>0</v>
      </c>
      <c r="Q532" s="753">
        <f>ROUND(I532*H532,2)</f>
        <v>0</v>
      </c>
      <c r="R532" s="753">
        <f>ROUND(J532*H532,2)</f>
        <v>0</v>
      </c>
      <c r="S532" s="754">
        <v>0.49</v>
      </c>
      <c r="T532" s="754">
        <f>S532*H532</f>
        <v>1.96</v>
      </c>
      <c r="U532" s="754">
        <v>0</v>
      </c>
      <c r="V532" s="754">
        <f>U532*H532</f>
        <v>0</v>
      </c>
      <c r="W532" s="754">
        <v>0</v>
      </c>
      <c r="X532" s="755">
        <f>W532*H532</f>
        <v>0</v>
      </c>
      <c r="Y532" s="705"/>
      <c r="Z532" s="705"/>
      <c r="AA532" s="705"/>
      <c r="AB532" s="705"/>
      <c r="AC532" s="705"/>
      <c r="AD532" s="705"/>
      <c r="AE532" s="705"/>
      <c r="AR532" s="686" t="s">
        <v>1185</v>
      </c>
      <c r="AT532" s="686" t="s">
        <v>29</v>
      </c>
      <c r="AU532" s="686" t="s">
        <v>795</v>
      </c>
      <c r="AY532" s="629" t="s">
        <v>1063</v>
      </c>
      <c r="BE532" s="687">
        <f>IF(O532="základná",K532,0)</f>
        <v>0</v>
      </c>
      <c r="BF532" s="687">
        <f>IF(O532="znížená",K532,0)</f>
        <v>0</v>
      </c>
      <c r="BG532" s="687">
        <f>IF(O532="zákl. prenesená",K532,0)</f>
        <v>0</v>
      </c>
      <c r="BH532" s="687">
        <f>IF(O532="zníž. prenesená",K532,0)</f>
        <v>0</v>
      </c>
      <c r="BI532" s="687">
        <f>IF(O532="nulová",K532,0)</f>
        <v>0</v>
      </c>
      <c r="BJ532" s="629" t="s">
        <v>795</v>
      </c>
      <c r="BK532" s="687">
        <f>ROUND(P532*H532,2)</f>
        <v>0</v>
      </c>
      <c r="BL532" s="629" t="s">
        <v>1185</v>
      </c>
      <c r="BM532" s="686" t="s">
        <v>1668</v>
      </c>
    </row>
    <row r="533" spans="1:65" s="756" customFormat="1" ht="11.25">
      <c r="B533" s="757"/>
      <c r="C533" s="758"/>
      <c r="D533" s="759" t="s">
        <v>1143</v>
      </c>
      <c r="E533" s="760" t="s">
        <v>1043</v>
      </c>
      <c r="F533" s="761" t="s">
        <v>1568</v>
      </c>
      <c r="G533" s="758"/>
      <c r="H533" s="760" t="s">
        <v>1043</v>
      </c>
      <c r="I533" s="758"/>
      <c r="J533" s="758"/>
      <c r="K533" s="758"/>
      <c r="L533" s="758"/>
      <c r="M533" s="762"/>
      <c r="N533" s="763"/>
      <c r="O533" s="764"/>
      <c r="P533" s="764"/>
      <c r="Q533" s="764"/>
      <c r="R533" s="764"/>
      <c r="S533" s="764"/>
      <c r="T533" s="764"/>
      <c r="U533" s="764"/>
      <c r="V533" s="764"/>
      <c r="W533" s="764"/>
      <c r="X533" s="765"/>
      <c r="AT533" s="766" t="s">
        <v>1143</v>
      </c>
      <c r="AU533" s="766" t="s">
        <v>795</v>
      </c>
      <c r="AV533" s="756" t="s">
        <v>791</v>
      </c>
      <c r="AW533" s="756" t="s">
        <v>1145</v>
      </c>
      <c r="AX533" s="756" t="s">
        <v>788</v>
      </c>
      <c r="AY533" s="766" t="s">
        <v>1063</v>
      </c>
    </row>
    <row r="534" spans="1:65" s="767" customFormat="1" ht="11.25">
      <c r="B534" s="768"/>
      <c r="C534" s="769"/>
      <c r="D534" s="759" t="s">
        <v>1143</v>
      </c>
      <c r="E534" s="770" t="s">
        <v>1043</v>
      </c>
      <c r="F534" s="771" t="s">
        <v>1504</v>
      </c>
      <c r="G534" s="769"/>
      <c r="H534" s="772">
        <v>4</v>
      </c>
      <c r="I534" s="769"/>
      <c r="J534" s="769"/>
      <c r="K534" s="769"/>
      <c r="L534" s="769"/>
      <c r="M534" s="773"/>
      <c r="N534" s="774"/>
      <c r="O534" s="775"/>
      <c r="P534" s="775"/>
      <c r="Q534" s="775"/>
      <c r="R534" s="775"/>
      <c r="S534" s="775"/>
      <c r="T534" s="775"/>
      <c r="U534" s="775"/>
      <c r="V534" s="775"/>
      <c r="W534" s="775"/>
      <c r="X534" s="776"/>
      <c r="AT534" s="777" t="s">
        <v>1143</v>
      </c>
      <c r="AU534" s="777" t="s">
        <v>795</v>
      </c>
      <c r="AV534" s="767" t="s">
        <v>795</v>
      </c>
      <c r="AW534" s="767" t="s">
        <v>1145</v>
      </c>
      <c r="AX534" s="767" t="s">
        <v>788</v>
      </c>
      <c r="AY534" s="777" t="s">
        <v>1063</v>
      </c>
    </row>
    <row r="535" spans="1:65" s="778" customFormat="1" ht="11.25">
      <c r="B535" s="779"/>
      <c r="C535" s="780"/>
      <c r="D535" s="759" t="s">
        <v>1143</v>
      </c>
      <c r="E535" s="781" t="s">
        <v>1043</v>
      </c>
      <c r="F535" s="782" t="s">
        <v>1153</v>
      </c>
      <c r="G535" s="780"/>
      <c r="H535" s="783">
        <v>4</v>
      </c>
      <c r="I535" s="780"/>
      <c r="J535" s="780"/>
      <c r="K535" s="780"/>
      <c r="L535" s="780"/>
      <c r="M535" s="784"/>
      <c r="N535" s="785"/>
      <c r="O535" s="786"/>
      <c r="P535" s="786"/>
      <c r="Q535" s="786"/>
      <c r="R535" s="786"/>
      <c r="S535" s="786"/>
      <c r="T535" s="786"/>
      <c r="U535" s="786"/>
      <c r="V535" s="786"/>
      <c r="W535" s="786"/>
      <c r="X535" s="787"/>
      <c r="AT535" s="788" t="s">
        <v>1143</v>
      </c>
      <c r="AU535" s="788" t="s">
        <v>795</v>
      </c>
      <c r="AV535" s="778" t="s">
        <v>1065</v>
      </c>
      <c r="AW535" s="778" t="s">
        <v>1145</v>
      </c>
      <c r="AX535" s="778" t="s">
        <v>791</v>
      </c>
      <c r="AY535" s="788" t="s">
        <v>1063</v>
      </c>
    </row>
    <row r="536" spans="1:65" s="634" customFormat="1" ht="21.75" customHeight="1">
      <c r="A536" s="705"/>
      <c r="B536" s="706"/>
      <c r="C536" s="789" t="s">
        <v>1677</v>
      </c>
      <c r="D536" s="789" t="s">
        <v>83</v>
      </c>
      <c r="E536" s="790" t="s">
        <v>1670</v>
      </c>
      <c r="F536" s="791" t="s">
        <v>1671</v>
      </c>
      <c r="G536" s="792" t="s">
        <v>19</v>
      </c>
      <c r="H536" s="793">
        <v>4</v>
      </c>
      <c r="I536" s="794"/>
      <c r="J536" s="795"/>
      <c r="K536" s="794">
        <f>ROUND(P536*H536,2)</f>
        <v>0</v>
      </c>
      <c r="L536" s="795"/>
      <c r="M536" s="701"/>
      <c r="N536" s="796" t="s">
        <v>1043</v>
      </c>
      <c r="O536" s="752" t="s">
        <v>1129</v>
      </c>
      <c r="P536" s="753">
        <f>I536+J536</f>
        <v>0</v>
      </c>
      <c r="Q536" s="753">
        <f>ROUND(I536*H536,2)</f>
        <v>0</v>
      </c>
      <c r="R536" s="753">
        <f>ROUND(J536*H536,2)</f>
        <v>0</v>
      </c>
      <c r="S536" s="754">
        <v>0</v>
      </c>
      <c r="T536" s="754">
        <f>S536*H536</f>
        <v>0</v>
      </c>
      <c r="U536" s="754">
        <v>7.3999999999999999E-4</v>
      </c>
      <c r="V536" s="754">
        <f>U536*H536</f>
        <v>2.96E-3</v>
      </c>
      <c r="W536" s="754">
        <v>0</v>
      </c>
      <c r="X536" s="755">
        <f>W536*H536</f>
        <v>0</v>
      </c>
      <c r="Y536" s="705"/>
      <c r="Z536" s="705"/>
      <c r="AA536" s="705"/>
      <c r="AB536" s="705"/>
      <c r="AC536" s="705"/>
      <c r="AD536" s="705"/>
      <c r="AE536" s="705"/>
      <c r="AR536" s="686" t="s">
        <v>1190</v>
      </c>
      <c r="AT536" s="686" t="s">
        <v>83</v>
      </c>
      <c r="AU536" s="686" t="s">
        <v>795</v>
      </c>
      <c r="AY536" s="629" t="s">
        <v>1063</v>
      </c>
      <c r="BE536" s="687">
        <f>IF(O536="základná",K536,0)</f>
        <v>0</v>
      </c>
      <c r="BF536" s="687">
        <f>IF(O536="znížená",K536,0)</f>
        <v>0</v>
      </c>
      <c r="BG536" s="687">
        <f>IF(O536="zákl. prenesená",K536,0)</f>
        <v>0</v>
      </c>
      <c r="BH536" s="687">
        <f>IF(O536="zníž. prenesená",K536,0)</f>
        <v>0</v>
      </c>
      <c r="BI536" s="687">
        <f>IF(O536="nulová",K536,0)</f>
        <v>0</v>
      </c>
      <c r="BJ536" s="629" t="s">
        <v>795</v>
      </c>
      <c r="BK536" s="687">
        <f>ROUND(P536*H536,2)</f>
        <v>0</v>
      </c>
      <c r="BL536" s="629" t="s">
        <v>1185</v>
      </c>
      <c r="BM536" s="686" t="s">
        <v>1672</v>
      </c>
    </row>
    <row r="537" spans="1:65" s="756" customFormat="1" ht="11.25">
      <c r="B537" s="757"/>
      <c r="C537" s="758"/>
      <c r="D537" s="759" t="s">
        <v>1143</v>
      </c>
      <c r="E537" s="760" t="s">
        <v>1043</v>
      </c>
      <c r="F537" s="761" t="s">
        <v>1568</v>
      </c>
      <c r="G537" s="758"/>
      <c r="H537" s="760" t="s">
        <v>1043</v>
      </c>
      <c r="I537" s="758"/>
      <c r="J537" s="758"/>
      <c r="K537" s="758"/>
      <c r="L537" s="758"/>
      <c r="M537" s="762"/>
      <c r="N537" s="763"/>
      <c r="O537" s="764"/>
      <c r="P537" s="764"/>
      <c r="Q537" s="764"/>
      <c r="R537" s="764"/>
      <c r="S537" s="764"/>
      <c r="T537" s="764"/>
      <c r="U537" s="764"/>
      <c r="V537" s="764"/>
      <c r="W537" s="764"/>
      <c r="X537" s="765"/>
      <c r="AT537" s="766" t="s">
        <v>1143</v>
      </c>
      <c r="AU537" s="766" t="s">
        <v>795</v>
      </c>
      <c r="AV537" s="756" t="s">
        <v>791</v>
      </c>
      <c r="AW537" s="756" t="s">
        <v>1145</v>
      </c>
      <c r="AX537" s="756" t="s">
        <v>788</v>
      </c>
      <c r="AY537" s="766" t="s">
        <v>1063</v>
      </c>
    </row>
    <row r="538" spans="1:65" s="767" customFormat="1" ht="11.25">
      <c r="B538" s="768"/>
      <c r="C538" s="769"/>
      <c r="D538" s="759" t="s">
        <v>1143</v>
      </c>
      <c r="E538" s="770" t="s">
        <v>1043</v>
      </c>
      <c r="F538" s="771" t="s">
        <v>1504</v>
      </c>
      <c r="G538" s="769"/>
      <c r="H538" s="772">
        <v>4</v>
      </c>
      <c r="I538" s="769"/>
      <c r="J538" s="769"/>
      <c r="K538" s="769"/>
      <c r="L538" s="769"/>
      <c r="M538" s="773"/>
      <c r="N538" s="774"/>
      <c r="O538" s="775"/>
      <c r="P538" s="775"/>
      <c r="Q538" s="775"/>
      <c r="R538" s="775"/>
      <c r="S538" s="775"/>
      <c r="T538" s="775"/>
      <c r="U538" s="775"/>
      <c r="V538" s="775"/>
      <c r="W538" s="775"/>
      <c r="X538" s="776"/>
      <c r="AT538" s="777" t="s">
        <v>1143</v>
      </c>
      <c r="AU538" s="777" t="s">
        <v>795</v>
      </c>
      <c r="AV538" s="767" t="s">
        <v>795</v>
      </c>
      <c r="AW538" s="767" t="s">
        <v>1145</v>
      </c>
      <c r="AX538" s="767" t="s">
        <v>788</v>
      </c>
      <c r="AY538" s="777" t="s">
        <v>1063</v>
      </c>
    </row>
    <row r="539" spans="1:65" s="778" customFormat="1" ht="11.25">
      <c r="B539" s="779"/>
      <c r="C539" s="780"/>
      <c r="D539" s="759" t="s">
        <v>1143</v>
      </c>
      <c r="E539" s="781" t="s">
        <v>1043</v>
      </c>
      <c r="F539" s="782" t="s">
        <v>1153</v>
      </c>
      <c r="G539" s="780"/>
      <c r="H539" s="783">
        <v>4</v>
      </c>
      <c r="I539" s="780"/>
      <c r="J539" s="780"/>
      <c r="K539" s="780"/>
      <c r="L539" s="780"/>
      <c r="M539" s="784"/>
      <c r="N539" s="785"/>
      <c r="O539" s="786"/>
      <c r="P539" s="786"/>
      <c r="Q539" s="786"/>
      <c r="R539" s="786"/>
      <c r="S539" s="786"/>
      <c r="T539" s="786"/>
      <c r="U539" s="786"/>
      <c r="V539" s="786"/>
      <c r="W539" s="786"/>
      <c r="X539" s="787"/>
      <c r="AT539" s="788" t="s">
        <v>1143</v>
      </c>
      <c r="AU539" s="788" t="s">
        <v>795</v>
      </c>
      <c r="AV539" s="778" t="s">
        <v>1065</v>
      </c>
      <c r="AW539" s="778" t="s">
        <v>1145</v>
      </c>
      <c r="AX539" s="778" t="s">
        <v>791</v>
      </c>
      <c r="AY539" s="788" t="s">
        <v>1063</v>
      </c>
    </row>
    <row r="540" spans="1:65" s="634" customFormat="1" ht="21.75" customHeight="1">
      <c r="A540" s="705"/>
      <c r="B540" s="706"/>
      <c r="C540" s="744" t="s">
        <v>1681</v>
      </c>
      <c r="D540" s="744" t="s">
        <v>29</v>
      </c>
      <c r="E540" s="745" t="s">
        <v>1674</v>
      </c>
      <c r="F540" s="746" t="s">
        <v>1675</v>
      </c>
      <c r="G540" s="747" t="s">
        <v>19</v>
      </c>
      <c r="H540" s="748">
        <v>1</v>
      </c>
      <c r="I540" s="749"/>
      <c r="J540" s="749"/>
      <c r="K540" s="749">
        <f>ROUND(P540*H540,2)</f>
        <v>0</v>
      </c>
      <c r="L540" s="750"/>
      <c r="M540" s="631"/>
      <c r="N540" s="751" t="s">
        <v>1043</v>
      </c>
      <c r="O540" s="752" t="s">
        <v>1129</v>
      </c>
      <c r="P540" s="753">
        <f>I540+J540</f>
        <v>0</v>
      </c>
      <c r="Q540" s="753">
        <f>ROUND(I540*H540,2)</f>
        <v>0</v>
      </c>
      <c r="R540" s="753">
        <f>ROUND(J540*H540,2)</f>
        <v>0</v>
      </c>
      <c r="S540" s="754">
        <v>0.39</v>
      </c>
      <c r="T540" s="754">
        <f>S540*H540</f>
        <v>0.39</v>
      </c>
      <c r="U540" s="754">
        <v>0</v>
      </c>
      <c r="V540" s="754">
        <f>U540*H540</f>
        <v>0</v>
      </c>
      <c r="W540" s="754">
        <v>0</v>
      </c>
      <c r="X540" s="755">
        <f>W540*H540</f>
        <v>0</v>
      </c>
      <c r="Y540" s="705"/>
      <c r="Z540" s="705"/>
      <c r="AA540" s="705"/>
      <c r="AB540" s="705"/>
      <c r="AC540" s="705"/>
      <c r="AD540" s="705"/>
      <c r="AE540" s="705"/>
      <c r="AR540" s="686" t="s">
        <v>1185</v>
      </c>
      <c r="AT540" s="686" t="s">
        <v>29</v>
      </c>
      <c r="AU540" s="686" t="s">
        <v>795</v>
      </c>
      <c r="AY540" s="629" t="s">
        <v>1063</v>
      </c>
      <c r="BE540" s="687">
        <f>IF(O540="základná",K540,0)</f>
        <v>0</v>
      </c>
      <c r="BF540" s="687">
        <f>IF(O540="znížená",K540,0)</f>
        <v>0</v>
      </c>
      <c r="BG540" s="687">
        <f>IF(O540="zákl. prenesená",K540,0)</f>
        <v>0</v>
      </c>
      <c r="BH540" s="687">
        <f>IF(O540="zníž. prenesená",K540,0)</f>
        <v>0</v>
      </c>
      <c r="BI540" s="687">
        <f>IF(O540="nulová",K540,0)</f>
        <v>0</v>
      </c>
      <c r="BJ540" s="629" t="s">
        <v>795</v>
      </c>
      <c r="BK540" s="687">
        <f>ROUND(P540*H540,2)</f>
        <v>0</v>
      </c>
      <c r="BL540" s="629" t="s">
        <v>1185</v>
      </c>
      <c r="BM540" s="686" t="s">
        <v>1676</v>
      </c>
    </row>
    <row r="541" spans="1:65" s="756" customFormat="1" ht="11.25">
      <c r="B541" s="757"/>
      <c r="C541" s="758"/>
      <c r="D541" s="759" t="s">
        <v>1143</v>
      </c>
      <c r="E541" s="760" t="s">
        <v>1043</v>
      </c>
      <c r="F541" s="761" t="s">
        <v>1421</v>
      </c>
      <c r="G541" s="758"/>
      <c r="H541" s="760" t="s">
        <v>1043</v>
      </c>
      <c r="I541" s="758"/>
      <c r="J541" s="758"/>
      <c r="K541" s="758"/>
      <c r="L541" s="758"/>
      <c r="M541" s="762"/>
      <c r="N541" s="763"/>
      <c r="O541" s="764"/>
      <c r="P541" s="764"/>
      <c r="Q541" s="764"/>
      <c r="R541" s="764"/>
      <c r="S541" s="764"/>
      <c r="T541" s="764"/>
      <c r="U541" s="764"/>
      <c r="V541" s="764"/>
      <c r="W541" s="764"/>
      <c r="X541" s="765"/>
      <c r="AT541" s="766" t="s">
        <v>1143</v>
      </c>
      <c r="AU541" s="766" t="s">
        <v>795</v>
      </c>
      <c r="AV541" s="756" t="s">
        <v>791</v>
      </c>
      <c r="AW541" s="756" t="s">
        <v>1145</v>
      </c>
      <c r="AX541" s="756" t="s">
        <v>788</v>
      </c>
      <c r="AY541" s="766" t="s">
        <v>1063</v>
      </c>
    </row>
    <row r="542" spans="1:65" s="767" customFormat="1" ht="11.25">
      <c r="B542" s="768"/>
      <c r="C542" s="769"/>
      <c r="D542" s="759" t="s">
        <v>1143</v>
      </c>
      <c r="E542" s="770" t="s">
        <v>1043</v>
      </c>
      <c r="F542" s="771" t="s">
        <v>791</v>
      </c>
      <c r="G542" s="769"/>
      <c r="H542" s="772">
        <v>1</v>
      </c>
      <c r="I542" s="769"/>
      <c r="J542" s="769"/>
      <c r="K542" s="769"/>
      <c r="L542" s="769"/>
      <c r="M542" s="773"/>
      <c r="N542" s="774"/>
      <c r="O542" s="775"/>
      <c r="P542" s="775"/>
      <c r="Q542" s="775"/>
      <c r="R542" s="775"/>
      <c r="S542" s="775"/>
      <c r="T542" s="775"/>
      <c r="U542" s="775"/>
      <c r="V542" s="775"/>
      <c r="W542" s="775"/>
      <c r="X542" s="776"/>
      <c r="AT542" s="777" t="s">
        <v>1143</v>
      </c>
      <c r="AU542" s="777" t="s">
        <v>795</v>
      </c>
      <c r="AV542" s="767" t="s">
        <v>795</v>
      </c>
      <c r="AW542" s="767" t="s">
        <v>1145</v>
      </c>
      <c r="AX542" s="767" t="s">
        <v>788</v>
      </c>
      <c r="AY542" s="777" t="s">
        <v>1063</v>
      </c>
    </row>
    <row r="543" spans="1:65" s="778" customFormat="1" ht="11.25">
      <c r="B543" s="779"/>
      <c r="C543" s="780"/>
      <c r="D543" s="759" t="s">
        <v>1143</v>
      </c>
      <c r="E543" s="781" t="s">
        <v>1043</v>
      </c>
      <c r="F543" s="782" t="s">
        <v>1153</v>
      </c>
      <c r="G543" s="780"/>
      <c r="H543" s="783">
        <v>1</v>
      </c>
      <c r="I543" s="780"/>
      <c r="J543" s="780"/>
      <c r="K543" s="780"/>
      <c r="L543" s="780"/>
      <c r="M543" s="784"/>
      <c r="N543" s="785"/>
      <c r="O543" s="786"/>
      <c r="P543" s="786"/>
      <c r="Q543" s="786"/>
      <c r="R543" s="786"/>
      <c r="S543" s="786"/>
      <c r="T543" s="786"/>
      <c r="U543" s="786"/>
      <c r="V543" s="786"/>
      <c r="W543" s="786"/>
      <c r="X543" s="787"/>
      <c r="AT543" s="788" t="s">
        <v>1143</v>
      </c>
      <c r="AU543" s="788" t="s">
        <v>795</v>
      </c>
      <c r="AV543" s="778" t="s">
        <v>1065</v>
      </c>
      <c r="AW543" s="778" t="s">
        <v>1145</v>
      </c>
      <c r="AX543" s="778" t="s">
        <v>791</v>
      </c>
      <c r="AY543" s="788" t="s">
        <v>1063</v>
      </c>
    </row>
    <row r="544" spans="1:65" s="634" customFormat="1" ht="21.75" customHeight="1">
      <c r="A544" s="705"/>
      <c r="B544" s="706"/>
      <c r="C544" s="789" t="s">
        <v>1686</v>
      </c>
      <c r="D544" s="789" t="s">
        <v>83</v>
      </c>
      <c r="E544" s="790" t="s">
        <v>1678</v>
      </c>
      <c r="F544" s="791" t="s">
        <v>1679</v>
      </c>
      <c r="G544" s="792" t="s">
        <v>19</v>
      </c>
      <c r="H544" s="793">
        <v>1</v>
      </c>
      <c r="I544" s="794"/>
      <c r="J544" s="795"/>
      <c r="K544" s="794">
        <f>ROUND(P544*H544,2)</f>
        <v>0</v>
      </c>
      <c r="L544" s="795"/>
      <c r="M544" s="701"/>
      <c r="N544" s="796" t="s">
        <v>1043</v>
      </c>
      <c r="O544" s="752" t="s">
        <v>1129</v>
      </c>
      <c r="P544" s="753">
        <f>I544+J544</f>
        <v>0</v>
      </c>
      <c r="Q544" s="753">
        <f>ROUND(I544*H544,2)</f>
        <v>0</v>
      </c>
      <c r="R544" s="753">
        <f>ROUND(J544*H544,2)</f>
        <v>0</v>
      </c>
      <c r="S544" s="754">
        <v>0</v>
      </c>
      <c r="T544" s="754">
        <f>S544*H544</f>
        <v>0</v>
      </c>
      <c r="U544" s="754">
        <v>2.7999999999999998E-4</v>
      </c>
      <c r="V544" s="754">
        <f>U544*H544</f>
        <v>2.7999999999999998E-4</v>
      </c>
      <c r="W544" s="754">
        <v>0</v>
      </c>
      <c r="X544" s="755">
        <f>W544*H544</f>
        <v>0</v>
      </c>
      <c r="Y544" s="705"/>
      <c r="Z544" s="705"/>
      <c r="AA544" s="705"/>
      <c r="AB544" s="705"/>
      <c r="AC544" s="705"/>
      <c r="AD544" s="705"/>
      <c r="AE544" s="705"/>
      <c r="AR544" s="686" t="s">
        <v>1190</v>
      </c>
      <c r="AT544" s="686" t="s">
        <v>83</v>
      </c>
      <c r="AU544" s="686" t="s">
        <v>795</v>
      </c>
      <c r="AY544" s="629" t="s">
        <v>1063</v>
      </c>
      <c r="BE544" s="687">
        <f>IF(O544="základná",K544,0)</f>
        <v>0</v>
      </c>
      <c r="BF544" s="687">
        <f>IF(O544="znížená",K544,0)</f>
        <v>0</v>
      </c>
      <c r="BG544" s="687">
        <f>IF(O544="zákl. prenesená",K544,0)</f>
        <v>0</v>
      </c>
      <c r="BH544" s="687">
        <f>IF(O544="zníž. prenesená",K544,0)</f>
        <v>0</v>
      </c>
      <c r="BI544" s="687">
        <f>IF(O544="nulová",K544,0)</f>
        <v>0</v>
      </c>
      <c r="BJ544" s="629" t="s">
        <v>795</v>
      </c>
      <c r="BK544" s="687">
        <f>ROUND(P544*H544,2)</f>
        <v>0</v>
      </c>
      <c r="BL544" s="629" t="s">
        <v>1185</v>
      </c>
      <c r="BM544" s="686" t="s">
        <v>1680</v>
      </c>
    </row>
    <row r="545" spans="1:65" s="756" customFormat="1" ht="11.25">
      <c r="B545" s="757"/>
      <c r="C545" s="758"/>
      <c r="D545" s="759" t="s">
        <v>1143</v>
      </c>
      <c r="E545" s="760" t="s">
        <v>1043</v>
      </c>
      <c r="F545" s="761" t="s">
        <v>1421</v>
      </c>
      <c r="G545" s="758"/>
      <c r="H545" s="760" t="s">
        <v>1043</v>
      </c>
      <c r="I545" s="758"/>
      <c r="J545" s="758"/>
      <c r="K545" s="758"/>
      <c r="L545" s="758"/>
      <c r="M545" s="762"/>
      <c r="N545" s="763"/>
      <c r="O545" s="764"/>
      <c r="P545" s="764"/>
      <c r="Q545" s="764"/>
      <c r="R545" s="764"/>
      <c r="S545" s="764"/>
      <c r="T545" s="764"/>
      <c r="U545" s="764"/>
      <c r="V545" s="764"/>
      <c r="W545" s="764"/>
      <c r="X545" s="765"/>
      <c r="AT545" s="766" t="s">
        <v>1143</v>
      </c>
      <c r="AU545" s="766" t="s">
        <v>795</v>
      </c>
      <c r="AV545" s="756" t="s">
        <v>791</v>
      </c>
      <c r="AW545" s="756" t="s">
        <v>1145</v>
      </c>
      <c r="AX545" s="756" t="s">
        <v>788</v>
      </c>
      <c r="AY545" s="766" t="s">
        <v>1063</v>
      </c>
    </row>
    <row r="546" spans="1:65" s="767" customFormat="1" ht="11.25">
      <c r="B546" s="768"/>
      <c r="C546" s="769"/>
      <c r="D546" s="759" t="s">
        <v>1143</v>
      </c>
      <c r="E546" s="770" t="s">
        <v>1043</v>
      </c>
      <c r="F546" s="771" t="s">
        <v>791</v>
      </c>
      <c r="G546" s="769"/>
      <c r="H546" s="772">
        <v>1</v>
      </c>
      <c r="I546" s="769"/>
      <c r="J546" s="769"/>
      <c r="K546" s="769"/>
      <c r="L546" s="769"/>
      <c r="M546" s="773"/>
      <c r="N546" s="774"/>
      <c r="O546" s="775"/>
      <c r="P546" s="775"/>
      <c r="Q546" s="775"/>
      <c r="R546" s="775"/>
      <c r="S546" s="775"/>
      <c r="T546" s="775"/>
      <c r="U546" s="775"/>
      <c r="V546" s="775"/>
      <c r="W546" s="775"/>
      <c r="X546" s="776"/>
      <c r="AT546" s="777" t="s">
        <v>1143</v>
      </c>
      <c r="AU546" s="777" t="s">
        <v>795</v>
      </c>
      <c r="AV546" s="767" t="s">
        <v>795</v>
      </c>
      <c r="AW546" s="767" t="s">
        <v>1145</v>
      </c>
      <c r="AX546" s="767" t="s">
        <v>788</v>
      </c>
      <c r="AY546" s="777" t="s">
        <v>1063</v>
      </c>
    </row>
    <row r="547" spans="1:65" s="778" customFormat="1" ht="11.25">
      <c r="B547" s="779"/>
      <c r="C547" s="780"/>
      <c r="D547" s="759" t="s">
        <v>1143</v>
      </c>
      <c r="E547" s="781" t="s">
        <v>1043</v>
      </c>
      <c r="F547" s="782" t="s">
        <v>1153</v>
      </c>
      <c r="G547" s="780"/>
      <c r="H547" s="783">
        <v>1</v>
      </c>
      <c r="I547" s="780"/>
      <c r="J547" s="780"/>
      <c r="K547" s="780"/>
      <c r="L547" s="780"/>
      <c r="M547" s="784"/>
      <c r="N547" s="785"/>
      <c r="O547" s="786"/>
      <c r="P547" s="786"/>
      <c r="Q547" s="786"/>
      <c r="R547" s="786"/>
      <c r="S547" s="786"/>
      <c r="T547" s="786"/>
      <c r="U547" s="786"/>
      <c r="V547" s="786"/>
      <c r="W547" s="786"/>
      <c r="X547" s="787"/>
      <c r="AT547" s="788" t="s">
        <v>1143</v>
      </c>
      <c r="AU547" s="788" t="s">
        <v>795</v>
      </c>
      <c r="AV547" s="778" t="s">
        <v>1065</v>
      </c>
      <c r="AW547" s="778" t="s">
        <v>1145</v>
      </c>
      <c r="AX547" s="778" t="s">
        <v>791</v>
      </c>
      <c r="AY547" s="788" t="s">
        <v>1063</v>
      </c>
    </row>
    <row r="548" spans="1:65" s="634" customFormat="1" ht="21.75" customHeight="1">
      <c r="A548" s="705"/>
      <c r="B548" s="706"/>
      <c r="C548" s="744" t="s">
        <v>1690</v>
      </c>
      <c r="D548" s="744" t="s">
        <v>29</v>
      </c>
      <c r="E548" s="745" t="s">
        <v>1682</v>
      </c>
      <c r="F548" s="746" t="s">
        <v>1683</v>
      </c>
      <c r="G548" s="747" t="s">
        <v>19</v>
      </c>
      <c r="H548" s="748">
        <v>2</v>
      </c>
      <c r="I548" s="749"/>
      <c r="J548" s="749"/>
      <c r="K548" s="749">
        <f>ROUND(P548*H548,2)</f>
        <v>0</v>
      </c>
      <c r="L548" s="750"/>
      <c r="M548" s="631"/>
      <c r="N548" s="751" t="s">
        <v>1043</v>
      </c>
      <c r="O548" s="752" t="s">
        <v>1129</v>
      </c>
      <c r="P548" s="753">
        <f>I548+J548</f>
        <v>0</v>
      </c>
      <c r="Q548" s="753">
        <f>ROUND(I548*H548,2)</f>
        <v>0</v>
      </c>
      <c r="R548" s="753">
        <f>ROUND(J548*H548,2)</f>
        <v>0</v>
      </c>
      <c r="S548" s="754">
        <v>0.41</v>
      </c>
      <c r="T548" s="754">
        <f>S548*H548</f>
        <v>0.82</v>
      </c>
      <c r="U548" s="754">
        <v>0</v>
      </c>
      <c r="V548" s="754">
        <f>U548*H548</f>
        <v>0</v>
      </c>
      <c r="W548" s="754">
        <v>0</v>
      </c>
      <c r="X548" s="755">
        <f>W548*H548</f>
        <v>0</v>
      </c>
      <c r="Y548" s="705"/>
      <c r="Z548" s="705"/>
      <c r="AA548" s="705"/>
      <c r="AB548" s="705"/>
      <c r="AC548" s="705"/>
      <c r="AD548" s="705"/>
      <c r="AE548" s="705"/>
      <c r="AR548" s="686" t="s">
        <v>1185</v>
      </c>
      <c r="AT548" s="686" t="s">
        <v>29</v>
      </c>
      <c r="AU548" s="686" t="s">
        <v>795</v>
      </c>
      <c r="AY548" s="629" t="s">
        <v>1063</v>
      </c>
      <c r="BE548" s="687">
        <f>IF(O548="základná",K548,0)</f>
        <v>0</v>
      </c>
      <c r="BF548" s="687">
        <f>IF(O548="znížená",K548,0)</f>
        <v>0</v>
      </c>
      <c r="BG548" s="687">
        <f>IF(O548="zákl. prenesená",K548,0)</f>
        <v>0</v>
      </c>
      <c r="BH548" s="687">
        <f>IF(O548="zníž. prenesená",K548,0)</f>
        <v>0</v>
      </c>
      <c r="BI548" s="687">
        <f>IF(O548="nulová",K548,0)</f>
        <v>0</v>
      </c>
      <c r="BJ548" s="629" t="s">
        <v>795</v>
      </c>
      <c r="BK548" s="687">
        <f>ROUND(P548*H548,2)</f>
        <v>0</v>
      </c>
      <c r="BL548" s="629" t="s">
        <v>1185</v>
      </c>
      <c r="BM548" s="686" t="s">
        <v>1684</v>
      </c>
    </row>
    <row r="549" spans="1:65" s="756" customFormat="1" ht="11.25">
      <c r="B549" s="757"/>
      <c r="C549" s="758"/>
      <c r="D549" s="759" t="s">
        <v>1143</v>
      </c>
      <c r="E549" s="760" t="s">
        <v>1043</v>
      </c>
      <c r="F549" s="761" t="s">
        <v>1685</v>
      </c>
      <c r="G549" s="758"/>
      <c r="H549" s="760" t="s">
        <v>1043</v>
      </c>
      <c r="I549" s="758"/>
      <c r="J549" s="758"/>
      <c r="K549" s="758"/>
      <c r="L549" s="758"/>
      <c r="M549" s="762"/>
      <c r="N549" s="763"/>
      <c r="O549" s="764"/>
      <c r="P549" s="764"/>
      <c r="Q549" s="764"/>
      <c r="R549" s="764"/>
      <c r="S549" s="764"/>
      <c r="T549" s="764"/>
      <c r="U549" s="764"/>
      <c r="V549" s="764"/>
      <c r="W549" s="764"/>
      <c r="X549" s="765"/>
      <c r="AT549" s="766" t="s">
        <v>1143</v>
      </c>
      <c r="AU549" s="766" t="s">
        <v>795</v>
      </c>
      <c r="AV549" s="756" t="s">
        <v>791</v>
      </c>
      <c r="AW549" s="756" t="s">
        <v>1145</v>
      </c>
      <c r="AX549" s="756" t="s">
        <v>788</v>
      </c>
      <c r="AY549" s="766" t="s">
        <v>1063</v>
      </c>
    </row>
    <row r="550" spans="1:65" s="767" customFormat="1" ht="11.25">
      <c r="B550" s="768"/>
      <c r="C550" s="769"/>
      <c r="D550" s="759" t="s">
        <v>1143</v>
      </c>
      <c r="E550" s="770" t="s">
        <v>1043</v>
      </c>
      <c r="F550" s="771" t="s">
        <v>795</v>
      </c>
      <c r="G550" s="769"/>
      <c r="H550" s="772">
        <v>2</v>
      </c>
      <c r="I550" s="769"/>
      <c r="J550" s="769"/>
      <c r="K550" s="769"/>
      <c r="L550" s="769"/>
      <c r="M550" s="773"/>
      <c r="N550" s="774"/>
      <c r="O550" s="775"/>
      <c r="P550" s="775"/>
      <c r="Q550" s="775"/>
      <c r="R550" s="775"/>
      <c r="S550" s="775"/>
      <c r="T550" s="775"/>
      <c r="U550" s="775"/>
      <c r="V550" s="775"/>
      <c r="W550" s="775"/>
      <c r="X550" s="776"/>
      <c r="AT550" s="777" t="s">
        <v>1143</v>
      </c>
      <c r="AU550" s="777" t="s">
        <v>795</v>
      </c>
      <c r="AV550" s="767" t="s">
        <v>795</v>
      </c>
      <c r="AW550" s="767" t="s">
        <v>1145</v>
      </c>
      <c r="AX550" s="767" t="s">
        <v>788</v>
      </c>
      <c r="AY550" s="777" t="s">
        <v>1063</v>
      </c>
    </row>
    <row r="551" spans="1:65" s="778" customFormat="1" ht="11.25">
      <c r="B551" s="779"/>
      <c r="C551" s="780"/>
      <c r="D551" s="759" t="s">
        <v>1143</v>
      </c>
      <c r="E551" s="781" t="s">
        <v>1043</v>
      </c>
      <c r="F551" s="782" t="s">
        <v>1153</v>
      </c>
      <c r="G551" s="780"/>
      <c r="H551" s="783">
        <v>2</v>
      </c>
      <c r="I551" s="780"/>
      <c r="J551" s="780"/>
      <c r="K551" s="780"/>
      <c r="L551" s="780"/>
      <c r="M551" s="784"/>
      <c r="N551" s="785"/>
      <c r="O551" s="786"/>
      <c r="P551" s="786"/>
      <c r="Q551" s="786"/>
      <c r="R551" s="786"/>
      <c r="S551" s="786"/>
      <c r="T551" s="786"/>
      <c r="U551" s="786"/>
      <c r="V551" s="786"/>
      <c r="W551" s="786"/>
      <c r="X551" s="787"/>
      <c r="AT551" s="788" t="s">
        <v>1143</v>
      </c>
      <c r="AU551" s="788" t="s">
        <v>795</v>
      </c>
      <c r="AV551" s="778" t="s">
        <v>1065</v>
      </c>
      <c r="AW551" s="778" t="s">
        <v>1145</v>
      </c>
      <c r="AX551" s="778" t="s">
        <v>791</v>
      </c>
      <c r="AY551" s="788" t="s">
        <v>1063</v>
      </c>
    </row>
    <row r="552" spans="1:65" s="634" customFormat="1" ht="16.5" customHeight="1">
      <c r="A552" s="705"/>
      <c r="B552" s="706"/>
      <c r="C552" s="789" t="s">
        <v>1702</v>
      </c>
      <c r="D552" s="789" t="s">
        <v>83</v>
      </c>
      <c r="E552" s="790" t="s">
        <v>1687</v>
      </c>
      <c r="F552" s="791" t="s">
        <v>1688</v>
      </c>
      <c r="G552" s="792" t="s">
        <v>19</v>
      </c>
      <c r="H552" s="793">
        <v>2</v>
      </c>
      <c r="I552" s="794"/>
      <c r="J552" s="795"/>
      <c r="K552" s="794">
        <f>ROUND(P552*H552,2)</f>
        <v>0</v>
      </c>
      <c r="L552" s="795"/>
      <c r="M552" s="701"/>
      <c r="N552" s="796" t="s">
        <v>1043</v>
      </c>
      <c r="O552" s="752" t="s">
        <v>1129</v>
      </c>
      <c r="P552" s="753">
        <f>I552+J552</f>
        <v>0</v>
      </c>
      <c r="Q552" s="753">
        <f>ROUND(I552*H552,2)</f>
        <v>0</v>
      </c>
      <c r="R552" s="753">
        <f>ROUND(J552*H552,2)</f>
        <v>0</v>
      </c>
      <c r="S552" s="754">
        <v>0</v>
      </c>
      <c r="T552" s="754">
        <f>S552*H552</f>
        <v>0</v>
      </c>
      <c r="U552" s="754">
        <v>1.8000000000000001E-4</v>
      </c>
      <c r="V552" s="754">
        <f>U552*H552</f>
        <v>3.6000000000000002E-4</v>
      </c>
      <c r="W552" s="754">
        <v>0</v>
      </c>
      <c r="X552" s="755">
        <f>W552*H552</f>
        <v>0</v>
      </c>
      <c r="Y552" s="705"/>
      <c r="Z552" s="705"/>
      <c r="AA552" s="705"/>
      <c r="AB552" s="705"/>
      <c r="AC552" s="705"/>
      <c r="AD552" s="705"/>
      <c r="AE552" s="705"/>
      <c r="AR552" s="686" t="s">
        <v>1190</v>
      </c>
      <c r="AT552" s="686" t="s">
        <v>83</v>
      </c>
      <c r="AU552" s="686" t="s">
        <v>795</v>
      </c>
      <c r="AY552" s="629" t="s">
        <v>1063</v>
      </c>
      <c r="BE552" s="687">
        <f>IF(O552="základná",K552,0)</f>
        <v>0</v>
      </c>
      <c r="BF552" s="687">
        <f>IF(O552="znížená",K552,0)</f>
        <v>0</v>
      </c>
      <c r="BG552" s="687">
        <f>IF(O552="zákl. prenesená",K552,0)</f>
        <v>0</v>
      </c>
      <c r="BH552" s="687">
        <f>IF(O552="zníž. prenesená",K552,0)</f>
        <v>0</v>
      </c>
      <c r="BI552" s="687">
        <f>IF(O552="nulová",K552,0)</f>
        <v>0</v>
      </c>
      <c r="BJ552" s="629" t="s">
        <v>795</v>
      </c>
      <c r="BK552" s="687">
        <f>ROUND(P552*H552,2)</f>
        <v>0</v>
      </c>
      <c r="BL552" s="629" t="s">
        <v>1185</v>
      </c>
      <c r="BM552" s="686" t="s">
        <v>1689</v>
      </c>
    </row>
    <row r="553" spans="1:65" s="756" customFormat="1" ht="11.25">
      <c r="B553" s="757"/>
      <c r="C553" s="758"/>
      <c r="D553" s="759" t="s">
        <v>1143</v>
      </c>
      <c r="E553" s="760" t="s">
        <v>1043</v>
      </c>
      <c r="F553" s="761" t="s">
        <v>1685</v>
      </c>
      <c r="G553" s="758"/>
      <c r="H553" s="760" t="s">
        <v>1043</v>
      </c>
      <c r="I553" s="758"/>
      <c r="J553" s="758"/>
      <c r="K553" s="758"/>
      <c r="L553" s="758"/>
      <c r="M553" s="762"/>
      <c r="N553" s="763"/>
      <c r="O553" s="764"/>
      <c r="P553" s="764"/>
      <c r="Q553" s="764"/>
      <c r="R553" s="764"/>
      <c r="S553" s="764"/>
      <c r="T553" s="764"/>
      <c r="U553" s="764"/>
      <c r="V553" s="764"/>
      <c r="W553" s="764"/>
      <c r="X553" s="765"/>
      <c r="AT553" s="766" t="s">
        <v>1143</v>
      </c>
      <c r="AU553" s="766" t="s">
        <v>795</v>
      </c>
      <c r="AV553" s="756" t="s">
        <v>791</v>
      </c>
      <c r="AW553" s="756" t="s">
        <v>1145</v>
      </c>
      <c r="AX553" s="756" t="s">
        <v>788</v>
      </c>
      <c r="AY553" s="766" t="s">
        <v>1063</v>
      </c>
    </row>
    <row r="554" spans="1:65" s="767" customFormat="1" ht="11.25">
      <c r="B554" s="768"/>
      <c r="C554" s="769"/>
      <c r="D554" s="759" t="s">
        <v>1143</v>
      </c>
      <c r="E554" s="770" t="s">
        <v>1043</v>
      </c>
      <c r="F554" s="771" t="s">
        <v>795</v>
      </c>
      <c r="G554" s="769"/>
      <c r="H554" s="772">
        <v>2</v>
      </c>
      <c r="I554" s="769"/>
      <c r="J554" s="769"/>
      <c r="K554" s="769"/>
      <c r="L554" s="769"/>
      <c r="M554" s="773"/>
      <c r="N554" s="774"/>
      <c r="O554" s="775"/>
      <c r="P554" s="775"/>
      <c r="Q554" s="775"/>
      <c r="R554" s="775"/>
      <c r="S554" s="775"/>
      <c r="T554" s="775"/>
      <c r="U554" s="775"/>
      <c r="V554" s="775"/>
      <c r="W554" s="775"/>
      <c r="X554" s="776"/>
      <c r="AT554" s="777" t="s">
        <v>1143</v>
      </c>
      <c r="AU554" s="777" t="s">
        <v>795</v>
      </c>
      <c r="AV554" s="767" t="s">
        <v>795</v>
      </c>
      <c r="AW554" s="767" t="s">
        <v>1145</v>
      </c>
      <c r="AX554" s="767" t="s">
        <v>788</v>
      </c>
      <c r="AY554" s="777" t="s">
        <v>1063</v>
      </c>
    </row>
    <row r="555" spans="1:65" s="778" customFormat="1" ht="11.25">
      <c r="B555" s="779"/>
      <c r="C555" s="780"/>
      <c r="D555" s="759" t="s">
        <v>1143</v>
      </c>
      <c r="E555" s="781" t="s">
        <v>1043</v>
      </c>
      <c r="F555" s="782" t="s">
        <v>1153</v>
      </c>
      <c r="G555" s="780"/>
      <c r="H555" s="783">
        <v>2</v>
      </c>
      <c r="I555" s="780"/>
      <c r="J555" s="780"/>
      <c r="K555" s="780"/>
      <c r="L555" s="780"/>
      <c r="M555" s="784"/>
      <c r="N555" s="785"/>
      <c r="O555" s="786"/>
      <c r="P555" s="786"/>
      <c r="Q555" s="786"/>
      <c r="R555" s="786"/>
      <c r="S555" s="786"/>
      <c r="T555" s="786"/>
      <c r="U555" s="786"/>
      <c r="V555" s="786"/>
      <c r="W555" s="786"/>
      <c r="X555" s="787"/>
      <c r="AT555" s="788" t="s">
        <v>1143</v>
      </c>
      <c r="AU555" s="788" t="s">
        <v>795</v>
      </c>
      <c r="AV555" s="778" t="s">
        <v>1065</v>
      </c>
      <c r="AW555" s="778" t="s">
        <v>1145</v>
      </c>
      <c r="AX555" s="778" t="s">
        <v>791</v>
      </c>
      <c r="AY555" s="788" t="s">
        <v>1063</v>
      </c>
    </row>
    <row r="556" spans="1:65" s="634" customFormat="1" ht="21.75" customHeight="1">
      <c r="A556" s="705"/>
      <c r="B556" s="706"/>
      <c r="C556" s="744" t="s">
        <v>1703</v>
      </c>
      <c r="D556" s="744" t="s">
        <v>29</v>
      </c>
      <c r="E556" s="745" t="s">
        <v>1691</v>
      </c>
      <c r="F556" s="746" t="s">
        <v>1692</v>
      </c>
      <c r="G556" s="747" t="s">
        <v>15</v>
      </c>
      <c r="H556" s="748">
        <v>0.34899999999999998</v>
      </c>
      <c r="I556" s="749"/>
      <c r="J556" s="749"/>
      <c r="K556" s="749">
        <f>ROUND(P556*H556,2)</f>
        <v>0</v>
      </c>
      <c r="L556" s="750"/>
      <c r="M556" s="631"/>
      <c r="N556" s="797" t="s">
        <v>1043</v>
      </c>
      <c r="O556" s="798" t="s">
        <v>1129</v>
      </c>
      <c r="P556" s="799">
        <f>I556+J556</f>
        <v>0</v>
      </c>
      <c r="Q556" s="799">
        <f>ROUND(I556*H556,2)</f>
        <v>0</v>
      </c>
      <c r="R556" s="799">
        <f>ROUND(J556*H556,2)</f>
        <v>0</v>
      </c>
      <c r="S556" s="800">
        <v>1.4490000000000001</v>
      </c>
      <c r="T556" s="800">
        <f>S556*H556</f>
        <v>0.50570099999999996</v>
      </c>
      <c r="U556" s="800">
        <v>0</v>
      </c>
      <c r="V556" s="800">
        <f>U556*H556</f>
        <v>0</v>
      </c>
      <c r="W556" s="800">
        <v>0</v>
      </c>
      <c r="X556" s="801">
        <f>W556*H556</f>
        <v>0</v>
      </c>
      <c r="Y556" s="705"/>
      <c r="Z556" s="705"/>
      <c r="AA556" s="705"/>
      <c r="AB556" s="705"/>
      <c r="AC556" s="705"/>
      <c r="AD556" s="705"/>
      <c r="AE556" s="705"/>
      <c r="AR556" s="686" t="s">
        <v>1185</v>
      </c>
      <c r="AT556" s="686" t="s">
        <v>29</v>
      </c>
      <c r="AU556" s="686" t="s">
        <v>795</v>
      </c>
      <c r="AY556" s="629" t="s">
        <v>1063</v>
      </c>
      <c r="BE556" s="687">
        <f>IF(O556="základná",K556,0)</f>
        <v>0</v>
      </c>
      <c r="BF556" s="687">
        <f>IF(O556="znížená",K556,0)</f>
        <v>0</v>
      </c>
      <c r="BG556" s="687">
        <f>IF(O556="zákl. prenesená",K556,0)</f>
        <v>0</v>
      </c>
      <c r="BH556" s="687">
        <f>IF(O556="zníž. prenesená",K556,0)</f>
        <v>0</v>
      </c>
      <c r="BI556" s="687">
        <f>IF(O556="nulová",K556,0)</f>
        <v>0</v>
      </c>
      <c r="BJ556" s="629" t="s">
        <v>795</v>
      </c>
      <c r="BK556" s="687">
        <f>ROUND(P556*H556,2)</f>
        <v>0</v>
      </c>
      <c r="BL556" s="629" t="s">
        <v>1185</v>
      </c>
      <c r="BM556" s="686" t="s">
        <v>1693</v>
      </c>
    </row>
    <row r="557" spans="1:65" s="634" customFormat="1" ht="6.95" customHeight="1">
      <c r="A557" s="705"/>
      <c r="B557" s="712"/>
      <c r="C557" s="713"/>
      <c r="D557" s="713"/>
      <c r="E557" s="713"/>
      <c r="F557" s="713"/>
      <c r="G557" s="713"/>
      <c r="H557" s="713"/>
      <c r="I557" s="713"/>
      <c r="J557" s="713"/>
      <c r="K557" s="713"/>
      <c r="L557" s="713"/>
      <c r="M557" s="631"/>
      <c r="N557" s="705"/>
      <c r="P557" s="705"/>
      <c r="Q557" s="705"/>
      <c r="R557" s="705"/>
      <c r="S557" s="705"/>
      <c r="T557" s="705"/>
      <c r="U557" s="705"/>
      <c r="V557" s="705"/>
      <c r="W557" s="705"/>
      <c r="X557" s="705"/>
      <c r="Y557" s="705"/>
      <c r="Z557" s="705"/>
      <c r="AA557" s="705"/>
      <c r="AB557" s="705"/>
      <c r="AC557" s="705"/>
      <c r="AD557" s="705"/>
      <c r="AE557" s="705"/>
    </row>
  </sheetData>
  <mergeCells count="5">
    <mergeCell ref="E5:H5"/>
    <mergeCell ref="E7:H7"/>
    <mergeCell ref="E4:H4"/>
    <mergeCell ref="E6:H6"/>
    <mergeCell ref="C2:J2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5" fitToHeight="0" orientation="portrait" horizontalDpi="4294967295" verticalDpi="4294967295" r:id="rId1"/>
  <headerFooter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6"/>
  <sheetViews>
    <sheetView topLeftCell="A14" workbookViewId="0">
      <selection activeCell="I14" sqref="I14"/>
    </sheetView>
  </sheetViews>
  <sheetFormatPr defaultRowHeight="15"/>
  <cols>
    <col min="1" max="1" width="5.7109375" style="442" customWidth="1"/>
    <col min="2" max="2" width="4.5703125" style="442" customWidth="1"/>
    <col min="3" max="3" width="4.7109375" style="442" customWidth="1"/>
    <col min="4" max="4" width="10" style="569" customWidth="1"/>
    <col min="5" max="5" width="43.85546875" style="570" customWidth="1"/>
    <col min="6" max="6" width="4.7109375" style="571" customWidth="1"/>
    <col min="7" max="7" width="8.140625" style="572" customWidth="1"/>
    <col min="8" max="8" width="8.7109375" style="573" customWidth="1"/>
    <col min="9" max="9" width="12" style="573" customWidth="1"/>
    <col min="10" max="10" width="10.7109375" style="442" hidden="1" customWidth="1"/>
    <col min="11" max="11" width="10.85546875" style="442" hidden="1" customWidth="1"/>
    <col min="12" max="12" width="9.7109375" style="442" hidden="1" customWidth="1"/>
    <col min="13" max="13" width="11.5703125" style="442" hidden="1" customWidth="1"/>
    <col min="14" max="14" width="6" style="442" hidden="1" customWidth="1"/>
    <col min="15" max="15" width="6.7109375" style="442" hidden="1" customWidth="1"/>
    <col min="16" max="16" width="7.140625" style="442" hidden="1" customWidth="1"/>
    <col min="17" max="19" width="9.140625" style="442" hidden="1" customWidth="1"/>
    <col min="20" max="20" width="0" style="442" hidden="1" customWidth="1"/>
    <col min="21" max="256" width="9.140625" style="442"/>
    <col min="257" max="257" width="5.7109375" style="442" customWidth="1"/>
    <col min="258" max="258" width="4.5703125" style="442" customWidth="1"/>
    <col min="259" max="259" width="4.7109375" style="442" customWidth="1"/>
    <col min="260" max="260" width="10" style="442" customWidth="1"/>
    <col min="261" max="261" width="43.85546875" style="442" customWidth="1"/>
    <col min="262" max="262" width="4.7109375" style="442" customWidth="1"/>
    <col min="263" max="263" width="8.140625" style="442" customWidth="1"/>
    <col min="264" max="264" width="8.7109375" style="442" customWidth="1"/>
    <col min="265" max="265" width="12" style="442" customWidth="1"/>
    <col min="266" max="276" width="0" style="442" hidden="1" customWidth="1"/>
    <col min="277" max="512" width="9.140625" style="442"/>
    <col min="513" max="513" width="5.7109375" style="442" customWidth="1"/>
    <col min="514" max="514" width="4.5703125" style="442" customWidth="1"/>
    <col min="515" max="515" width="4.7109375" style="442" customWidth="1"/>
    <col min="516" max="516" width="10" style="442" customWidth="1"/>
    <col min="517" max="517" width="43.85546875" style="442" customWidth="1"/>
    <col min="518" max="518" width="4.7109375" style="442" customWidth="1"/>
    <col min="519" max="519" width="8.140625" style="442" customWidth="1"/>
    <col min="520" max="520" width="8.7109375" style="442" customWidth="1"/>
    <col min="521" max="521" width="12" style="442" customWidth="1"/>
    <col min="522" max="532" width="0" style="442" hidden="1" customWidth="1"/>
    <col min="533" max="768" width="9.140625" style="442"/>
    <col min="769" max="769" width="5.7109375" style="442" customWidth="1"/>
    <col min="770" max="770" width="4.5703125" style="442" customWidth="1"/>
    <col min="771" max="771" width="4.7109375" style="442" customWidth="1"/>
    <col min="772" max="772" width="10" style="442" customWidth="1"/>
    <col min="773" max="773" width="43.85546875" style="442" customWidth="1"/>
    <col min="774" max="774" width="4.7109375" style="442" customWidth="1"/>
    <col min="775" max="775" width="8.140625" style="442" customWidth="1"/>
    <col min="776" max="776" width="8.7109375" style="442" customWidth="1"/>
    <col min="777" max="777" width="12" style="442" customWidth="1"/>
    <col min="778" max="788" width="0" style="442" hidden="1" customWidth="1"/>
    <col min="789" max="1024" width="9.140625" style="442"/>
    <col min="1025" max="1025" width="5.7109375" style="442" customWidth="1"/>
    <col min="1026" max="1026" width="4.5703125" style="442" customWidth="1"/>
    <col min="1027" max="1027" width="4.7109375" style="442" customWidth="1"/>
    <col min="1028" max="1028" width="10" style="442" customWidth="1"/>
    <col min="1029" max="1029" width="43.85546875" style="442" customWidth="1"/>
    <col min="1030" max="1030" width="4.7109375" style="442" customWidth="1"/>
    <col min="1031" max="1031" width="8.140625" style="442" customWidth="1"/>
    <col min="1032" max="1032" width="8.7109375" style="442" customWidth="1"/>
    <col min="1033" max="1033" width="12" style="442" customWidth="1"/>
    <col min="1034" max="1044" width="0" style="442" hidden="1" customWidth="1"/>
    <col min="1045" max="1280" width="9.140625" style="442"/>
    <col min="1281" max="1281" width="5.7109375" style="442" customWidth="1"/>
    <col min="1282" max="1282" width="4.5703125" style="442" customWidth="1"/>
    <col min="1283" max="1283" width="4.7109375" style="442" customWidth="1"/>
    <col min="1284" max="1284" width="10" style="442" customWidth="1"/>
    <col min="1285" max="1285" width="43.85546875" style="442" customWidth="1"/>
    <col min="1286" max="1286" width="4.7109375" style="442" customWidth="1"/>
    <col min="1287" max="1287" width="8.140625" style="442" customWidth="1"/>
    <col min="1288" max="1288" width="8.7109375" style="442" customWidth="1"/>
    <col min="1289" max="1289" width="12" style="442" customWidth="1"/>
    <col min="1290" max="1300" width="0" style="442" hidden="1" customWidth="1"/>
    <col min="1301" max="1536" width="9.140625" style="442"/>
    <col min="1537" max="1537" width="5.7109375" style="442" customWidth="1"/>
    <col min="1538" max="1538" width="4.5703125" style="442" customWidth="1"/>
    <col min="1539" max="1539" width="4.7109375" style="442" customWidth="1"/>
    <col min="1540" max="1540" width="10" style="442" customWidth="1"/>
    <col min="1541" max="1541" width="43.85546875" style="442" customWidth="1"/>
    <col min="1542" max="1542" width="4.7109375" style="442" customWidth="1"/>
    <col min="1543" max="1543" width="8.140625" style="442" customWidth="1"/>
    <col min="1544" max="1544" width="8.7109375" style="442" customWidth="1"/>
    <col min="1545" max="1545" width="12" style="442" customWidth="1"/>
    <col min="1546" max="1556" width="0" style="442" hidden="1" customWidth="1"/>
    <col min="1557" max="1792" width="9.140625" style="442"/>
    <col min="1793" max="1793" width="5.7109375" style="442" customWidth="1"/>
    <col min="1794" max="1794" width="4.5703125" style="442" customWidth="1"/>
    <col min="1795" max="1795" width="4.7109375" style="442" customWidth="1"/>
    <col min="1796" max="1796" width="10" style="442" customWidth="1"/>
    <col min="1797" max="1797" width="43.85546875" style="442" customWidth="1"/>
    <col min="1798" max="1798" width="4.7109375" style="442" customWidth="1"/>
    <col min="1799" max="1799" width="8.140625" style="442" customWidth="1"/>
    <col min="1800" max="1800" width="8.7109375" style="442" customWidth="1"/>
    <col min="1801" max="1801" width="12" style="442" customWidth="1"/>
    <col min="1802" max="1812" width="0" style="442" hidden="1" customWidth="1"/>
    <col min="1813" max="2048" width="9.140625" style="442"/>
    <col min="2049" max="2049" width="5.7109375" style="442" customWidth="1"/>
    <col min="2050" max="2050" width="4.5703125" style="442" customWidth="1"/>
    <col min="2051" max="2051" width="4.7109375" style="442" customWidth="1"/>
    <col min="2052" max="2052" width="10" style="442" customWidth="1"/>
    <col min="2053" max="2053" width="43.85546875" style="442" customWidth="1"/>
    <col min="2054" max="2054" width="4.7109375" style="442" customWidth="1"/>
    <col min="2055" max="2055" width="8.140625" style="442" customWidth="1"/>
    <col min="2056" max="2056" width="8.7109375" style="442" customWidth="1"/>
    <col min="2057" max="2057" width="12" style="442" customWidth="1"/>
    <col min="2058" max="2068" width="0" style="442" hidden="1" customWidth="1"/>
    <col min="2069" max="2304" width="9.140625" style="442"/>
    <col min="2305" max="2305" width="5.7109375" style="442" customWidth="1"/>
    <col min="2306" max="2306" width="4.5703125" style="442" customWidth="1"/>
    <col min="2307" max="2307" width="4.7109375" style="442" customWidth="1"/>
    <col min="2308" max="2308" width="10" style="442" customWidth="1"/>
    <col min="2309" max="2309" width="43.85546875" style="442" customWidth="1"/>
    <col min="2310" max="2310" width="4.7109375" style="442" customWidth="1"/>
    <col min="2311" max="2311" width="8.140625" style="442" customWidth="1"/>
    <col min="2312" max="2312" width="8.7109375" style="442" customWidth="1"/>
    <col min="2313" max="2313" width="12" style="442" customWidth="1"/>
    <col min="2314" max="2324" width="0" style="442" hidden="1" customWidth="1"/>
    <col min="2325" max="2560" width="9.140625" style="442"/>
    <col min="2561" max="2561" width="5.7109375" style="442" customWidth="1"/>
    <col min="2562" max="2562" width="4.5703125" style="442" customWidth="1"/>
    <col min="2563" max="2563" width="4.7109375" style="442" customWidth="1"/>
    <col min="2564" max="2564" width="10" style="442" customWidth="1"/>
    <col min="2565" max="2565" width="43.85546875" style="442" customWidth="1"/>
    <col min="2566" max="2566" width="4.7109375" style="442" customWidth="1"/>
    <col min="2567" max="2567" width="8.140625" style="442" customWidth="1"/>
    <col min="2568" max="2568" width="8.7109375" style="442" customWidth="1"/>
    <col min="2569" max="2569" width="12" style="442" customWidth="1"/>
    <col min="2570" max="2580" width="0" style="442" hidden="1" customWidth="1"/>
    <col min="2581" max="2816" width="9.140625" style="442"/>
    <col min="2817" max="2817" width="5.7109375" style="442" customWidth="1"/>
    <col min="2818" max="2818" width="4.5703125" style="442" customWidth="1"/>
    <col min="2819" max="2819" width="4.7109375" style="442" customWidth="1"/>
    <col min="2820" max="2820" width="10" style="442" customWidth="1"/>
    <col min="2821" max="2821" width="43.85546875" style="442" customWidth="1"/>
    <col min="2822" max="2822" width="4.7109375" style="442" customWidth="1"/>
    <col min="2823" max="2823" width="8.140625" style="442" customWidth="1"/>
    <col min="2824" max="2824" width="8.7109375" style="442" customWidth="1"/>
    <col min="2825" max="2825" width="12" style="442" customWidth="1"/>
    <col min="2826" max="2836" width="0" style="442" hidden="1" customWidth="1"/>
    <col min="2837" max="3072" width="9.140625" style="442"/>
    <col min="3073" max="3073" width="5.7109375" style="442" customWidth="1"/>
    <col min="3074" max="3074" width="4.5703125" style="442" customWidth="1"/>
    <col min="3075" max="3075" width="4.7109375" style="442" customWidth="1"/>
    <col min="3076" max="3076" width="10" style="442" customWidth="1"/>
    <col min="3077" max="3077" width="43.85546875" style="442" customWidth="1"/>
    <col min="3078" max="3078" width="4.7109375" style="442" customWidth="1"/>
    <col min="3079" max="3079" width="8.140625" style="442" customWidth="1"/>
    <col min="3080" max="3080" width="8.7109375" style="442" customWidth="1"/>
    <col min="3081" max="3081" width="12" style="442" customWidth="1"/>
    <col min="3082" max="3092" width="0" style="442" hidden="1" customWidth="1"/>
    <col min="3093" max="3328" width="9.140625" style="442"/>
    <col min="3329" max="3329" width="5.7109375" style="442" customWidth="1"/>
    <col min="3330" max="3330" width="4.5703125" style="442" customWidth="1"/>
    <col min="3331" max="3331" width="4.7109375" style="442" customWidth="1"/>
    <col min="3332" max="3332" width="10" style="442" customWidth="1"/>
    <col min="3333" max="3333" width="43.85546875" style="442" customWidth="1"/>
    <col min="3334" max="3334" width="4.7109375" style="442" customWidth="1"/>
    <col min="3335" max="3335" width="8.140625" style="442" customWidth="1"/>
    <col min="3336" max="3336" width="8.7109375" style="442" customWidth="1"/>
    <col min="3337" max="3337" width="12" style="442" customWidth="1"/>
    <col min="3338" max="3348" width="0" style="442" hidden="1" customWidth="1"/>
    <col min="3349" max="3584" width="9.140625" style="442"/>
    <col min="3585" max="3585" width="5.7109375" style="442" customWidth="1"/>
    <col min="3586" max="3586" width="4.5703125" style="442" customWidth="1"/>
    <col min="3587" max="3587" width="4.7109375" style="442" customWidth="1"/>
    <col min="3588" max="3588" width="10" style="442" customWidth="1"/>
    <col min="3589" max="3589" width="43.85546875" style="442" customWidth="1"/>
    <col min="3590" max="3590" width="4.7109375" style="442" customWidth="1"/>
    <col min="3591" max="3591" width="8.140625" style="442" customWidth="1"/>
    <col min="3592" max="3592" width="8.7109375" style="442" customWidth="1"/>
    <col min="3593" max="3593" width="12" style="442" customWidth="1"/>
    <col min="3594" max="3604" width="0" style="442" hidden="1" customWidth="1"/>
    <col min="3605" max="3840" width="9.140625" style="442"/>
    <col min="3841" max="3841" width="5.7109375" style="442" customWidth="1"/>
    <col min="3842" max="3842" width="4.5703125" style="442" customWidth="1"/>
    <col min="3843" max="3843" width="4.7109375" style="442" customWidth="1"/>
    <col min="3844" max="3844" width="10" style="442" customWidth="1"/>
    <col min="3845" max="3845" width="43.85546875" style="442" customWidth="1"/>
    <col min="3846" max="3846" width="4.7109375" style="442" customWidth="1"/>
    <col min="3847" max="3847" width="8.140625" style="442" customWidth="1"/>
    <col min="3848" max="3848" width="8.7109375" style="442" customWidth="1"/>
    <col min="3849" max="3849" width="12" style="442" customWidth="1"/>
    <col min="3850" max="3860" width="0" style="442" hidden="1" customWidth="1"/>
    <col min="3861" max="4096" width="9.140625" style="442"/>
    <col min="4097" max="4097" width="5.7109375" style="442" customWidth="1"/>
    <col min="4098" max="4098" width="4.5703125" style="442" customWidth="1"/>
    <col min="4099" max="4099" width="4.7109375" style="442" customWidth="1"/>
    <col min="4100" max="4100" width="10" style="442" customWidth="1"/>
    <col min="4101" max="4101" width="43.85546875" style="442" customWidth="1"/>
    <col min="4102" max="4102" width="4.7109375" style="442" customWidth="1"/>
    <col min="4103" max="4103" width="8.140625" style="442" customWidth="1"/>
    <col min="4104" max="4104" width="8.7109375" style="442" customWidth="1"/>
    <col min="4105" max="4105" width="12" style="442" customWidth="1"/>
    <col min="4106" max="4116" width="0" style="442" hidden="1" customWidth="1"/>
    <col min="4117" max="4352" width="9.140625" style="442"/>
    <col min="4353" max="4353" width="5.7109375" style="442" customWidth="1"/>
    <col min="4354" max="4354" width="4.5703125" style="442" customWidth="1"/>
    <col min="4355" max="4355" width="4.7109375" style="442" customWidth="1"/>
    <col min="4356" max="4356" width="10" style="442" customWidth="1"/>
    <col min="4357" max="4357" width="43.85546875" style="442" customWidth="1"/>
    <col min="4358" max="4358" width="4.7109375" style="442" customWidth="1"/>
    <col min="4359" max="4359" width="8.140625" style="442" customWidth="1"/>
    <col min="4360" max="4360" width="8.7109375" style="442" customWidth="1"/>
    <col min="4361" max="4361" width="12" style="442" customWidth="1"/>
    <col min="4362" max="4372" width="0" style="442" hidden="1" customWidth="1"/>
    <col min="4373" max="4608" width="9.140625" style="442"/>
    <col min="4609" max="4609" width="5.7109375" style="442" customWidth="1"/>
    <col min="4610" max="4610" width="4.5703125" style="442" customWidth="1"/>
    <col min="4611" max="4611" width="4.7109375" style="442" customWidth="1"/>
    <col min="4612" max="4612" width="10" style="442" customWidth="1"/>
    <col min="4613" max="4613" width="43.85546875" style="442" customWidth="1"/>
    <col min="4614" max="4614" width="4.7109375" style="442" customWidth="1"/>
    <col min="4615" max="4615" width="8.140625" style="442" customWidth="1"/>
    <col min="4616" max="4616" width="8.7109375" style="442" customWidth="1"/>
    <col min="4617" max="4617" width="12" style="442" customWidth="1"/>
    <col min="4618" max="4628" width="0" style="442" hidden="1" customWidth="1"/>
    <col min="4629" max="4864" width="9.140625" style="442"/>
    <col min="4865" max="4865" width="5.7109375" style="442" customWidth="1"/>
    <col min="4866" max="4866" width="4.5703125" style="442" customWidth="1"/>
    <col min="4867" max="4867" width="4.7109375" style="442" customWidth="1"/>
    <col min="4868" max="4868" width="10" style="442" customWidth="1"/>
    <col min="4869" max="4869" width="43.85546875" style="442" customWidth="1"/>
    <col min="4870" max="4870" width="4.7109375" style="442" customWidth="1"/>
    <col min="4871" max="4871" width="8.140625" style="442" customWidth="1"/>
    <col min="4872" max="4872" width="8.7109375" style="442" customWidth="1"/>
    <col min="4873" max="4873" width="12" style="442" customWidth="1"/>
    <col min="4874" max="4884" width="0" style="442" hidden="1" customWidth="1"/>
    <col min="4885" max="5120" width="9.140625" style="442"/>
    <col min="5121" max="5121" width="5.7109375" style="442" customWidth="1"/>
    <col min="5122" max="5122" width="4.5703125" style="442" customWidth="1"/>
    <col min="5123" max="5123" width="4.7109375" style="442" customWidth="1"/>
    <col min="5124" max="5124" width="10" style="442" customWidth="1"/>
    <col min="5125" max="5125" width="43.85546875" style="442" customWidth="1"/>
    <col min="5126" max="5126" width="4.7109375" style="442" customWidth="1"/>
    <col min="5127" max="5127" width="8.140625" style="442" customWidth="1"/>
    <col min="5128" max="5128" width="8.7109375" style="442" customWidth="1"/>
    <col min="5129" max="5129" width="12" style="442" customWidth="1"/>
    <col min="5130" max="5140" width="0" style="442" hidden="1" customWidth="1"/>
    <col min="5141" max="5376" width="9.140625" style="442"/>
    <col min="5377" max="5377" width="5.7109375" style="442" customWidth="1"/>
    <col min="5378" max="5378" width="4.5703125" style="442" customWidth="1"/>
    <col min="5379" max="5379" width="4.7109375" style="442" customWidth="1"/>
    <col min="5380" max="5380" width="10" style="442" customWidth="1"/>
    <col min="5381" max="5381" width="43.85546875" style="442" customWidth="1"/>
    <col min="5382" max="5382" width="4.7109375" style="442" customWidth="1"/>
    <col min="5383" max="5383" width="8.140625" style="442" customWidth="1"/>
    <col min="5384" max="5384" width="8.7109375" style="442" customWidth="1"/>
    <col min="5385" max="5385" width="12" style="442" customWidth="1"/>
    <col min="5386" max="5396" width="0" style="442" hidden="1" customWidth="1"/>
    <col min="5397" max="5632" width="9.140625" style="442"/>
    <col min="5633" max="5633" width="5.7109375" style="442" customWidth="1"/>
    <col min="5634" max="5634" width="4.5703125" style="442" customWidth="1"/>
    <col min="5635" max="5635" width="4.7109375" style="442" customWidth="1"/>
    <col min="5636" max="5636" width="10" style="442" customWidth="1"/>
    <col min="5637" max="5637" width="43.85546875" style="442" customWidth="1"/>
    <col min="5638" max="5638" width="4.7109375" style="442" customWidth="1"/>
    <col min="5639" max="5639" width="8.140625" style="442" customWidth="1"/>
    <col min="5640" max="5640" width="8.7109375" style="442" customWidth="1"/>
    <col min="5641" max="5641" width="12" style="442" customWidth="1"/>
    <col min="5642" max="5652" width="0" style="442" hidden="1" customWidth="1"/>
    <col min="5653" max="5888" width="9.140625" style="442"/>
    <col min="5889" max="5889" width="5.7109375" style="442" customWidth="1"/>
    <col min="5890" max="5890" width="4.5703125" style="442" customWidth="1"/>
    <col min="5891" max="5891" width="4.7109375" style="442" customWidth="1"/>
    <col min="5892" max="5892" width="10" style="442" customWidth="1"/>
    <col min="5893" max="5893" width="43.85546875" style="442" customWidth="1"/>
    <col min="5894" max="5894" width="4.7109375" style="442" customWidth="1"/>
    <col min="5895" max="5895" width="8.140625" style="442" customWidth="1"/>
    <col min="5896" max="5896" width="8.7109375" style="442" customWidth="1"/>
    <col min="5897" max="5897" width="12" style="442" customWidth="1"/>
    <col min="5898" max="5908" width="0" style="442" hidden="1" customWidth="1"/>
    <col min="5909" max="6144" width="9.140625" style="442"/>
    <col min="6145" max="6145" width="5.7109375" style="442" customWidth="1"/>
    <col min="6146" max="6146" width="4.5703125" style="442" customWidth="1"/>
    <col min="6147" max="6147" width="4.7109375" style="442" customWidth="1"/>
    <col min="6148" max="6148" width="10" style="442" customWidth="1"/>
    <col min="6149" max="6149" width="43.85546875" style="442" customWidth="1"/>
    <col min="6150" max="6150" width="4.7109375" style="442" customWidth="1"/>
    <col min="6151" max="6151" width="8.140625" style="442" customWidth="1"/>
    <col min="6152" max="6152" width="8.7109375" style="442" customWidth="1"/>
    <col min="6153" max="6153" width="12" style="442" customWidth="1"/>
    <col min="6154" max="6164" width="0" style="442" hidden="1" customWidth="1"/>
    <col min="6165" max="6400" width="9.140625" style="442"/>
    <col min="6401" max="6401" width="5.7109375" style="442" customWidth="1"/>
    <col min="6402" max="6402" width="4.5703125" style="442" customWidth="1"/>
    <col min="6403" max="6403" width="4.7109375" style="442" customWidth="1"/>
    <col min="6404" max="6404" width="10" style="442" customWidth="1"/>
    <col min="6405" max="6405" width="43.85546875" style="442" customWidth="1"/>
    <col min="6406" max="6406" width="4.7109375" style="442" customWidth="1"/>
    <col min="6407" max="6407" width="8.140625" style="442" customWidth="1"/>
    <col min="6408" max="6408" width="8.7109375" style="442" customWidth="1"/>
    <col min="6409" max="6409" width="12" style="442" customWidth="1"/>
    <col min="6410" max="6420" width="0" style="442" hidden="1" customWidth="1"/>
    <col min="6421" max="6656" width="9.140625" style="442"/>
    <col min="6657" max="6657" width="5.7109375" style="442" customWidth="1"/>
    <col min="6658" max="6658" width="4.5703125" style="442" customWidth="1"/>
    <col min="6659" max="6659" width="4.7109375" style="442" customWidth="1"/>
    <col min="6660" max="6660" width="10" style="442" customWidth="1"/>
    <col min="6661" max="6661" width="43.85546875" style="442" customWidth="1"/>
    <col min="6662" max="6662" width="4.7109375" style="442" customWidth="1"/>
    <col min="6663" max="6663" width="8.140625" style="442" customWidth="1"/>
    <col min="6664" max="6664" width="8.7109375" style="442" customWidth="1"/>
    <col min="6665" max="6665" width="12" style="442" customWidth="1"/>
    <col min="6666" max="6676" width="0" style="442" hidden="1" customWidth="1"/>
    <col min="6677" max="6912" width="9.140625" style="442"/>
    <col min="6913" max="6913" width="5.7109375" style="442" customWidth="1"/>
    <col min="6914" max="6914" width="4.5703125" style="442" customWidth="1"/>
    <col min="6915" max="6915" width="4.7109375" style="442" customWidth="1"/>
    <col min="6916" max="6916" width="10" style="442" customWidth="1"/>
    <col min="6917" max="6917" width="43.85546875" style="442" customWidth="1"/>
    <col min="6918" max="6918" width="4.7109375" style="442" customWidth="1"/>
    <col min="6919" max="6919" width="8.140625" style="442" customWidth="1"/>
    <col min="6920" max="6920" width="8.7109375" style="442" customWidth="1"/>
    <col min="6921" max="6921" width="12" style="442" customWidth="1"/>
    <col min="6922" max="6932" width="0" style="442" hidden="1" customWidth="1"/>
    <col min="6933" max="7168" width="9.140625" style="442"/>
    <col min="7169" max="7169" width="5.7109375" style="442" customWidth="1"/>
    <col min="7170" max="7170" width="4.5703125" style="442" customWidth="1"/>
    <col min="7171" max="7171" width="4.7109375" style="442" customWidth="1"/>
    <col min="7172" max="7172" width="10" style="442" customWidth="1"/>
    <col min="7173" max="7173" width="43.85546875" style="442" customWidth="1"/>
    <col min="7174" max="7174" width="4.7109375" style="442" customWidth="1"/>
    <col min="7175" max="7175" width="8.140625" style="442" customWidth="1"/>
    <col min="7176" max="7176" width="8.7109375" style="442" customWidth="1"/>
    <col min="7177" max="7177" width="12" style="442" customWidth="1"/>
    <col min="7178" max="7188" width="0" style="442" hidden="1" customWidth="1"/>
    <col min="7189" max="7424" width="9.140625" style="442"/>
    <col min="7425" max="7425" width="5.7109375" style="442" customWidth="1"/>
    <col min="7426" max="7426" width="4.5703125" style="442" customWidth="1"/>
    <col min="7427" max="7427" width="4.7109375" style="442" customWidth="1"/>
    <col min="7428" max="7428" width="10" style="442" customWidth="1"/>
    <col min="7429" max="7429" width="43.85546875" style="442" customWidth="1"/>
    <col min="7430" max="7430" width="4.7109375" style="442" customWidth="1"/>
    <col min="7431" max="7431" width="8.140625" style="442" customWidth="1"/>
    <col min="7432" max="7432" width="8.7109375" style="442" customWidth="1"/>
    <col min="7433" max="7433" width="12" style="442" customWidth="1"/>
    <col min="7434" max="7444" width="0" style="442" hidden="1" customWidth="1"/>
    <col min="7445" max="7680" width="9.140625" style="442"/>
    <col min="7681" max="7681" width="5.7109375" style="442" customWidth="1"/>
    <col min="7682" max="7682" width="4.5703125" style="442" customWidth="1"/>
    <col min="7683" max="7683" width="4.7109375" style="442" customWidth="1"/>
    <col min="7684" max="7684" width="10" style="442" customWidth="1"/>
    <col min="7685" max="7685" width="43.85546875" style="442" customWidth="1"/>
    <col min="7686" max="7686" width="4.7109375" style="442" customWidth="1"/>
    <col min="7687" max="7687" width="8.140625" style="442" customWidth="1"/>
    <col min="7688" max="7688" width="8.7109375" style="442" customWidth="1"/>
    <col min="7689" max="7689" width="12" style="442" customWidth="1"/>
    <col min="7690" max="7700" width="0" style="442" hidden="1" customWidth="1"/>
    <col min="7701" max="7936" width="9.140625" style="442"/>
    <col min="7937" max="7937" width="5.7109375" style="442" customWidth="1"/>
    <col min="7938" max="7938" width="4.5703125" style="442" customWidth="1"/>
    <col min="7939" max="7939" width="4.7109375" style="442" customWidth="1"/>
    <col min="7940" max="7940" width="10" style="442" customWidth="1"/>
    <col min="7941" max="7941" width="43.85546875" style="442" customWidth="1"/>
    <col min="7942" max="7942" width="4.7109375" style="442" customWidth="1"/>
    <col min="7943" max="7943" width="8.140625" style="442" customWidth="1"/>
    <col min="7944" max="7944" width="8.7109375" style="442" customWidth="1"/>
    <col min="7945" max="7945" width="12" style="442" customWidth="1"/>
    <col min="7946" max="7956" width="0" style="442" hidden="1" customWidth="1"/>
    <col min="7957" max="8192" width="9.140625" style="442"/>
    <col min="8193" max="8193" width="5.7109375" style="442" customWidth="1"/>
    <col min="8194" max="8194" width="4.5703125" style="442" customWidth="1"/>
    <col min="8195" max="8195" width="4.7109375" style="442" customWidth="1"/>
    <col min="8196" max="8196" width="10" style="442" customWidth="1"/>
    <col min="8197" max="8197" width="43.85546875" style="442" customWidth="1"/>
    <col min="8198" max="8198" width="4.7109375" style="442" customWidth="1"/>
    <col min="8199" max="8199" width="8.140625" style="442" customWidth="1"/>
    <col min="8200" max="8200" width="8.7109375" style="442" customWidth="1"/>
    <col min="8201" max="8201" width="12" style="442" customWidth="1"/>
    <col min="8202" max="8212" width="0" style="442" hidden="1" customWidth="1"/>
    <col min="8213" max="8448" width="9.140625" style="442"/>
    <col min="8449" max="8449" width="5.7109375" style="442" customWidth="1"/>
    <col min="8450" max="8450" width="4.5703125" style="442" customWidth="1"/>
    <col min="8451" max="8451" width="4.7109375" style="442" customWidth="1"/>
    <col min="8452" max="8452" width="10" style="442" customWidth="1"/>
    <col min="8453" max="8453" width="43.85546875" style="442" customWidth="1"/>
    <col min="8454" max="8454" width="4.7109375" style="442" customWidth="1"/>
    <col min="8455" max="8455" width="8.140625" style="442" customWidth="1"/>
    <col min="8456" max="8456" width="8.7109375" style="442" customWidth="1"/>
    <col min="8457" max="8457" width="12" style="442" customWidth="1"/>
    <col min="8458" max="8468" width="0" style="442" hidden="1" customWidth="1"/>
    <col min="8469" max="8704" width="9.140625" style="442"/>
    <col min="8705" max="8705" width="5.7109375" style="442" customWidth="1"/>
    <col min="8706" max="8706" width="4.5703125" style="442" customWidth="1"/>
    <col min="8707" max="8707" width="4.7109375" style="442" customWidth="1"/>
    <col min="8708" max="8708" width="10" style="442" customWidth="1"/>
    <col min="8709" max="8709" width="43.85546875" style="442" customWidth="1"/>
    <col min="8710" max="8710" width="4.7109375" style="442" customWidth="1"/>
    <col min="8711" max="8711" width="8.140625" style="442" customWidth="1"/>
    <col min="8712" max="8712" width="8.7109375" style="442" customWidth="1"/>
    <col min="8713" max="8713" width="12" style="442" customWidth="1"/>
    <col min="8714" max="8724" width="0" style="442" hidden="1" customWidth="1"/>
    <col min="8725" max="8960" width="9.140625" style="442"/>
    <col min="8961" max="8961" width="5.7109375" style="442" customWidth="1"/>
    <col min="8962" max="8962" width="4.5703125" style="442" customWidth="1"/>
    <col min="8963" max="8963" width="4.7109375" style="442" customWidth="1"/>
    <col min="8964" max="8964" width="10" style="442" customWidth="1"/>
    <col min="8965" max="8965" width="43.85546875" style="442" customWidth="1"/>
    <col min="8966" max="8966" width="4.7109375" style="442" customWidth="1"/>
    <col min="8967" max="8967" width="8.140625" style="442" customWidth="1"/>
    <col min="8968" max="8968" width="8.7109375" style="442" customWidth="1"/>
    <col min="8969" max="8969" width="12" style="442" customWidth="1"/>
    <col min="8970" max="8980" width="0" style="442" hidden="1" customWidth="1"/>
    <col min="8981" max="9216" width="9.140625" style="442"/>
    <col min="9217" max="9217" width="5.7109375" style="442" customWidth="1"/>
    <col min="9218" max="9218" width="4.5703125" style="442" customWidth="1"/>
    <col min="9219" max="9219" width="4.7109375" style="442" customWidth="1"/>
    <col min="9220" max="9220" width="10" style="442" customWidth="1"/>
    <col min="9221" max="9221" width="43.85546875" style="442" customWidth="1"/>
    <col min="9222" max="9222" width="4.7109375" style="442" customWidth="1"/>
    <col min="9223" max="9223" width="8.140625" style="442" customWidth="1"/>
    <col min="9224" max="9224" width="8.7109375" style="442" customWidth="1"/>
    <col min="9225" max="9225" width="12" style="442" customWidth="1"/>
    <col min="9226" max="9236" width="0" style="442" hidden="1" customWidth="1"/>
    <col min="9237" max="9472" width="9.140625" style="442"/>
    <col min="9473" max="9473" width="5.7109375" style="442" customWidth="1"/>
    <col min="9474" max="9474" width="4.5703125" style="442" customWidth="1"/>
    <col min="9475" max="9475" width="4.7109375" style="442" customWidth="1"/>
    <col min="9476" max="9476" width="10" style="442" customWidth="1"/>
    <col min="9477" max="9477" width="43.85546875" style="442" customWidth="1"/>
    <col min="9478" max="9478" width="4.7109375" style="442" customWidth="1"/>
    <col min="9479" max="9479" width="8.140625" style="442" customWidth="1"/>
    <col min="9480" max="9480" width="8.7109375" style="442" customWidth="1"/>
    <col min="9481" max="9481" width="12" style="442" customWidth="1"/>
    <col min="9482" max="9492" width="0" style="442" hidden="1" customWidth="1"/>
    <col min="9493" max="9728" width="9.140625" style="442"/>
    <col min="9729" max="9729" width="5.7109375" style="442" customWidth="1"/>
    <col min="9730" max="9730" width="4.5703125" style="442" customWidth="1"/>
    <col min="9731" max="9731" width="4.7109375" style="442" customWidth="1"/>
    <col min="9732" max="9732" width="10" style="442" customWidth="1"/>
    <col min="9733" max="9733" width="43.85546875" style="442" customWidth="1"/>
    <col min="9734" max="9734" width="4.7109375" style="442" customWidth="1"/>
    <col min="9735" max="9735" width="8.140625" style="442" customWidth="1"/>
    <col min="9736" max="9736" width="8.7109375" style="442" customWidth="1"/>
    <col min="9737" max="9737" width="12" style="442" customWidth="1"/>
    <col min="9738" max="9748" width="0" style="442" hidden="1" customWidth="1"/>
    <col min="9749" max="9984" width="9.140625" style="442"/>
    <col min="9985" max="9985" width="5.7109375" style="442" customWidth="1"/>
    <col min="9986" max="9986" width="4.5703125" style="442" customWidth="1"/>
    <col min="9987" max="9987" width="4.7109375" style="442" customWidth="1"/>
    <col min="9988" max="9988" width="10" style="442" customWidth="1"/>
    <col min="9989" max="9989" width="43.85546875" style="442" customWidth="1"/>
    <col min="9990" max="9990" width="4.7109375" style="442" customWidth="1"/>
    <col min="9991" max="9991" width="8.140625" style="442" customWidth="1"/>
    <col min="9992" max="9992" width="8.7109375" style="442" customWidth="1"/>
    <col min="9993" max="9993" width="12" style="442" customWidth="1"/>
    <col min="9994" max="10004" width="0" style="442" hidden="1" customWidth="1"/>
    <col min="10005" max="10240" width="9.140625" style="442"/>
    <col min="10241" max="10241" width="5.7109375" style="442" customWidth="1"/>
    <col min="10242" max="10242" width="4.5703125" style="442" customWidth="1"/>
    <col min="10243" max="10243" width="4.7109375" style="442" customWidth="1"/>
    <col min="10244" max="10244" width="10" style="442" customWidth="1"/>
    <col min="10245" max="10245" width="43.85546875" style="442" customWidth="1"/>
    <col min="10246" max="10246" width="4.7109375" style="442" customWidth="1"/>
    <col min="10247" max="10247" width="8.140625" style="442" customWidth="1"/>
    <col min="10248" max="10248" width="8.7109375" style="442" customWidth="1"/>
    <col min="10249" max="10249" width="12" style="442" customWidth="1"/>
    <col min="10250" max="10260" width="0" style="442" hidden="1" customWidth="1"/>
    <col min="10261" max="10496" width="9.140625" style="442"/>
    <col min="10497" max="10497" width="5.7109375" style="442" customWidth="1"/>
    <col min="10498" max="10498" width="4.5703125" style="442" customWidth="1"/>
    <col min="10499" max="10499" width="4.7109375" style="442" customWidth="1"/>
    <col min="10500" max="10500" width="10" style="442" customWidth="1"/>
    <col min="10501" max="10501" width="43.85546875" style="442" customWidth="1"/>
    <col min="10502" max="10502" width="4.7109375" style="442" customWidth="1"/>
    <col min="10503" max="10503" width="8.140625" style="442" customWidth="1"/>
    <col min="10504" max="10504" width="8.7109375" style="442" customWidth="1"/>
    <col min="10505" max="10505" width="12" style="442" customWidth="1"/>
    <col min="10506" max="10516" width="0" style="442" hidden="1" customWidth="1"/>
    <col min="10517" max="10752" width="9.140625" style="442"/>
    <col min="10753" max="10753" width="5.7109375" style="442" customWidth="1"/>
    <col min="10754" max="10754" width="4.5703125" style="442" customWidth="1"/>
    <col min="10755" max="10755" width="4.7109375" style="442" customWidth="1"/>
    <col min="10756" max="10756" width="10" style="442" customWidth="1"/>
    <col min="10757" max="10757" width="43.85546875" style="442" customWidth="1"/>
    <col min="10758" max="10758" width="4.7109375" style="442" customWidth="1"/>
    <col min="10759" max="10759" width="8.140625" style="442" customWidth="1"/>
    <col min="10760" max="10760" width="8.7109375" style="442" customWidth="1"/>
    <col min="10761" max="10761" width="12" style="442" customWidth="1"/>
    <col min="10762" max="10772" width="0" style="442" hidden="1" customWidth="1"/>
    <col min="10773" max="11008" width="9.140625" style="442"/>
    <col min="11009" max="11009" width="5.7109375" style="442" customWidth="1"/>
    <col min="11010" max="11010" width="4.5703125" style="442" customWidth="1"/>
    <col min="11011" max="11011" width="4.7109375" style="442" customWidth="1"/>
    <col min="11012" max="11012" width="10" style="442" customWidth="1"/>
    <col min="11013" max="11013" width="43.85546875" style="442" customWidth="1"/>
    <col min="11014" max="11014" width="4.7109375" style="442" customWidth="1"/>
    <col min="11015" max="11015" width="8.140625" style="442" customWidth="1"/>
    <col min="11016" max="11016" width="8.7109375" style="442" customWidth="1"/>
    <col min="11017" max="11017" width="12" style="442" customWidth="1"/>
    <col min="11018" max="11028" width="0" style="442" hidden="1" customWidth="1"/>
    <col min="11029" max="11264" width="9.140625" style="442"/>
    <col min="11265" max="11265" width="5.7109375" style="442" customWidth="1"/>
    <col min="11266" max="11266" width="4.5703125" style="442" customWidth="1"/>
    <col min="11267" max="11267" width="4.7109375" style="442" customWidth="1"/>
    <col min="11268" max="11268" width="10" style="442" customWidth="1"/>
    <col min="11269" max="11269" width="43.85546875" style="442" customWidth="1"/>
    <col min="11270" max="11270" width="4.7109375" style="442" customWidth="1"/>
    <col min="11271" max="11271" width="8.140625" style="442" customWidth="1"/>
    <col min="11272" max="11272" width="8.7109375" style="442" customWidth="1"/>
    <col min="11273" max="11273" width="12" style="442" customWidth="1"/>
    <col min="11274" max="11284" width="0" style="442" hidden="1" customWidth="1"/>
    <col min="11285" max="11520" width="9.140625" style="442"/>
    <col min="11521" max="11521" width="5.7109375" style="442" customWidth="1"/>
    <col min="11522" max="11522" width="4.5703125" style="442" customWidth="1"/>
    <col min="11523" max="11523" width="4.7109375" style="442" customWidth="1"/>
    <col min="11524" max="11524" width="10" style="442" customWidth="1"/>
    <col min="11525" max="11525" width="43.85546875" style="442" customWidth="1"/>
    <col min="11526" max="11526" width="4.7109375" style="442" customWidth="1"/>
    <col min="11527" max="11527" width="8.140625" style="442" customWidth="1"/>
    <col min="11528" max="11528" width="8.7109375" style="442" customWidth="1"/>
    <col min="11529" max="11529" width="12" style="442" customWidth="1"/>
    <col min="11530" max="11540" width="0" style="442" hidden="1" customWidth="1"/>
    <col min="11541" max="11776" width="9.140625" style="442"/>
    <col min="11777" max="11777" width="5.7109375" style="442" customWidth="1"/>
    <col min="11778" max="11778" width="4.5703125" style="442" customWidth="1"/>
    <col min="11779" max="11779" width="4.7109375" style="442" customWidth="1"/>
    <col min="11780" max="11780" width="10" style="442" customWidth="1"/>
    <col min="11781" max="11781" width="43.85546875" style="442" customWidth="1"/>
    <col min="11782" max="11782" width="4.7109375" style="442" customWidth="1"/>
    <col min="11783" max="11783" width="8.140625" style="442" customWidth="1"/>
    <col min="11784" max="11784" width="8.7109375" style="442" customWidth="1"/>
    <col min="11785" max="11785" width="12" style="442" customWidth="1"/>
    <col min="11786" max="11796" width="0" style="442" hidden="1" customWidth="1"/>
    <col min="11797" max="12032" width="9.140625" style="442"/>
    <col min="12033" max="12033" width="5.7109375" style="442" customWidth="1"/>
    <col min="12034" max="12034" width="4.5703125" style="442" customWidth="1"/>
    <col min="12035" max="12035" width="4.7109375" style="442" customWidth="1"/>
    <col min="12036" max="12036" width="10" style="442" customWidth="1"/>
    <col min="12037" max="12037" width="43.85546875" style="442" customWidth="1"/>
    <col min="12038" max="12038" width="4.7109375" style="442" customWidth="1"/>
    <col min="12039" max="12039" width="8.140625" style="442" customWidth="1"/>
    <col min="12040" max="12040" width="8.7109375" style="442" customWidth="1"/>
    <col min="12041" max="12041" width="12" style="442" customWidth="1"/>
    <col min="12042" max="12052" width="0" style="442" hidden="1" customWidth="1"/>
    <col min="12053" max="12288" width="9.140625" style="442"/>
    <col min="12289" max="12289" width="5.7109375" style="442" customWidth="1"/>
    <col min="12290" max="12290" width="4.5703125" style="442" customWidth="1"/>
    <col min="12291" max="12291" width="4.7109375" style="442" customWidth="1"/>
    <col min="12292" max="12292" width="10" style="442" customWidth="1"/>
    <col min="12293" max="12293" width="43.85546875" style="442" customWidth="1"/>
    <col min="12294" max="12294" width="4.7109375" style="442" customWidth="1"/>
    <col min="12295" max="12295" width="8.140625" style="442" customWidth="1"/>
    <col min="12296" max="12296" width="8.7109375" style="442" customWidth="1"/>
    <col min="12297" max="12297" width="12" style="442" customWidth="1"/>
    <col min="12298" max="12308" width="0" style="442" hidden="1" customWidth="1"/>
    <col min="12309" max="12544" width="9.140625" style="442"/>
    <col min="12545" max="12545" width="5.7109375" style="442" customWidth="1"/>
    <col min="12546" max="12546" width="4.5703125" style="442" customWidth="1"/>
    <col min="12547" max="12547" width="4.7109375" style="442" customWidth="1"/>
    <col min="12548" max="12548" width="10" style="442" customWidth="1"/>
    <col min="12549" max="12549" width="43.85546875" style="442" customWidth="1"/>
    <col min="12550" max="12550" width="4.7109375" style="442" customWidth="1"/>
    <col min="12551" max="12551" width="8.140625" style="442" customWidth="1"/>
    <col min="12552" max="12552" width="8.7109375" style="442" customWidth="1"/>
    <col min="12553" max="12553" width="12" style="442" customWidth="1"/>
    <col min="12554" max="12564" width="0" style="442" hidden="1" customWidth="1"/>
    <col min="12565" max="12800" width="9.140625" style="442"/>
    <col min="12801" max="12801" width="5.7109375" style="442" customWidth="1"/>
    <col min="12802" max="12802" width="4.5703125" style="442" customWidth="1"/>
    <col min="12803" max="12803" width="4.7109375" style="442" customWidth="1"/>
    <col min="12804" max="12804" width="10" style="442" customWidth="1"/>
    <col min="12805" max="12805" width="43.85546875" style="442" customWidth="1"/>
    <col min="12806" max="12806" width="4.7109375" style="442" customWidth="1"/>
    <col min="12807" max="12807" width="8.140625" style="442" customWidth="1"/>
    <col min="12808" max="12808" width="8.7109375" style="442" customWidth="1"/>
    <col min="12809" max="12809" width="12" style="442" customWidth="1"/>
    <col min="12810" max="12820" width="0" style="442" hidden="1" customWidth="1"/>
    <col min="12821" max="13056" width="9.140625" style="442"/>
    <col min="13057" max="13057" width="5.7109375" style="442" customWidth="1"/>
    <col min="13058" max="13058" width="4.5703125" style="442" customWidth="1"/>
    <col min="13059" max="13059" width="4.7109375" style="442" customWidth="1"/>
    <col min="13060" max="13060" width="10" style="442" customWidth="1"/>
    <col min="13061" max="13061" width="43.85546875" style="442" customWidth="1"/>
    <col min="13062" max="13062" width="4.7109375" style="442" customWidth="1"/>
    <col min="13063" max="13063" width="8.140625" style="442" customWidth="1"/>
    <col min="13064" max="13064" width="8.7109375" style="442" customWidth="1"/>
    <col min="13065" max="13065" width="12" style="442" customWidth="1"/>
    <col min="13066" max="13076" width="0" style="442" hidden="1" customWidth="1"/>
    <col min="13077" max="13312" width="9.140625" style="442"/>
    <col min="13313" max="13313" width="5.7109375" style="442" customWidth="1"/>
    <col min="13314" max="13314" width="4.5703125" style="442" customWidth="1"/>
    <col min="13315" max="13315" width="4.7109375" style="442" customWidth="1"/>
    <col min="13316" max="13316" width="10" style="442" customWidth="1"/>
    <col min="13317" max="13317" width="43.85546875" style="442" customWidth="1"/>
    <col min="13318" max="13318" width="4.7109375" style="442" customWidth="1"/>
    <col min="13319" max="13319" width="8.140625" style="442" customWidth="1"/>
    <col min="13320" max="13320" width="8.7109375" style="442" customWidth="1"/>
    <col min="13321" max="13321" width="12" style="442" customWidth="1"/>
    <col min="13322" max="13332" width="0" style="442" hidden="1" customWidth="1"/>
    <col min="13333" max="13568" width="9.140625" style="442"/>
    <col min="13569" max="13569" width="5.7109375" style="442" customWidth="1"/>
    <col min="13570" max="13570" width="4.5703125" style="442" customWidth="1"/>
    <col min="13571" max="13571" width="4.7109375" style="442" customWidth="1"/>
    <col min="13572" max="13572" width="10" style="442" customWidth="1"/>
    <col min="13573" max="13573" width="43.85546875" style="442" customWidth="1"/>
    <col min="13574" max="13574" width="4.7109375" style="442" customWidth="1"/>
    <col min="13575" max="13575" width="8.140625" style="442" customWidth="1"/>
    <col min="13576" max="13576" width="8.7109375" style="442" customWidth="1"/>
    <col min="13577" max="13577" width="12" style="442" customWidth="1"/>
    <col min="13578" max="13588" width="0" style="442" hidden="1" customWidth="1"/>
    <col min="13589" max="13824" width="9.140625" style="442"/>
    <col min="13825" max="13825" width="5.7109375" style="442" customWidth="1"/>
    <col min="13826" max="13826" width="4.5703125" style="442" customWidth="1"/>
    <col min="13827" max="13827" width="4.7109375" style="442" customWidth="1"/>
    <col min="13828" max="13828" width="10" style="442" customWidth="1"/>
    <col min="13829" max="13829" width="43.85546875" style="442" customWidth="1"/>
    <col min="13830" max="13830" width="4.7109375" style="442" customWidth="1"/>
    <col min="13831" max="13831" width="8.140625" style="442" customWidth="1"/>
    <col min="13832" max="13832" width="8.7109375" style="442" customWidth="1"/>
    <col min="13833" max="13833" width="12" style="442" customWidth="1"/>
    <col min="13834" max="13844" width="0" style="442" hidden="1" customWidth="1"/>
    <col min="13845" max="14080" width="9.140625" style="442"/>
    <col min="14081" max="14081" width="5.7109375" style="442" customWidth="1"/>
    <col min="14082" max="14082" width="4.5703125" style="442" customWidth="1"/>
    <col min="14083" max="14083" width="4.7109375" style="442" customWidth="1"/>
    <col min="14084" max="14084" width="10" style="442" customWidth="1"/>
    <col min="14085" max="14085" width="43.85546875" style="442" customWidth="1"/>
    <col min="14086" max="14086" width="4.7109375" style="442" customWidth="1"/>
    <col min="14087" max="14087" width="8.140625" style="442" customWidth="1"/>
    <col min="14088" max="14088" width="8.7109375" style="442" customWidth="1"/>
    <col min="14089" max="14089" width="12" style="442" customWidth="1"/>
    <col min="14090" max="14100" width="0" style="442" hidden="1" customWidth="1"/>
    <col min="14101" max="14336" width="9.140625" style="442"/>
    <col min="14337" max="14337" width="5.7109375" style="442" customWidth="1"/>
    <col min="14338" max="14338" width="4.5703125" style="442" customWidth="1"/>
    <col min="14339" max="14339" width="4.7109375" style="442" customWidth="1"/>
    <col min="14340" max="14340" width="10" style="442" customWidth="1"/>
    <col min="14341" max="14341" width="43.85546875" style="442" customWidth="1"/>
    <col min="14342" max="14342" width="4.7109375" style="442" customWidth="1"/>
    <col min="14343" max="14343" width="8.140625" style="442" customWidth="1"/>
    <col min="14344" max="14344" width="8.7109375" style="442" customWidth="1"/>
    <col min="14345" max="14345" width="12" style="442" customWidth="1"/>
    <col min="14346" max="14356" width="0" style="442" hidden="1" customWidth="1"/>
    <col min="14357" max="14592" width="9.140625" style="442"/>
    <col min="14593" max="14593" width="5.7109375" style="442" customWidth="1"/>
    <col min="14594" max="14594" width="4.5703125" style="442" customWidth="1"/>
    <col min="14595" max="14595" width="4.7109375" style="442" customWidth="1"/>
    <col min="14596" max="14596" width="10" style="442" customWidth="1"/>
    <col min="14597" max="14597" width="43.85546875" style="442" customWidth="1"/>
    <col min="14598" max="14598" width="4.7109375" style="442" customWidth="1"/>
    <col min="14599" max="14599" width="8.140625" style="442" customWidth="1"/>
    <col min="14600" max="14600" width="8.7109375" style="442" customWidth="1"/>
    <col min="14601" max="14601" width="12" style="442" customWidth="1"/>
    <col min="14602" max="14612" width="0" style="442" hidden="1" customWidth="1"/>
    <col min="14613" max="14848" width="9.140625" style="442"/>
    <col min="14849" max="14849" width="5.7109375" style="442" customWidth="1"/>
    <col min="14850" max="14850" width="4.5703125" style="442" customWidth="1"/>
    <col min="14851" max="14851" width="4.7109375" style="442" customWidth="1"/>
    <col min="14852" max="14852" width="10" style="442" customWidth="1"/>
    <col min="14853" max="14853" width="43.85546875" style="442" customWidth="1"/>
    <col min="14854" max="14854" width="4.7109375" style="442" customWidth="1"/>
    <col min="14855" max="14855" width="8.140625" style="442" customWidth="1"/>
    <col min="14856" max="14856" width="8.7109375" style="442" customWidth="1"/>
    <col min="14857" max="14857" width="12" style="442" customWidth="1"/>
    <col min="14858" max="14868" width="0" style="442" hidden="1" customWidth="1"/>
    <col min="14869" max="15104" width="9.140625" style="442"/>
    <col min="15105" max="15105" width="5.7109375" style="442" customWidth="1"/>
    <col min="15106" max="15106" width="4.5703125" style="442" customWidth="1"/>
    <col min="15107" max="15107" width="4.7109375" style="442" customWidth="1"/>
    <col min="15108" max="15108" width="10" style="442" customWidth="1"/>
    <col min="15109" max="15109" width="43.85546875" style="442" customWidth="1"/>
    <col min="15110" max="15110" width="4.7109375" style="442" customWidth="1"/>
    <col min="15111" max="15111" width="8.140625" style="442" customWidth="1"/>
    <col min="15112" max="15112" width="8.7109375" style="442" customWidth="1"/>
    <col min="15113" max="15113" width="12" style="442" customWidth="1"/>
    <col min="15114" max="15124" width="0" style="442" hidden="1" customWidth="1"/>
    <col min="15125" max="15360" width="9.140625" style="442"/>
    <col min="15361" max="15361" width="5.7109375" style="442" customWidth="1"/>
    <col min="15362" max="15362" width="4.5703125" style="442" customWidth="1"/>
    <col min="15363" max="15363" width="4.7109375" style="442" customWidth="1"/>
    <col min="15364" max="15364" width="10" style="442" customWidth="1"/>
    <col min="15365" max="15365" width="43.85546875" style="442" customWidth="1"/>
    <col min="15366" max="15366" width="4.7109375" style="442" customWidth="1"/>
    <col min="15367" max="15367" width="8.140625" style="442" customWidth="1"/>
    <col min="15368" max="15368" width="8.7109375" style="442" customWidth="1"/>
    <col min="15369" max="15369" width="12" style="442" customWidth="1"/>
    <col min="15370" max="15380" width="0" style="442" hidden="1" customWidth="1"/>
    <col min="15381" max="15616" width="9.140625" style="442"/>
    <col min="15617" max="15617" width="5.7109375" style="442" customWidth="1"/>
    <col min="15618" max="15618" width="4.5703125" style="442" customWidth="1"/>
    <col min="15619" max="15619" width="4.7109375" style="442" customWidth="1"/>
    <col min="15620" max="15620" width="10" style="442" customWidth="1"/>
    <col min="15621" max="15621" width="43.85546875" style="442" customWidth="1"/>
    <col min="15622" max="15622" width="4.7109375" style="442" customWidth="1"/>
    <col min="15623" max="15623" width="8.140625" style="442" customWidth="1"/>
    <col min="15624" max="15624" width="8.7109375" style="442" customWidth="1"/>
    <col min="15625" max="15625" width="12" style="442" customWidth="1"/>
    <col min="15626" max="15636" width="0" style="442" hidden="1" customWidth="1"/>
    <col min="15637" max="15872" width="9.140625" style="442"/>
    <col min="15873" max="15873" width="5.7109375" style="442" customWidth="1"/>
    <col min="15874" max="15874" width="4.5703125" style="442" customWidth="1"/>
    <col min="15875" max="15875" width="4.7109375" style="442" customWidth="1"/>
    <col min="15876" max="15876" width="10" style="442" customWidth="1"/>
    <col min="15877" max="15877" width="43.85546875" style="442" customWidth="1"/>
    <col min="15878" max="15878" width="4.7109375" style="442" customWidth="1"/>
    <col min="15879" max="15879" width="8.140625" style="442" customWidth="1"/>
    <col min="15880" max="15880" width="8.7109375" style="442" customWidth="1"/>
    <col min="15881" max="15881" width="12" style="442" customWidth="1"/>
    <col min="15882" max="15892" width="0" style="442" hidden="1" customWidth="1"/>
    <col min="15893" max="16128" width="9.140625" style="442"/>
    <col min="16129" max="16129" width="5.7109375" style="442" customWidth="1"/>
    <col min="16130" max="16130" width="4.5703125" style="442" customWidth="1"/>
    <col min="16131" max="16131" width="4.7109375" style="442" customWidth="1"/>
    <col min="16132" max="16132" width="10" style="442" customWidth="1"/>
    <col min="16133" max="16133" width="43.85546875" style="442" customWidth="1"/>
    <col min="16134" max="16134" width="4.7109375" style="442" customWidth="1"/>
    <col min="16135" max="16135" width="8.140625" style="442" customWidth="1"/>
    <col min="16136" max="16136" width="8.7109375" style="442" customWidth="1"/>
    <col min="16137" max="16137" width="12" style="442" customWidth="1"/>
    <col min="16138" max="16148" width="0" style="442" hidden="1" customWidth="1"/>
    <col min="16149" max="16384" width="9.140625" style="442"/>
  </cols>
  <sheetData>
    <row r="1" spans="1:20" ht="18">
      <c r="A1" s="1110" t="s">
        <v>662</v>
      </c>
      <c r="B1" s="1110"/>
      <c r="C1" s="1110"/>
      <c r="D1" s="1110"/>
      <c r="E1" s="1110"/>
      <c r="F1" s="1110"/>
      <c r="G1" s="1110"/>
      <c r="H1" s="1110"/>
      <c r="I1" s="440"/>
      <c r="J1" s="435"/>
      <c r="K1" s="435"/>
      <c r="L1" s="435"/>
      <c r="M1" s="435"/>
      <c r="N1" s="435"/>
      <c r="O1" s="441"/>
      <c r="P1" s="441"/>
      <c r="Q1" s="435"/>
      <c r="R1" s="435"/>
      <c r="S1" s="435"/>
      <c r="T1" s="435"/>
    </row>
    <row r="2" spans="1:20" ht="18" customHeight="1">
      <c r="A2" s="443" t="s">
        <v>504</v>
      </c>
      <c r="B2" s="444"/>
      <c r="C2" s="586" t="str">
        <f>[1]REKAP!B4</f>
        <v>ZŚ s MŚ SUT - REKONŚTRUKCIA AREÁLU - TRNAVA</v>
      </c>
      <c r="D2" s="445"/>
      <c r="E2" s="446"/>
      <c r="F2" s="438"/>
      <c r="G2" s="439"/>
      <c r="H2" s="440"/>
      <c r="I2" s="440"/>
      <c r="J2" s="444"/>
      <c r="K2" s="444"/>
      <c r="L2" s="435"/>
      <c r="M2" s="435"/>
      <c r="N2" s="435"/>
      <c r="O2" s="441"/>
      <c r="P2" s="441"/>
      <c r="Q2" s="435"/>
      <c r="R2" s="435"/>
      <c r="S2" s="435"/>
      <c r="T2" s="435"/>
    </row>
    <row r="3" spans="1:20">
      <c r="A3" s="443" t="s">
        <v>65</v>
      </c>
      <c r="B3" s="444"/>
      <c r="C3" s="443" t="str">
        <f>[1]REKAP!B5</f>
        <v>SO 01 Objekt pre správcu</v>
      </c>
      <c r="D3" s="445"/>
      <c r="E3" s="446"/>
      <c r="F3" s="438"/>
      <c r="G3" s="439"/>
      <c r="H3" s="440"/>
      <c r="I3" s="440"/>
      <c r="J3" s="444"/>
      <c r="K3" s="444"/>
      <c r="L3" s="435"/>
      <c r="M3" s="435"/>
      <c r="N3" s="435"/>
      <c r="O3" s="441"/>
      <c r="P3" s="441"/>
      <c r="Q3" s="435"/>
      <c r="R3" s="435"/>
      <c r="S3" s="435"/>
      <c r="T3" s="435"/>
    </row>
    <row r="4" spans="1:20" ht="11.45" customHeight="1">
      <c r="A4" s="443" t="s">
        <v>1</v>
      </c>
      <c r="B4" s="444"/>
      <c r="C4" s="443" t="str">
        <f>[1]KRYCí!E9</f>
        <v>E1.4 Elektroinštalácia</v>
      </c>
      <c r="D4" s="445"/>
      <c r="E4" s="446"/>
      <c r="F4" s="438"/>
      <c r="G4" s="439"/>
      <c r="H4" s="440"/>
      <c r="I4" s="440"/>
      <c r="J4" s="444"/>
      <c r="K4" s="444"/>
      <c r="L4" s="435"/>
      <c r="M4" s="435"/>
      <c r="N4" s="435"/>
      <c r="O4" s="441"/>
      <c r="P4" s="441"/>
      <c r="Q4" s="435"/>
      <c r="R4" s="435"/>
      <c r="S4" s="435"/>
      <c r="T4" s="435"/>
    </row>
    <row r="5" spans="1:20" ht="1.1499999999999999" hidden="1" customHeight="1">
      <c r="A5" s="444" t="s">
        <v>774</v>
      </c>
      <c r="B5" s="444"/>
      <c r="C5" s="444">
        <v>0</v>
      </c>
      <c r="D5" s="436"/>
      <c r="E5" s="447"/>
      <c r="F5" s="438"/>
      <c r="G5" s="439"/>
      <c r="H5" s="440"/>
      <c r="I5" s="440"/>
      <c r="J5" s="444"/>
      <c r="K5" s="444"/>
      <c r="L5" s="435"/>
      <c r="M5" s="435"/>
      <c r="N5" s="435"/>
      <c r="O5" s="441"/>
      <c r="P5" s="441"/>
      <c r="Q5" s="435"/>
      <c r="R5" s="435"/>
      <c r="S5" s="435"/>
      <c r="T5" s="435"/>
    </row>
    <row r="6" spans="1:20" hidden="1">
      <c r="A6" s="444"/>
      <c r="B6" s="444"/>
      <c r="C6" s="444"/>
      <c r="D6" s="436"/>
      <c r="E6" s="447"/>
      <c r="F6" s="438"/>
      <c r="G6" s="439"/>
      <c r="H6" s="440"/>
      <c r="I6" s="440"/>
      <c r="J6" s="444"/>
      <c r="K6" s="444"/>
      <c r="L6" s="435"/>
      <c r="M6" s="435"/>
      <c r="N6" s="435"/>
      <c r="O6" s="441"/>
      <c r="P6" s="441"/>
      <c r="Q6" s="435"/>
      <c r="R6" s="435"/>
      <c r="S6" s="435"/>
      <c r="T6" s="435"/>
    </row>
    <row r="7" spans="1:20">
      <c r="A7" s="444" t="s">
        <v>775</v>
      </c>
      <c r="B7" s="444"/>
      <c r="C7" s="444" t="str">
        <f>[1]REKAP!B9</f>
        <v xml:space="preserve">Mesto Hlavná 1, 91771 Trnava </v>
      </c>
      <c r="D7" s="436"/>
      <c r="E7" s="447"/>
      <c r="F7" s="438"/>
      <c r="G7" s="439"/>
      <c r="H7" s="440"/>
      <c r="I7" s="440"/>
      <c r="J7" s="444"/>
      <c r="K7" s="444"/>
      <c r="L7" s="435"/>
      <c r="M7" s="435"/>
      <c r="N7" s="435"/>
      <c r="O7" s="441"/>
      <c r="P7" s="441"/>
      <c r="Q7" s="435"/>
      <c r="R7" s="435"/>
      <c r="S7" s="435"/>
      <c r="T7" s="435"/>
    </row>
    <row r="8" spans="1:20">
      <c r="A8" s="444" t="s">
        <v>506</v>
      </c>
      <c r="B8" s="444"/>
      <c r="C8" s="444" t="s">
        <v>436</v>
      </c>
      <c r="D8" s="436"/>
      <c r="E8" s="447"/>
      <c r="F8" s="438"/>
      <c r="G8" s="439"/>
      <c r="H8" s="440"/>
      <c r="I8" s="440"/>
      <c r="J8" s="444"/>
      <c r="K8" s="444"/>
      <c r="L8" s="435"/>
      <c r="M8" s="435"/>
      <c r="N8" s="435"/>
      <c r="O8" s="441"/>
      <c r="P8" s="441"/>
      <c r="Q8" s="435"/>
      <c r="R8" s="435"/>
      <c r="S8" s="435"/>
      <c r="T8" s="435"/>
    </row>
    <row r="9" spans="1:20" ht="3" customHeight="1">
      <c r="A9" s="444"/>
      <c r="B9" s="444"/>
      <c r="C9" s="448"/>
      <c r="D9" s="449"/>
      <c r="E9" s="447"/>
      <c r="F9" s="438"/>
      <c r="G9" s="439"/>
      <c r="H9" s="440"/>
      <c r="I9" s="440"/>
      <c r="J9" s="444"/>
      <c r="K9" s="444"/>
      <c r="L9" s="435"/>
      <c r="M9" s="435"/>
      <c r="N9" s="435"/>
      <c r="O9" s="441"/>
      <c r="P9" s="441"/>
      <c r="Q9" s="435"/>
      <c r="R9" s="435"/>
      <c r="S9" s="435"/>
      <c r="T9" s="435"/>
    </row>
    <row r="10" spans="1:20" ht="4.1500000000000004" customHeight="1">
      <c r="A10" s="435"/>
      <c r="B10" s="435"/>
      <c r="C10" s="435"/>
      <c r="D10" s="436"/>
      <c r="E10" s="437"/>
      <c r="F10" s="438"/>
      <c r="G10" s="439"/>
      <c r="H10" s="440"/>
      <c r="I10" s="440"/>
      <c r="J10" s="435"/>
      <c r="K10" s="435"/>
      <c r="L10" s="435"/>
      <c r="M10" s="435"/>
      <c r="N10" s="435"/>
      <c r="O10" s="441"/>
      <c r="P10" s="441"/>
      <c r="Q10" s="435"/>
      <c r="R10" s="435"/>
      <c r="S10" s="435"/>
      <c r="T10" s="435"/>
    </row>
    <row r="11" spans="1:20" ht="22.5">
      <c r="A11" s="450" t="s">
        <v>3</v>
      </c>
      <c r="B11" s="451" t="s">
        <v>776</v>
      </c>
      <c r="C11" s="451" t="s">
        <v>4</v>
      </c>
      <c r="D11" s="451" t="s">
        <v>5</v>
      </c>
      <c r="E11" s="451" t="s">
        <v>777</v>
      </c>
      <c r="F11" s="452" t="s">
        <v>7</v>
      </c>
      <c r="G11" s="453" t="s">
        <v>778</v>
      </c>
      <c r="H11" s="454" t="s">
        <v>9</v>
      </c>
      <c r="I11" s="454" t="s">
        <v>10</v>
      </c>
      <c r="J11" s="451" t="s">
        <v>779</v>
      </c>
      <c r="K11" s="451" t="s">
        <v>780</v>
      </c>
      <c r="L11" s="451" t="s">
        <v>781</v>
      </c>
      <c r="M11" s="451" t="s">
        <v>782</v>
      </c>
      <c r="N11" s="451" t="s">
        <v>783</v>
      </c>
      <c r="O11" s="455" t="s">
        <v>784</v>
      </c>
      <c r="P11" s="455" t="s">
        <v>785</v>
      </c>
      <c r="Q11" s="451"/>
      <c r="R11" s="451"/>
      <c r="S11" s="451"/>
      <c r="T11" s="456" t="s">
        <v>786</v>
      </c>
    </row>
    <row r="12" spans="1:20">
      <c r="A12" s="435"/>
      <c r="B12" s="435"/>
      <c r="C12" s="435"/>
      <c r="D12" s="436"/>
      <c r="E12" s="437"/>
      <c r="F12" s="438"/>
      <c r="G12" s="439"/>
      <c r="H12" s="440"/>
      <c r="I12" s="440"/>
      <c r="J12" s="435"/>
      <c r="K12" s="435"/>
      <c r="L12" s="435"/>
      <c r="M12" s="435"/>
      <c r="N12" s="457"/>
      <c r="O12" s="458"/>
      <c r="P12" s="459"/>
      <c r="Q12" s="457"/>
      <c r="R12" s="457"/>
      <c r="S12" s="457"/>
      <c r="T12" s="457"/>
    </row>
    <row r="13" spans="1:20" s="468" customFormat="1" ht="18.75" customHeight="1" thickBot="1">
      <c r="A13" s="460"/>
      <c r="B13" s="461"/>
      <c r="C13" s="460"/>
      <c r="D13" s="461"/>
      <c r="E13" s="462" t="s">
        <v>787</v>
      </c>
      <c r="F13" s="463"/>
      <c r="G13" s="464"/>
      <c r="H13" s="465"/>
      <c r="I13" s="466">
        <f>I15+I47+I74+I86+I103+I112</f>
        <v>0</v>
      </c>
      <c r="J13" s="460"/>
      <c r="K13" s="467" t="e">
        <v>#REF!</v>
      </c>
      <c r="L13" s="460"/>
      <c r="M13" s="467" t="e">
        <v>#REF!</v>
      </c>
      <c r="N13" s="460"/>
      <c r="P13" s="469" t="s">
        <v>788</v>
      </c>
    </row>
    <row r="14" spans="1:20" s="468" customFormat="1" ht="12" thickTop="1">
      <c r="A14" s="470"/>
      <c r="B14" s="471"/>
      <c r="C14" s="470"/>
      <c r="D14" s="471"/>
      <c r="E14" s="472"/>
      <c r="F14" s="473"/>
      <c r="G14" s="474"/>
      <c r="H14" s="475"/>
      <c r="I14" s="476"/>
      <c r="J14" s="470"/>
      <c r="K14" s="477"/>
      <c r="L14" s="470"/>
      <c r="M14" s="477"/>
      <c r="N14" s="470"/>
      <c r="P14" s="469"/>
    </row>
    <row r="15" spans="1:20" s="468" customFormat="1" ht="18" customHeight="1">
      <c r="B15" s="478" t="s">
        <v>466</v>
      </c>
      <c r="D15" s="478" t="s">
        <v>789</v>
      </c>
      <c r="E15" s="479" t="s">
        <v>790</v>
      </c>
      <c r="F15" s="480"/>
      <c r="G15" s="481"/>
      <c r="H15" s="482"/>
      <c r="I15" s="483">
        <f>SUM(I16:I45)</f>
        <v>0</v>
      </c>
      <c r="K15" s="484">
        <v>0</v>
      </c>
      <c r="M15" s="484">
        <v>0</v>
      </c>
      <c r="P15" s="485" t="s">
        <v>791</v>
      </c>
    </row>
    <row r="16" spans="1:20" s="496" customFormat="1" ht="11.25">
      <c r="A16" s="486" t="s">
        <v>791</v>
      </c>
      <c r="B16" s="486" t="s">
        <v>29</v>
      </c>
      <c r="C16" s="486" t="s">
        <v>792</v>
      </c>
      <c r="D16" s="487" t="s">
        <v>793</v>
      </c>
      <c r="E16" s="488" t="s">
        <v>794</v>
      </c>
      <c r="F16" s="489" t="s">
        <v>19</v>
      </c>
      <c r="G16" s="490">
        <v>32</v>
      </c>
      <c r="H16" s="491"/>
      <c r="I16" s="491">
        <f t="shared" ref="I16:I45" si="0">ROUND(G16*H16,3)</f>
        <v>0</v>
      </c>
      <c r="J16" s="492">
        <v>0</v>
      </c>
      <c r="K16" s="493">
        <v>0</v>
      </c>
      <c r="L16" s="492">
        <v>0</v>
      </c>
      <c r="M16" s="493">
        <v>0</v>
      </c>
      <c r="N16" s="494">
        <v>20</v>
      </c>
      <c r="O16" s="495">
        <v>64</v>
      </c>
      <c r="P16" s="496" t="s">
        <v>795</v>
      </c>
    </row>
    <row r="17" spans="1:16" s="496" customFormat="1" ht="22.5">
      <c r="A17" s="486" t="s">
        <v>795</v>
      </c>
      <c r="B17" s="486" t="s">
        <v>29</v>
      </c>
      <c r="C17" s="486" t="s">
        <v>792</v>
      </c>
      <c r="D17" s="487" t="s">
        <v>796</v>
      </c>
      <c r="E17" s="488" t="s">
        <v>797</v>
      </c>
      <c r="F17" s="489" t="s">
        <v>19</v>
      </c>
      <c r="G17" s="490">
        <v>18</v>
      </c>
      <c r="H17" s="491"/>
      <c r="I17" s="491">
        <f t="shared" si="0"/>
        <v>0</v>
      </c>
      <c r="J17" s="492">
        <v>0</v>
      </c>
      <c r="K17" s="493">
        <v>0</v>
      </c>
      <c r="L17" s="492">
        <v>0</v>
      </c>
      <c r="M17" s="493">
        <v>0</v>
      </c>
      <c r="N17" s="494">
        <v>20</v>
      </c>
      <c r="O17" s="495">
        <v>64</v>
      </c>
      <c r="P17" s="496" t="s">
        <v>795</v>
      </c>
    </row>
    <row r="18" spans="1:16" s="496" customFormat="1" ht="11.25">
      <c r="A18" s="486">
        <v>3</v>
      </c>
      <c r="B18" s="486" t="s">
        <v>29</v>
      </c>
      <c r="C18" s="486" t="s">
        <v>792</v>
      </c>
      <c r="D18" s="487" t="s">
        <v>798</v>
      </c>
      <c r="E18" s="488" t="s">
        <v>799</v>
      </c>
      <c r="F18" s="489" t="s">
        <v>14</v>
      </c>
      <c r="G18" s="490">
        <v>20</v>
      </c>
      <c r="H18" s="491"/>
      <c r="I18" s="491">
        <f t="shared" si="0"/>
        <v>0</v>
      </c>
      <c r="J18" s="492">
        <v>0</v>
      </c>
      <c r="K18" s="493">
        <v>0</v>
      </c>
      <c r="L18" s="492">
        <v>0</v>
      </c>
      <c r="M18" s="493">
        <v>0</v>
      </c>
      <c r="N18" s="494">
        <v>20</v>
      </c>
      <c r="O18" s="495">
        <v>64</v>
      </c>
      <c r="P18" s="496" t="s">
        <v>795</v>
      </c>
    </row>
    <row r="19" spans="1:16" s="496" customFormat="1" ht="11.25">
      <c r="A19" s="486">
        <v>4</v>
      </c>
      <c r="B19" s="486" t="s">
        <v>29</v>
      </c>
      <c r="C19" s="486" t="s">
        <v>792</v>
      </c>
      <c r="D19" s="487" t="s">
        <v>800</v>
      </c>
      <c r="E19" s="488" t="s">
        <v>801</v>
      </c>
      <c r="F19" s="489" t="s">
        <v>14</v>
      </c>
      <c r="G19" s="490">
        <v>2</v>
      </c>
      <c r="H19" s="491"/>
      <c r="I19" s="491">
        <f t="shared" si="0"/>
        <v>0</v>
      </c>
      <c r="J19" s="492">
        <v>0</v>
      </c>
      <c r="K19" s="493">
        <v>0</v>
      </c>
      <c r="L19" s="492">
        <v>0</v>
      </c>
      <c r="M19" s="493">
        <v>0</v>
      </c>
      <c r="N19" s="494">
        <v>20</v>
      </c>
      <c r="O19" s="495">
        <v>64</v>
      </c>
      <c r="P19" s="496" t="s">
        <v>795</v>
      </c>
    </row>
    <row r="20" spans="1:16" s="496" customFormat="1" ht="11.25">
      <c r="A20" s="486">
        <v>5</v>
      </c>
      <c r="B20" s="486" t="s">
        <v>29</v>
      </c>
      <c r="C20" s="486" t="s">
        <v>792</v>
      </c>
      <c r="D20" s="487" t="s">
        <v>802</v>
      </c>
      <c r="E20" s="488" t="s">
        <v>803</v>
      </c>
      <c r="F20" s="489" t="s">
        <v>14</v>
      </c>
      <c r="G20" s="490">
        <v>15</v>
      </c>
      <c r="H20" s="491"/>
      <c r="I20" s="491">
        <f t="shared" si="0"/>
        <v>0</v>
      </c>
      <c r="J20" s="492">
        <v>0</v>
      </c>
      <c r="K20" s="493">
        <v>0</v>
      </c>
      <c r="L20" s="492">
        <v>0</v>
      </c>
      <c r="M20" s="493">
        <v>0</v>
      </c>
      <c r="N20" s="494">
        <v>20</v>
      </c>
      <c r="O20" s="495">
        <v>64</v>
      </c>
      <c r="P20" s="496" t="s">
        <v>795</v>
      </c>
    </row>
    <row r="21" spans="1:16" s="496" customFormat="1" ht="11.25">
      <c r="A21" s="486">
        <v>6</v>
      </c>
      <c r="B21" s="486" t="s">
        <v>29</v>
      </c>
      <c r="C21" s="486" t="s">
        <v>792</v>
      </c>
      <c r="D21" s="487" t="s">
        <v>804</v>
      </c>
      <c r="E21" s="488" t="s">
        <v>805</v>
      </c>
      <c r="F21" s="489" t="s">
        <v>14</v>
      </c>
      <c r="G21" s="490">
        <v>35</v>
      </c>
      <c r="H21" s="491"/>
      <c r="I21" s="491">
        <f t="shared" si="0"/>
        <v>0</v>
      </c>
      <c r="J21" s="492">
        <v>0</v>
      </c>
      <c r="K21" s="493">
        <v>0</v>
      </c>
      <c r="L21" s="492">
        <v>0</v>
      </c>
      <c r="M21" s="493">
        <v>0</v>
      </c>
      <c r="N21" s="494">
        <v>20</v>
      </c>
      <c r="O21" s="495">
        <v>64</v>
      </c>
      <c r="P21" s="496" t="s">
        <v>795</v>
      </c>
    </row>
    <row r="22" spans="1:16" s="496" customFormat="1" ht="11.25">
      <c r="A22" s="486">
        <v>7</v>
      </c>
      <c r="B22" s="486" t="s">
        <v>29</v>
      </c>
      <c r="C22" s="486" t="s">
        <v>792</v>
      </c>
      <c r="D22" s="487" t="s">
        <v>804</v>
      </c>
      <c r="E22" s="488" t="s">
        <v>805</v>
      </c>
      <c r="F22" s="489" t="s">
        <v>14</v>
      </c>
      <c r="G22" s="490">
        <v>220</v>
      </c>
      <c r="H22" s="491"/>
      <c r="I22" s="491">
        <f t="shared" si="0"/>
        <v>0</v>
      </c>
      <c r="J22" s="492">
        <v>0</v>
      </c>
      <c r="K22" s="493">
        <v>0</v>
      </c>
      <c r="L22" s="492">
        <v>0</v>
      </c>
      <c r="M22" s="493">
        <v>0</v>
      </c>
      <c r="N22" s="494">
        <v>20</v>
      </c>
      <c r="O22" s="495">
        <v>64</v>
      </c>
      <c r="P22" s="496" t="s">
        <v>795</v>
      </c>
    </row>
    <row r="23" spans="1:16" s="496" customFormat="1" ht="11.25">
      <c r="A23" s="486">
        <v>8</v>
      </c>
      <c r="B23" s="486" t="s">
        <v>29</v>
      </c>
      <c r="C23" s="486" t="s">
        <v>792</v>
      </c>
      <c r="D23" s="487" t="s">
        <v>806</v>
      </c>
      <c r="E23" s="488" t="s">
        <v>807</v>
      </c>
      <c r="F23" s="489" t="s">
        <v>14</v>
      </c>
      <c r="G23" s="490">
        <v>380</v>
      </c>
      <c r="H23" s="491"/>
      <c r="I23" s="491">
        <f t="shared" si="0"/>
        <v>0</v>
      </c>
      <c r="J23" s="492">
        <v>0</v>
      </c>
      <c r="K23" s="493">
        <v>0</v>
      </c>
      <c r="L23" s="492">
        <v>0</v>
      </c>
      <c r="M23" s="493">
        <v>0</v>
      </c>
      <c r="N23" s="494">
        <v>20</v>
      </c>
      <c r="O23" s="495">
        <v>64</v>
      </c>
      <c r="P23" s="496" t="s">
        <v>795</v>
      </c>
    </row>
    <row r="24" spans="1:16" s="496" customFormat="1" ht="11.25">
      <c r="A24" s="486">
        <v>9</v>
      </c>
      <c r="B24" s="486" t="s">
        <v>29</v>
      </c>
      <c r="C24" s="486" t="s">
        <v>792</v>
      </c>
      <c r="D24" s="497" t="s">
        <v>808</v>
      </c>
      <c r="E24" s="498" t="s">
        <v>809</v>
      </c>
      <c r="F24" s="489" t="s">
        <v>14</v>
      </c>
      <c r="G24" s="490">
        <v>6</v>
      </c>
      <c r="H24" s="491"/>
      <c r="I24" s="491">
        <f t="shared" si="0"/>
        <v>0</v>
      </c>
      <c r="J24" s="492">
        <v>0</v>
      </c>
      <c r="K24" s="493">
        <v>0</v>
      </c>
      <c r="L24" s="492">
        <v>0</v>
      </c>
      <c r="M24" s="493">
        <v>0</v>
      </c>
      <c r="N24" s="494">
        <v>20</v>
      </c>
      <c r="O24" s="495">
        <v>64</v>
      </c>
      <c r="P24" s="496" t="s">
        <v>795</v>
      </c>
    </row>
    <row r="25" spans="1:16" s="496" customFormat="1" ht="11.25">
      <c r="A25" s="486">
        <v>10</v>
      </c>
      <c r="B25" s="486" t="s">
        <v>29</v>
      </c>
      <c r="C25" s="486" t="s">
        <v>792</v>
      </c>
      <c r="D25" s="497" t="s">
        <v>810</v>
      </c>
      <c r="E25" s="498" t="s">
        <v>811</v>
      </c>
      <c r="F25" s="489" t="s">
        <v>14</v>
      </c>
      <c r="G25" s="490">
        <v>55</v>
      </c>
      <c r="H25" s="491"/>
      <c r="I25" s="491">
        <f t="shared" si="0"/>
        <v>0</v>
      </c>
      <c r="J25" s="492"/>
      <c r="K25" s="493"/>
      <c r="L25" s="492"/>
      <c r="M25" s="493"/>
      <c r="N25" s="494"/>
      <c r="O25" s="495"/>
    </row>
    <row r="26" spans="1:16" s="496" customFormat="1" ht="22.5">
      <c r="A26" s="486">
        <v>11</v>
      </c>
      <c r="B26" s="486" t="s">
        <v>29</v>
      </c>
      <c r="C26" s="486" t="s">
        <v>792</v>
      </c>
      <c r="D26" s="487" t="s">
        <v>812</v>
      </c>
      <c r="E26" s="488" t="s">
        <v>813</v>
      </c>
      <c r="F26" s="489" t="s">
        <v>19</v>
      </c>
      <c r="G26" s="490">
        <v>78</v>
      </c>
      <c r="H26" s="491"/>
      <c r="I26" s="491">
        <f t="shared" si="0"/>
        <v>0</v>
      </c>
      <c r="J26" s="492">
        <v>0</v>
      </c>
      <c r="K26" s="493">
        <v>0</v>
      </c>
      <c r="L26" s="492">
        <v>0</v>
      </c>
      <c r="M26" s="493">
        <v>0</v>
      </c>
      <c r="N26" s="494">
        <v>20</v>
      </c>
      <c r="O26" s="495">
        <v>64</v>
      </c>
      <c r="P26" s="496" t="s">
        <v>795</v>
      </c>
    </row>
    <row r="27" spans="1:16" s="496" customFormat="1" ht="22.5">
      <c r="A27" s="486">
        <v>12</v>
      </c>
      <c r="B27" s="486" t="s">
        <v>29</v>
      </c>
      <c r="C27" s="486" t="s">
        <v>792</v>
      </c>
      <c r="D27" s="487" t="s">
        <v>814</v>
      </c>
      <c r="E27" s="488" t="s">
        <v>815</v>
      </c>
      <c r="F27" s="489" t="s">
        <v>19</v>
      </c>
      <c r="G27" s="490">
        <v>6</v>
      </c>
      <c r="H27" s="491"/>
      <c r="I27" s="491">
        <f t="shared" si="0"/>
        <v>0</v>
      </c>
      <c r="J27" s="492">
        <v>0</v>
      </c>
      <c r="K27" s="493">
        <v>0</v>
      </c>
      <c r="L27" s="492">
        <v>0</v>
      </c>
      <c r="M27" s="493">
        <v>0</v>
      </c>
      <c r="N27" s="494">
        <v>20</v>
      </c>
      <c r="O27" s="495">
        <v>64</v>
      </c>
      <c r="P27" s="496" t="s">
        <v>795</v>
      </c>
    </row>
    <row r="28" spans="1:16" s="496" customFormat="1" ht="22.5">
      <c r="A28" s="486">
        <v>13</v>
      </c>
      <c r="B28" s="486" t="s">
        <v>29</v>
      </c>
      <c r="C28" s="486" t="s">
        <v>792</v>
      </c>
      <c r="D28" s="487" t="s">
        <v>816</v>
      </c>
      <c r="E28" s="488" t="s">
        <v>817</v>
      </c>
      <c r="F28" s="489" t="s">
        <v>19</v>
      </c>
      <c r="G28" s="490">
        <v>2</v>
      </c>
      <c r="H28" s="491"/>
      <c r="I28" s="491">
        <f>ROUND(G28*H28,3)</f>
        <v>0</v>
      </c>
      <c r="J28" s="492"/>
      <c r="K28" s="493"/>
      <c r="L28" s="492"/>
      <c r="M28" s="493"/>
      <c r="N28" s="494"/>
      <c r="O28" s="495"/>
    </row>
    <row r="29" spans="1:16" s="496" customFormat="1" ht="22.5">
      <c r="A29" s="486">
        <v>14</v>
      </c>
      <c r="B29" s="486" t="s">
        <v>29</v>
      </c>
      <c r="C29" s="486" t="s">
        <v>792</v>
      </c>
      <c r="D29" s="487" t="s">
        <v>818</v>
      </c>
      <c r="E29" s="498" t="s">
        <v>819</v>
      </c>
      <c r="F29" s="489" t="s">
        <v>19</v>
      </c>
      <c r="G29" s="490">
        <v>2</v>
      </c>
      <c r="H29" s="491"/>
      <c r="I29" s="491">
        <f t="shared" si="0"/>
        <v>0</v>
      </c>
      <c r="J29" s="492">
        <v>0</v>
      </c>
      <c r="K29" s="493">
        <v>0</v>
      </c>
      <c r="L29" s="492">
        <v>0</v>
      </c>
      <c r="M29" s="493">
        <v>0</v>
      </c>
      <c r="N29" s="494">
        <v>20</v>
      </c>
      <c r="O29" s="495">
        <v>64</v>
      </c>
      <c r="P29" s="496" t="s">
        <v>795</v>
      </c>
    </row>
    <row r="30" spans="1:16" s="496" customFormat="1" ht="22.5">
      <c r="A30" s="486">
        <v>15</v>
      </c>
      <c r="B30" s="486" t="s">
        <v>29</v>
      </c>
      <c r="C30" s="486" t="s">
        <v>792</v>
      </c>
      <c r="D30" s="499" t="s">
        <v>820</v>
      </c>
      <c r="E30" s="500" t="s">
        <v>821</v>
      </c>
      <c r="F30" s="499" t="s">
        <v>19</v>
      </c>
      <c r="G30" s="501">
        <v>2</v>
      </c>
      <c r="H30" s="491"/>
      <c r="I30" s="491">
        <f t="shared" si="0"/>
        <v>0</v>
      </c>
      <c r="J30" s="492"/>
      <c r="K30" s="493"/>
      <c r="L30" s="492"/>
      <c r="M30" s="493"/>
      <c r="N30" s="494"/>
      <c r="O30" s="495"/>
    </row>
    <row r="31" spans="1:16" s="496" customFormat="1" ht="22.5">
      <c r="A31" s="486">
        <v>16</v>
      </c>
      <c r="B31" s="486" t="s">
        <v>29</v>
      </c>
      <c r="C31" s="486" t="s">
        <v>792</v>
      </c>
      <c r="D31" s="499" t="s">
        <v>822</v>
      </c>
      <c r="E31" s="500" t="s">
        <v>823</v>
      </c>
      <c r="F31" s="499" t="s">
        <v>19</v>
      </c>
      <c r="G31" s="501">
        <v>1</v>
      </c>
      <c r="H31" s="491"/>
      <c r="I31" s="491">
        <f t="shared" si="0"/>
        <v>0</v>
      </c>
      <c r="J31" s="492"/>
      <c r="K31" s="493"/>
      <c r="L31" s="492"/>
      <c r="M31" s="493"/>
      <c r="N31" s="494"/>
      <c r="O31" s="495"/>
    </row>
    <row r="32" spans="1:16" s="496" customFormat="1" ht="22.5">
      <c r="A32" s="486">
        <v>17</v>
      </c>
      <c r="B32" s="486" t="s">
        <v>29</v>
      </c>
      <c r="C32" s="486" t="s">
        <v>792</v>
      </c>
      <c r="D32" s="487" t="s">
        <v>824</v>
      </c>
      <c r="E32" s="488" t="s">
        <v>825</v>
      </c>
      <c r="F32" s="489" t="s">
        <v>19</v>
      </c>
      <c r="G32" s="490">
        <v>17</v>
      </c>
      <c r="H32" s="491"/>
      <c r="I32" s="491">
        <f t="shared" si="0"/>
        <v>0</v>
      </c>
      <c r="J32" s="492">
        <v>0</v>
      </c>
      <c r="K32" s="493">
        <v>0</v>
      </c>
      <c r="L32" s="492">
        <v>0</v>
      </c>
      <c r="M32" s="493">
        <v>0</v>
      </c>
      <c r="N32" s="494">
        <v>20</v>
      </c>
      <c r="O32" s="495">
        <v>64</v>
      </c>
      <c r="P32" s="496" t="s">
        <v>795</v>
      </c>
    </row>
    <row r="33" spans="1:16" s="496" customFormat="1" ht="22.5">
      <c r="A33" s="486">
        <v>18</v>
      </c>
      <c r="B33" s="486" t="s">
        <v>29</v>
      </c>
      <c r="C33" s="486" t="s">
        <v>792</v>
      </c>
      <c r="D33" s="499" t="s">
        <v>826</v>
      </c>
      <c r="E33" s="500" t="s">
        <v>827</v>
      </c>
      <c r="F33" s="499" t="s">
        <v>19</v>
      </c>
      <c r="G33" s="501">
        <v>1</v>
      </c>
      <c r="H33" s="491"/>
      <c r="I33" s="491">
        <f t="shared" si="0"/>
        <v>0</v>
      </c>
      <c r="J33" s="492"/>
      <c r="K33" s="493"/>
      <c r="L33" s="492"/>
      <c r="M33" s="493"/>
      <c r="N33" s="494"/>
      <c r="O33" s="495"/>
    </row>
    <row r="34" spans="1:16" s="496" customFormat="1" ht="11.25">
      <c r="A34" s="486">
        <v>19</v>
      </c>
      <c r="B34" s="486" t="s">
        <v>29</v>
      </c>
      <c r="C34" s="486">
        <v>922</v>
      </c>
      <c r="D34" s="487" t="s">
        <v>828</v>
      </c>
      <c r="E34" s="498" t="s">
        <v>829</v>
      </c>
      <c r="F34" s="489"/>
      <c r="G34" s="490"/>
      <c r="H34" s="491"/>
      <c r="I34" s="491">
        <f t="shared" si="0"/>
        <v>0</v>
      </c>
      <c r="J34" s="492"/>
      <c r="K34" s="493"/>
      <c r="L34" s="492"/>
      <c r="M34" s="493"/>
      <c r="N34" s="494"/>
      <c r="O34" s="495"/>
    </row>
    <row r="35" spans="1:16" s="496" customFormat="1" ht="11.25">
      <c r="A35" s="486">
        <v>20</v>
      </c>
      <c r="B35" s="486" t="s">
        <v>29</v>
      </c>
      <c r="C35" s="486">
        <v>921</v>
      </c>
      <c r="D35" s="497" t="s">
        <v>830</v>
      </c>
      <c r="E35" s="498" t="s">
        <v>831</v>
      </c>
      <c r="F35" s="502" t="s">
        <v>19</v>
      </c>
      <c r="G35" s="490">
        <v>11</v>
      </c>
      <c r="H35" s="491"/>
      <c r="I35" s="491">
        <f t="shared" si="0"/>
        <v>0</v>
      </c>
      <c r="J35" s="492"/>
      <c r="K35" s="493"/>
      <c r="L35" s="492"/>
      <c r="M35" s="493"/>
      <c r="N35" s="494"/>
      <c r="O35" s="495"/>
    </row>
    <row r="36" spans="1:16" s="496" customFormat="1" ht="11.25">
      <c r="A36" s="486">
        <v>21</v>
      </c>
      <c r="B36" s="486" t="s">
        <v>29</v>
      </c>
      <c r="C36" s="486" t="s">
        <v>792</v>
      </c>
      <c r="D36" s="497" t="s">
        <v>832</v>
      </c>
      <c r="E36" s="498" t="s">
        <v>833</v>
      </c>
      <c r="F36" s="502" t="s">
        <v>19</v>
      </c>
      <c r="G36" s="490">
        <v>2</v>
      </c>
      <c r="H36" s="491"/>
      <c r="I36" s="491">
        <f t="shared" si="0"/>
        <v>0</v>
      </c>
      <c r="J36" s="492"/>
      <c r="K36" s="493"/>
      <c r="L36" s="492"/>
      <c r="M36" s="493"/>
      <c r="N36" s="494"/>
      <c r="O36" s="495"/>
    </row>
    <row r="37" spans="1:16" s="496" customFormat="1" ht="11.25">
      <c r="A37" s="486">
        <v>22</v>
      </c>
      <c r="B37" s="486" t="s">
        <v>29</v>
      </c>
      <c r="C37" s="486" t="s">
        <v>792</v>
      </c>
      <c r="D37" s="497" t="s">
        <v>834</v>
      </c>
      <c r="E37" s="498" t="s">
        <v>835</v>
      </c>
      <c r="F37" s="502" t="s">
        <v>19</v>
      </c>
      <c r="G37" s="490">
        <v>2</v>
      </c>
      <c r="H37" s="491"/>
      <c r="I37" s="491">
        <f t="shared" si="0"/>
        <v>0</v>
      </c>
      <c r="J37" s="492"/>
      <c r="K37" s="493"/>
      <c r="L37" s="492"/>
      <c r="M37" s="493"/>
      <c r="N37" s="494"/>
      <c r="O37" s="495"/>
    </row>
    <row r="38" spans="1:16" s="496" customFormat="1" ht="22.5">
      <c r="A38" s="486">
        <v>23</v>
      </c>
      <c r="B38" s="486" t="s">
        <v>29</v>
      </c>
      <c r="C38" s="486" t="s">
        <v>792</v>
      </c>
      <c r="D38" s="497" t="s">
        <v>836</v>
      </c>
      <c r="E38" s="498" t="s">
        <v>837</v>
      </c>
      <c r="F38" s="502" t="s">
        <v>19</v>
      </c>
      <c r="G38" s="490">
        <v>1</v>
      </c>
      <c r="H38" s="491"/>
      <c r="I38" s="491">
        <f t="shared" si="0"/>
        <v>0</v>
      </c>
      <c r="J38" s="492"/>
      <c r="K38" s="493"/>
      <c r="L38" s="492"/>
      <c r="M38" s="493"/>
      <c r="N38" s="494"/>
      <c r="O38" s="495"/>
    </row>
    <row r="39" spans="1:16" s="496" customFormat="1" ht="11.25">
      <c r="A39" s="486">
        <v>24</v>
      </c>
      <c r="B39" s="486" t="s">
        <v>29</v>
      </c>
      <c r="C39" s="486" t="s">
        <v>792</v>
      </c>
      <c r="D39" s="487" t="s">
        <v>838</v>
      </c>
      <c r="E39" s="498" t="s">
        <v>839</v>
      </c>
      <c r="F39" s="489" t="s">
        <v>19</v>
      </c>
      <c r="G39" s="490">
        <v>1</v>
      </c>
      <c r="H39" s="491"/>
      <c r="I39" s="491">
        <f t="shared" si="0"/>
        <v>0</v>
      </c>
      <c r="J39" s="492">
        <v>0</v>
      </c>
      <c r="K39" s="493">
        <v>0</v>
      </c>
      <c r="L39" s="492">
        <v>0</v>
      </c>
      <c r="M39" s="493">
        <v>0</v>
      </c>
      <c r="N39" s="494">
        <v>20</v>
      </c>
      <c r="O39" s="495">
        <v>64</v>
      </c>
      <c r="P39" s="496" t="s">
        <v>795</v>
      </c>
    </row>
    <row r="40" spans="1:16" s="496" customFormat="1" ht="11.25">
      <c r="A40" s="486">
        <v>25</v>
      </c>
      <c r="B40" s="486" t="s">
        <v>29</v>
      </c>
      <c r="C40" s="486" t="s">
        <v>792</v>
      </c>
      <c r="D40" s="497" t="s">
        <v>840</v>
      </c>
      <c r="E40" s="498" t="s">
        <v>841</v>
      </c>
      <c r="F40" s="489" t="s">
        <v>19</v>
      </c>
      <c r="G40" s="490">
        <v>1</v>
      </c>
      <c r="H40" s="491"/>
      <c r="I40" s="491">
        <f t="shared" si="0"/>
        <v>0</v>
      </c>
      <c r="J40" s="492"/>
      <c r="K40" s="493"/>
      <c r="L40" s="492"/>
      <c r="M40" s="493"/>
      <c r="N40" s="494"/>
      <c r="O40" s="495"/>
    </row>
    <row r="41" spans="1:16" s="496" customFormat="1" ht="11.25">
      <c r="A41" s="486">
        <v>26</v>
      </c>
      <c r="B41" s="486" t="s">
        <v>29</v>
      </c>
      <c r="C41" s="486" t="s">
        <v>792</v>
      </c>
      <c r="D41" s="499" t="s">
        <v>842</v>
      </c>
      <c r="E41" s="500" t="s">
        <v>843</v>
      </c>
      <c r="F41" s="499" t="s">
        <v>19</v>
      </c>
      <c r="G41" s="501">
        <v>1</v>
      </c>
      <c r="H41" s="501"/>
      <c r="I41" s="491">
        <f t="shared" si="0"/>
        <v>0</v>
      </c>
      <c r="J41" s="492"/>
      <c r="K41" s="493"/>
      <c r="L41" s="492"/>
      <c r="M41" s="493"/>
      <c r="N41" s="494"/>
      <c r="O41" s="495"/>
    </row>
    <row r="42" spans="1:16" s="496" customFormat="1" ht="11.25">
      <c r="A42" s="486">
        <v>27</v>
      </c>
      <c r="B42" s="486" t="s">
        <v>29</v>
      </c>
      <c r="C42" s="486" t="s">
        <v>792</v>
      </c>
      <c r="D42" s="499" t="s">
        <v>844</v>
      </c>
      <c r="E42" s="498" t="s">
        <v>845</v>
      </c>
      <c r="F42" s="499" t="s">
        <v>19</v>
      </c>
      <c r="G42" s="501">
        <v>1</v>
      </c>
      <c r="H42" s="501"/>
      <c r="I42" s="491">
        <f t="shared" si="0"/>
        <v>0</v>
      </c>
      <c r="J42" s="492"/>
      <c r="K42" s="493"/>
      <c r="L42" s="492"/>
      <c r="M42" s="493"/>
      <c r="N42" s="494"/>
      <c r="O42" s="495"/>
    </row>
    <row r="43" spans="1:16" s="496" customFormat="1" ht="11.25">
      <c r="A43" s="486">
        <v>28</v>
      </c>
      <c r="B43" s="486" t="s">
        <v>29</v>
      </c>
      <c r="C43" s="486" t="s">
        <v>792</v>
      </c>
      <c r="D43" s="487" t="s">
        <v>846</v>
      </c>
      <c r="E43" s="488" t="s">
        <v>847</v>
      </c>
      <c r="F43" s="489" t="s">
        <v>475</v>
      </c>
      <c r="G43" s="490">
        <v>3</v>
      </c>
      <c r="H43" s="491"/>
      <c r="I43" s="491">
        <f t="shared" si="0"/>
        <v>0</v>
      </c>
      <c r="J43" s="492">
        <v>0</v>
      </c>
      <c r="K43" s="493">
        <v>0</v>
      </c>
      <c r="L43" s="492">
        <v>0</v>
      </c>
      <c r="M43" s="493">
        <v>0</v>
      </c>
      <c r="N43" s="494">
        <v>20</v>
      </c>
      <c r="O43" s="495">
        <v>64</v>
      </c>
      <c r="P43" s="496" t="s">
        <v>795</v>
      </c>
    </row>
    <row r="44" spans="1:16" s="496" customFormat="1" ht="11.25">
      <c r="A44" s="486">
        <v>29</v>
      </c>
      <c r="B44" s="486" t="s">
        <v>29</v>
      </c>
      <c r="C44" s="486" t="s">
        <v>792</v>
      </c>
      <c r="D44" s="487" t="s">
        <v>848</v>
      </c>
      <c r="E44" s="488" t="s">
        <v>849</v>
      </c>
      <c r="F44" s="489" t="s">
        <v>850</v>
      </c>
      <c r="G44" s="490">
        <v>1</v>
      </c>
      <c r="H44" s="491"/>
      <c r="I44" s="491">
        <f t="shared" si="0"/>
        <v>0</v>
      </c>
      <c r="J44" s="492">
        <v>0</v>
      </c>
      <c r="K44" s="493">
        <v>0</v>
      </c>
      <c r="L44" s="492">
        <v>0</v>
      </c>
      <c r="M44" s="493">
        <v>0</v>
      </c>
      <c r="N44" s="494">
        <v>20</v>
      </c>
      <c r="O44" s="495">
        <v>64</v>
      </c>
      <c r="P44" s="496" t="s">
        <v>795</v>
      </c>
    </row>
    <row r="45" spans="1:16" s="496" customFormat="1" ht="11.25">
      <c r="A45" s="486">
        <v>30</v>
      </c>
      <c r="B45" s="486" t="s">
        <v>29</v>
      </c>
      <c r="C45" s="486" t="s">
        <v>792</v>
      </c>
      <c r="D45" s="487" t="s">
        <v>851</v>
      </c>
      <c r="E45" s="488" t="s">
        <v>852</v>
      </c>
      <c r="F45" s="489" t="s">
        <v>850</v>
      </c>
      <c r="G45" s="490">
        <v>1</v>
      </c>
      <c r="H45" s="491"/>
      <c r="I45" s="491">
        <f t="shared" si="0"/>
        <v>0</v>
      </c>
      <c r="J45" s="492">
        <v>0</v>
      </c>
      <c r="K45" s="493">
        <v>0</v>
      </c>
      <c r="L45" s="492">
        <v>0</v>
      </c>
      <c r="M45" s="493">
        <v>0</v>
      </c>
      <c r="N45" s="494">
        <v>20</v>
      </c>
      <c r="O45" s="495">
        <v>64</v>
      </c>
      <c r="P45" s="496" t="s">
        <v>795</v>
      </c>
    </row>
    <row r="46" spans="1:16" s="496" customFormat="1" ht="11.25">
      <c r="A46" s="503"/>
      <c r="B46" s="503"/>
      <c r="C46" s="503"/>
      <c r="D46" s="504"/>
      <c r="E46" s="505"/>
      <c r="F46" s="506"/>
      <c r="G46" s="507"/>
      <c r="H46" s="508"/>
      <c r="I46" s="508"/>
      <c r="J46" s="492"/>
      <c r="K46" s="493"/>
      <c r="L46" s="492"/>
      <c r="M46" s="493"/>
      <c r="N46" s="494"/>
      <c r="O46" s="495"/>
    </row>
    <row r="47" spans="1:16" s="468" customFormat="1" ht="11.25">
      <c r="B47" s="478" t="s">
        <v>468</v>
      </c>
      <c r="D47" s="478" t="s">
        <v>853</v>
      </c>
      <c r="E47" s="479" t="s">
        <v>854</v>
      </c>
      <c r="F47" s="480"/>
      <c r="G47" s="481"/>
      <c r="H47" s="482"/>
      <c r="I47" s="483">
        <f>SUM(I48:I72)</f>
        <v>0</v>
      </c>
      <c r="K47" s="484">
        <v>0.14777271479999998</v>
      </c>
      <c r="M47" s="484">
        <v>0</v>
      </c>
      <c r="P47" s="485" t="s">
        <v>791</v>
      </c>
    </row>
    <row r="48" spans="1:16" s="519" customFormat="1" ht="11.25">
      <c r="A48" s="509">
        <v>31</v>
      </c>
      <c r="B48" s="509" t="s">
        <v>83</v>
      </c>
      <c r="C48" s="509" t="s">
        <v>45</v>
      </c>
      <c r="D48" s="510" t="s">
        <v>855</v>
      </c>
      <c r="E48" s="511" t="s">
        <v>856</v>
      </c>
      <c r="F48" s="512" t="s">
        <v>19</v>
      </c>
      <c r="G48" s="513">
        <v>32</v>
      </c>
      <c r="H48" s="514"/>
      <c r="I48" s="514">
        <f t="shared" ref="I48:I71" si="1">ROUND(G48*H48,3)</f>
        <v>0</v>
      </c>
      <c r="J48" s="515">
        <v>0</v>
      </c>
      <c r="K48" s="516">
        <v>0</v>
      </c>
      <c r="L48" s="515">
        <v>0</v>
      </c>
      <c r="M48" s="516">
        <v>0</v>
      </c>
      <c r="N48" s="517">
        <v>20</v>
      </c>
      <c r="O48" s="518">
        <v>256</v>
      </c>
      <c r="P48" s="519" t="s">
        <v>795</v>
      </c>
    </row>
    <row r="49" spans="1:16" s="519" customFormat="1" ht="11.25">
      <c r="A49" s="509">
        <v>32</v>
      </c>
      <c r="B49" s="509" t="s">
        <v>83</v>
      </c>
      <c r="C49" s="509" t="s">
        <v>45</v>
      </c>
      <c r="D49" s="510" t="s">
        <v>857</v>
      </c>
      <c r="E49" s="511" t="s">
        <v>858</v>
      </c>
      <c r="F49" s="512" t="s">
        <v>19</v>
      </c>
      <c r="G49" s="513">
        <v>18</v>
      </c>
      <c r="H49" s="514"/>
      <c r="I49" s="514">
        <f t="shared" si="1"/>
        <v>0</v>
      </c>
      <c r="J49" s="515">
        <v>0</v>
      </c>
      <c r="K49" s="516">
        <v>0</v>
      </c>
      <c r="L49" s="515">
        <v>0</v>
      </c>
      <c r="M49" s="516">
        <v>0</v>
      </c>
      <c r="N49" s="517">
        <v>20</v>
      </c>
      <c r="O49" s="518">
        <v>256</v>
      </c>
      <c r="P49" s="519" t="s">
        <v>795</v>
      </c>
    </row>
    <row r="50" spans="1:16" s="519" customFormat="1" ht="11.25">
      <c r="A50" s="509">
        <v>33</v>
      </c>
      <c r="B50" s="509" t="s">
        <v>83</v>
      </c>
      <c r="C50" s="509" t="s">
        <v>45</v>
      </c>
      <c r="D50" s="510" t="s">
        <v>859</v>
      </c>
      <c r="E50" s="511" t="s">
        <v>860</v>
      </c>
      <c r="F50" s="512" t="s">
        <v>14</v>
      </c>
      <c r="G50" s="513">
        <v>20</v>
      </c>
      <c r="H50" s="514"/>
      <c r="I50" s="514">
        <f t="shared" si="1"/>
        <v>0</v>
      </c>
      <c r="J50" s="515">
        <v>0</v>
      </c>
      <c r="K50" s="516">
        <v>0</v>
      </c>
      <c r="L50" s="515">
        <v>0</v>
      </c>
      <c r="M50" s="516">
        <v>0</v>
      </c>
      <c r="N50" s="517">
        <v>20</v>
      </c>
      <c r="O50" s="518">
        <v>256</v>
      </c>
      <c r="P50" s="519" t="s">
        <v>795</v>
      </c>
    </row>
    <row r="51" spans="1:16" s="519" customFormat="1" ht="11.25">
      <c r="A51" s="509">
        <v>34</v>
      </c>
      <c r="B51" s="509" t="s">
        <v>83</v>
      </c>
      <c r="C51" s="509" t="s">
        <v>45</v>
      </c>
      <c r="D51" s="510" t="s">
        <v>861</v>
      </c>
      <c r="E51" s="511" t="s">
        <v>862</v>
      </c>
      <c r="F51" s="512" t="s">
        <v>14</v>
      </c>
      <c r="G51" s="513">
        <v>2</v>
      </c>
      <c r="H51" s="514"/>
      <c r="I51" s="514">
        <f t="shared" si="1"/>
        <v>0</v>
      </c>
      <c r="J51" s="515">
        <v>0</v>
      </c>
      <c r="K51" s="516">
        <v>0</v>
      </c>
      <c r="L51" s="515">
        <v>0</v>
      </c>
      <c r="M51" s="516">
        <v>0</v>
      </c>
      <c r="N51" s="517">
        <v>20</v>
      </c>
      <c r="O51" s="518">
        <v>256</v>
      </c>
      <c r="P51" s="519" t="s">
        <v>795</v>
      </c>
    </row>
    <row r="52" spans="1:16" s="519" customFormat="1" ht="11.25">
      <c r="A52" s="509">
        <v>35</v>
      </c>
      <c r="B52" s="509" t="s">
        <v>83</v>
      </c>
      <c r="C52" s="509" t="s">
        <v>45</v>
      </c>
      <c r="D52" s="510" t="s">
        <v>863</v>
      </c>
      <c r="E52" s="511" t="s">
        <v>864</v>
      </c>
      <c r="F52" s="512" t="s">
        <v>14</v>
      </c>
      <c r="G52" s="513">
        <v>15</v>
      </c>
      <c r="H52" s="514"/>
      <c r="I52" s="514">
        <f t="shared" si="1"/>
        <v>0</v>
      </c>
      <c r="J52" s="515">
        <v>1.14771E-4</v>
      </c>
      <c r="K52" s="516">
        <v>8.0339699999999997E-3</v>
      </c>
      <c r="L52" s="515">
        <v>0</v>
      </c>
      <c r="M52" s="516">
        <v>0</v>
      </c>
      <c r="N52" s="517">
        <v>20</v>
      </c>
      <c r="O52" s="518">
        <v>256</v>
      </c>
      <c r="P52" s="519" t="s">
        <v>795</v>
      </c>
    </row>
    <row r="53" spans="1:16" s="519" customFormat="1" ht="11.25">
      <c r="A53" s="509">
        <v>36</v>
      </c>
      <c r="B53" s="509" t="s">
        <v>83</v>
      </c>
      <c r="C53" s="509" t="s">
        <v>45</v>
      </c>
      <c r="D53" s="510" t="s">
        <v>865</v>
      </c>
      <c r="E53" s="511" t="s">
        <v>866</v>
      </c>
      <c r="F53" s="512" t="s">
        <v>14</v>
      </c>
      <c r="G53" s="513">
        <v>35</v>
      </c>
      <c r="H53" s="514"/>
      <c r="I53" s="514">
        <f t="shared" si="1"/>
        <v>0</v>
      </c>
      <c r="J53" s="515">
        <v>1.5684800000000001E-4</v>
      </c>
      <c r="K53" s="516">
        <v>1.0665664000000002E-2</v>
      </c>
      <c r="L53" s="515">
        <v>0</v>
      </c>
      <c r="M53" s="516">
        <v>0</v>
      </c>
      <c r="N53" s="517">
        <v>20</v>
      </c>
      <c r="O53" s="518">
        <v>256</v>
      </c>
      <c r="P53" s="519" t="s">
        <v>795</v>
      </c>
    </row>
    <row r="54" spans="1:16" s="519" customFormat="1" ht="11.25">
      <c r="A54" s="509">
        <v>37</v>
      </c>
      <c r="B54" s="509" t="s">
        <v>83</v>
      </c>
      <c r="C54" s="509" t="s">
        <v>45</v>
      </c>
      <c r="D54" s="510" t="s">
        <v>867</v>
      </c>
      <c r="E54" s="511" t="s">
        <v>868</v>
      </c>
      <c r="F54" s="512" t="s">
        <v>14</v>
      </c>
      <c r="G54" s="513">
        <v>220</v>
      </c>
      <c r="H54" s="514"/>
      <c r="I54" s="514">
        <f t="shared" si="1"/>
        <v>0</v>
      </c>
      <c r="J54" s="515">
        <v>9.7621599999999994E-5</v>
      </c>
      <c r="K54" s="516">
        <v>3.3972316799999999E-2</v>
      </c>
      <c r="L54" s="515">
        <v>0</v>
      </c>
      <c r="M54" s="516">
        <v>0</v>
      </c>
      <c r="N54" s="517">
        <v>20</v>
      </c>
      <c r="O54" s="518">
        <v>256</v>
      </c>
      <c r="P54" s="519" t="s">
        <v>795</v>
      </c>
    </row>
    <row r="55" spans="1:16" s="519" customFormat="1" ht="11.25">
      <c r="A55" s="509">
        <v>38</v>
      </c>
      <c r="B55" s="509" t="s">
        <v>83</v>
      </c>
      <c r="C55" s="509" t="s">
        <v>45</v>
      </c>
      <c r="D55" s="510" t="s">
        <v>869</v>
      </c>
      <c r="E55" s="511" t="s">
        <v>870</v>
      </c>
      <c r="F55" s="512" t="s">
        <v>14</v>
      </c>
      <c r="G55" s="513">
        <v>380</v>
      </c>
      <c r="H55" s="514"/>
      <c r="I55" s="514">
        <f t="shared" si="1"/>
        <v>0</v>
      </c>
      <c r="J55" s="515">
        <v>1.51459E-4</v>
      </c>
      <c r="K55" s="516">
        <v>7.3003237999999998E-2</v>
      </c>
      <c r="L55" s="515">
        <v>0</v>
      </c>
      <c r="M55" s="516">
        <v>0</v>
      </c>
      <c r="N55" s="517">
        <v>20</v>
      </c>
      <c r="O55" s="518">
        <v>256</v>
      </c>
      <c r="P55" s="519" t="s">
        <v>795</v>
      </c>
    </row>
    <row r="56" spans="1:16" s="519" customFormat="1" ht="11.25">
      <c r="A56" s="509">
        <v>39</v>
      </c>
      <c r="B56" s="509" t="s">
        <v>83</v>
      </c>
      <c r="C56" s="509" t="s">
        <v>45</v>
      </c>
      <c r="D56" s="510" t="s">
        <v>871</v>
      </c>
      <c r="E56" s="511" t="s">
        <v>872</v>
      </c>
      <c r="F56" s="512" t="s">
        <v>14</v>
      </c>
      <c r="G56" s="513">
        <v>6</v>
      </c>
      <c r="H56" s="514"/>
      <c r="I56" s="514">
        <f t="shared" si="1"/>
        <v>0</v>
      </c>
      <c r="J56" s="515">
        <v>4.77162E-4</v>
      </c>
      <c r="K56" s="516">
        <v>7.1574300000000002E-3</v>
      </c>
      <c r="L56" s="515">
        <v>0</v>
      </c>
      <c r="M56" s="516">
        <v>0</v>
      </c>
      <c r="N56" s="517">
        <v>20</v>
      </c>
      <c r="O56" s="518">
        <v>256</v>
      </c>
      <c r="P56" s="519" t="s">
        <v>795</v>
      </c>
    </row>
    <row r="57" spans="1:16" s="519" customFormat="1" ht="11.25">
      <c r="A57" s="509">
        <v>40</v>
      </c>
      <c r="B57" s="509" t="s">
        <v>83</v>
      </c>
      <c r="C57" s="509" t="s">
        <v>45</v>
      </c>
      <c r="D57" s="510" t="s">
        <v>873</v>
      </c>
      <c r="E57" s="511" t="s">
        <v>874</v>
      </c>
      <c r="F57" s="512" t="s">
        <v>14</v>
      </c>
      <c r="G57" s="513">
        <v>55</v>
      </c>
      <c r="H57" s="514"/>
      <c r="I57" s="514">
        <f t="shared" si="1"/>
        <v>0</v>
      </c>
      <c r="J57" s="515"/>
      <c r="K57" s="516"/>
      <c r="L57" s="515"/>
      <c r="M57" s="516"/>
      <c r="N57" s="517"/>
      <c r="O57" s="518"/>
    </row>
    <row r="58" spans="1:16" s="519" customFormat="1" ht="11.25">
      <c r="A58" s="509">
        <v>41</v>
      </c>
      <c r="B58" s="509" t="s">
        <v>83</v>
      </c>
      <c r="C58" s="509" t="s">
        <v>45</v>
      </c>
      <c r="D58" s="510" t="s">
        <v>875</v>
      </c>
      <c r="E58" s="511" t="s">
        <v>876</v>
      </c>
      <c r="F58" s="512" t="s">
        <v>19</v>
      </c>
      <c r="G58" s="513">
        <v>6</v>
      </c>
      <c r="H58" s="514"/>
      <c r="I58" s="514">
        <f t="shared" si="1"/>
        <v>0</v>
      </c>
      <c r="J58" s="515">
        <v>0</v>
      </c>
      <c r="K58" s="516">
        <v>0</v>
      </c>
      <c r="L58" s="515">
        <v>0</v>
      </c>
      <c r="M58" s="516">
        <v>0</v>
      </c>
      <c r="N58" s="517">
        <v>20</v>
      </c>
      <c r="O58" s="518">
        <v>256</v>
      </c>
      <c r="P58" s="519" t="s">
        <v>795</v>
      </c>
    </row>
    <row r="59" spans="1:16" s="519" customFormat="1" ht="11.25">
      <c r="A59" s="509">
        <v>42</v>
      </c>
      <c r="B59" s="509" t="s">
        <v>83</v>
      </c>
      <c r="C59" s="509" t="s">
        <v>45</v>
      </c>
      <c r="D59" s="510" t="s">
        <v>877</v>
      </c>
      <c r="E59" s="511" t="s">
        <v>878</v>
      </c>
      <c r="F59" s="512" t="s">
        <v>19</v>
      </c>
      <c r="G59" s="513">
        <v>2</v>
      </c>
      <c r="H59" s="514"/>
      <c r="I59" s="514">
        <f t="shared" si="1"/>
        <v>0</v>
      </c>
      <c r="J59" s="515">
        <v>0</v>
      </c>
      <c r="K59" s="516">
        <v>0</v>
      </c>
      <c r="L59" s="515">
        <v>0</v>
      </c>
      <c r="M59" s="516">
        <v>0</v>
      </c>
      <c r="N59" s="517">
        <v>20</v>
      </c>
      <c r="O59" s="518">
        <v>256</v>
      </c>
      <c r="P59" s="519" t="s">
        <v>795</v>
      </c>
    </row>
    <row r="60" spans="1:16" s="519" customFormat="1" ht="11.25">
      <c r="A60" s="509">
        <v>43</v>
      </c>
      <c r="B60" s="509" t="s">
        <v>83</v>
      </c>
      <c r="C60" s="509" t="s">
        <v>45</v>
      </c>
      <c r="D60" s="510" t="s">
        <v>879</v>
      </c>
      <c r="E60" s="511" t="s">
        <v>880</v>
      </c>
      <c r="F60" s="512" t="s">
        <v>19</v>
      </c>
      <c r="G60" s="513">
        <v>2</v>
      </c>
      <c r="H60" s="514"/>
      <c r="I60" s="514">
        <f t="shared" si="1"/>
        <v>0</v>
      </c>
      <c r="J60" s="515"/>
      <c r="K60" s="516"/>
      <c r="L60" s="515"/>
      <c r="M60" s="516"/>
      <c r="N60" s="517"/>
      <c r="O60" s="518"/>
    </row>
    <row r="61" spans="1:16" s="519" customFormat="1" ht="11.25">
      <c r="A61" s="509">
        <v>44</v>
      </c>
      <c r="B61" s="509" t="s">
        <v>83</v>
      </c>
      <c r="C61" s="509" t="s">
        <v>45</v>
      </c>
      <c r="D61" s="510" t="s">
        <v>881</v>
      </c>
      <c r="E61" s="511" t="s">
        <v>882</v>
      </c>
      <c r="F61" s="512" t="s">
        <v>19</v>
      </c>
      <c r="G61" s="513">
        <v>3</v>
      </c>
      <c r="H61" s="514"/>
      <c r="I61" s="514">
        <f>ROUND(G61*H61,3)</f>
        <v>0</v>
      </c>
      <c r="J61" s="515"/>
      <c r="K61" s="516"/>
      <c r="L61" s="515"/>
      <c r="M61" s="516"/>
      <c r="N61" s="517"/>
      <c r="O61" s="518"/>
    </row>
    <row r="62" spans="1:16" s="519" customFormat="1" ht="11.25">
      <c r="A62" s="509">
        <v>45</v>
      </c>
      <c r="B62" s="509" t="s">
        <v>83</v>
      </c>
      <c r="C62" s="509" t="s">
        <v>45</v>
      </c>
      <c r="D62" s="510" t="s">
        <v>883</v>
      </c>
      <c r="E62" s="511" t="s">
        <v>884</v>
      </c>
      <c r="F62" s="512" t="s">
        <v>19</v>
      </c>
      <c r="G62" s="513">
        <v>2</v>
      </c>
      <c r="H62" s="514"/>
      <c r="I62" s="514">
        <f>ROUND(G62*H62,3)</f>
        <v>0</v>
      </c>
      <c r="J62" s="515"/>
      <c r="K62" s="516"/>
      <c r="L62" s="515"/>
      <c r="M62" s="516"/>
      <c r="N62" s="517"/>
      <c r="O62" s="518"/>
    </row>
    <row r="63" spans="1:16" s="519" customFormat="1" ht="11.25">
      <c r="A63" s="509">
        <v>46</v>
      </c>
      <c r="B63" s="509" t="s">
        <v>83</v>
      </c>
      <c r="C63" s="509" t="s">
        <v>45</v>
      </c>
      <c r="D63" s="510" t="s">
        <v>885</v>
      </c>
      <c r="E63" s="511" t="s">
        <v>886</v>
      </c>
      <c r="F63" s="512" t="s">
        <v>19</v>
      </c>
      <c r="G63" s="513">
        <v>1</v>
      </c>
      <c r="H63" s="514"/>
      <c r="I63" s="514">
        <f t="shared" si="1"/>
        <v>0</v>
      </c>
      <c r="J63" s="515">
        <v>0</v>
      </c>
      <c r="K63" s="516">
        <v>0</v>
      </c>
      <c r="L63" s="515">
        <v>0</v>
      </c>
      <c r="M63" s="516">
        <v>0</v>
      </c>
      <c r="N63" s="517">
        <v>20</v>
      </c>
      <c r="O63" s="518">
        <v>256</v>
      </c>
      <c r="P63" s="519" t="s">
        <v>795</v>
      </c>
    </row>
    <row r="64" spans="1:16" s="519" customFormat="1" ht="11.25">
      <c r="A64" s="509">
        <v>47</v>
      </c>
      <c r="B64" s="509" t="s">
        <v>83</v>
      </c>
      <c r="C64" s="509" t="s">
        <v>45</v>
      </c>
      <c r="D64" s="510" t="s">
        <v>887</v>
      </c>
      <c r="E64" s="511" t="s">
        <v>888</v>
      </c>
      <c r="F64" s="512" t="s">
        <v>19</v>
      </c>
      <c r="G64" s="513">
        <v>17</v>
      </c>
      <c r="H64" s="514"/>
      <c r="I64" s="514">
        <f t="shared" si="1"/>
        <v>0</v>
      </c>
      <c r="J64" s="515">
        <v>9.0000000000000006E-5</v>
      </c>
      <c r="K64" s="516">
        <v>3.6000000000000002E-4</v>
      </c>
      <c r="L64" s="515">
        <v>0</v>
      </c>
      <c r="M64" s="516">
        <v>0</v>
      </c>
      <c r="N64" s="517">
        <v>20</v>
      </c>
      <c r="O64" s="518">
        <v>256</v>
      </c>
      <c r="P64" s="519" t="s">
        <v>795</v>
      </c>
    </row>
    <row r="65" spans="1:16" s="519" customFormat="1" ht="11.25">
      <c r="A65" s="509">
        <v>48</v>
      </c>
      <c r="B65" s="509" t="s">
        <v>83</v>
      </c>
      <c r="C65" s="509" t="s">
        <v>45</v>
      </c>
      <c r="D65" s="510" t="s">
        <v>889</v>
      </c>
      <c r="E65" s="511" t="s">
        <v>890</v>
      </c>
      <c r="F65" s="512" t="s">
        <v>19</v>
      </c>
      <c r="G65" s="513">
        <v>11</v>
      </c>
      <c r="H65" s="514"/>
      <c r="I65" s="514">
        <f t="shared" si="1"/>
        <v>0</v>
      </c>
      <c r="J65" s="515"/>
      <c r="K65" s="516"/>
      <c r="L65" s="515"/>
      <c r="M65" s="516"/>
      <c r="N65" s="517"/>
      <c r="O65" s="518"/>
    </row>
    <row r="66" spans="1:16" s="519" customFormat="1" ht="11.25">
      <c r="A66" s="509">
        <v>49</v>
      </c>
      <c r="B66" s="509" t="s">
        <v>83</v>
      </c>
      <c r="C66" s="509" t="s">
        <v>45</v>
      </c>
      <c r="D66" s="510" t="s">
        <v>891</v>
      </c>
      <c r="E66" s="511" t="s">
        <v>892</v>
      </c>
      <c r="F66" s="512" t="s">
        <v>19</v>
      </c>
      <c r="G66" s="513">
        <v>2</v>
      </c>
      <c r="H66" s="514"/>
      <c r="I66" s="514">
        <f t="shared" si="1"/>
        <v>0</v>
      </c>
      <c r="J66" s="515"/>
      <c r="K66" s="516"/>
      <c r="L66" s="515"/>
      <c r="M66" s="516"/>
      <c r="N66" s="517"/>
      <c r="O66" s="518"/>
    </row>
    <row r="67" spans="1:16" s="519" customFormat="1" ht="11.25">
      <c r="A67" s="509">
        <v>50</v>
      </c>
      <c r="B67" s="509" t="s">
        <v>83</v>
      </c>
      <c r="C67" s="509" t="s">
        <v>45</v>
      </c>
      <c r="D67" s="510" t="s">
        <v>893</v>
      </c>
      <c r="E67" s="511" t="s">
        <v>894</v>
      </c>
      <c r="F67" s="512" t="s">
        <v>19</v>
      </c>
      <c r="G67" s="513">
        <v>2</v>
      </c>
      <c r="H67" s="514"/>
      <c r="I67" s="514">
        <f t="shared" si="1"/>
        <v>0</v>
      </c>
      <c r="J67" s="515"/>
      <c r="K67" s="516"/>
      <c r="L67" s="515"/>
      <c r="M67" s="516"/>
      <c r="N67" s="517"/>
      <c r="O67" s="518"/>
    </row>
    <row r="68" spans="1:16" s="519" customFormat="1" ht="11.25">
      <c r="A68" s="509">
        <v>51</v>
      </c>
      <c r="B68" s="509" t="s">
        <v>83</v>
      </c>
      <c r="C68" s="509" t="s">
        <v>45</v>
      </c>
      <c r="D68" s="510" t="s">
        <v>895</v>
      </c>
      <c r="E68" s="511" t="s">
        <v>896</v>
      </c>
      <c r="F68" s="512" t="s">
        <v>19</v>
      </c>
      <c r="G68" s="513">
        <v>1</v>
      </c>
      <c r="H68" s="514"/>
      <c r="I68" s="514">
        <f t="shared" si="1"/>
        <v>0</v>
      </c>
      <c r="J68" s="515"/>
      <c r="K68" s="516"/>
      <c r="L68" s="515"/>
      <c r="M68" s="516"/>
      <c r="N68" s="517"/>
      <c r="O68" s="518"/>
    </row>
    <row r="69" spans="1:16" s="519" customFormat="1" ht="11.25">
      <c r="A69" s="509">
        <v>52</v>
      </c>
      <c r="B69" s="509" t="s">
        <v>83</v>
      </c>
      <c r="C69" s="509" t="s">
        <v>45</v>
      </c>
      <c r="D69" s="510" t="s">
        <v>897</v>
      </c>
      <c r="E69" s="511" t="s">
        <v>898</v>
      </c>
      <c r="F69" s="512" t="s">
        <v>19</v>
      </c>
      <c r="G69" s="513">
        <v>1</v>
      </c>
      <c r="H69" s="514"/>
      <c r="I69" s="514">
        <f>ROUND(G69*H69,3)</f>
        <v>0</v>
      </c>
      <c r="J69" s="515"/>
      <c r="K69" s="516"/>
      <c r="L69" s="515"/>
      <c r="M69" s="516"/>
      <c r="N69" s="517"/>
      <c r="O69" s="518"/>
    </row>
    <row r="70" spans="1:16" s="519" customFormat="1" ht="11.25">
      <c r="A70" s="509">
        <v>53</v>
      </c>
      <c r="B70" s="509" t="s">
        <v>83</v>
      </c>
      <c r="C70" s="509" t="s">
        <v>45</v>
      </c>
      <c r="D70" s="510" t="s">
        <v>899</v>
      </c>
      <c r="E70" s="511" t="s">
        <v>900</v>
      </c>
      <c r="F70" s="512" t="s">
        <v>19</v>
      </c>
      <c r="G70" s="513">
        <v>1</v>
      </c>
      <c r="H70" s="514"/>
      <c r="I70" s="514">
        <f t="shared" si="1"/>
        <v>0</v>
      </c>
      <c r="J70" s="515"/>
      <c r="K70" s="516"/>
      <c r="L70" s="515"/>
      <c r="M70" s="516"/>
      <c r="N70" s="517"/>
      <c r="O70" s="518"/>
    </row>
    <row r="71" spans="1:16" s="519" customFormat="1" ht="11.25">
      <c r="A71" s="509">
        <v>54</v>
      </c>
      <c r="B71" s="509" t="s">
        <v>83</v>
      </c>
      <c r="C71" s="509" t="s">
        <v>45</v>
      </c>
      <c r="D71" s="510" t="s">
        <v>901</v>
      </c>
      <c r="E71" s="511" t="s">
        <v>902</v>
      </c>
      <c r="F71" s="512" t="s">
        <v>19</v>
      </c>
      <c r="G71" s="513">
        <v>1</v>
      </c>
      <c r="H71" s="514"/>
      <c r="I71" s="514">
        <f t="shared" si="1"/>
        <v>0</v>
      </c>
      <c r="J71" s="515"/>
      <c r="K71" s="516"/>
      <c r="L71" s="515"/>
      <c r="M71" s="516"/>
      <c r="N71" s="517"/>
      <c r="O71" s="518"/>
    </row>
    <row r="72" spans="1:16" s="519" customFormat="1" ht="11.25">
      <c r="A72" s="509">
        <v>55</v>
      </c>
      <c r="B72" s="509" t="s">
        <v>83</v>
      </c>
      <c r="C72" s="509" t="s">
        <v>45</v>
      </c>
      <c r="D72" s="510" t="s">
        <v>903</v>
      </c>
      <c r="E72" s="511" t="s">
        <v>904</v>
      </c>
      <c r="F72" s="512" t="s">
        <v>475</v>
      </c>
      <c r="G72" s="513">
        <v>3</v>
      </c>
      <c r="H72" s="514"/>
      <c r="I72" s="514">
        <f>ROUND(G72*H72,3)</f>
        <v>0</v>
      </c>
      <c r="J72" s="515">
        <v>0</v>
      </c>
      <c r="K72" s="516">
        <v>0</v>
      </c>
      <c r="L72" s="515">
        <v>0</v>
      </c>
      <c r="M72" s="516">
        <v>0</v>
      </c>
      <c r="N72" s="517">
        <v>20</v>
      </c>
      <c r="O72" s="518">
        <v>256</v>
      </c>
      <c r="P72" s="519" t="s">
        <v>795</v>
      </c>
    </row>
    <row r="73" spans="1:16" s="496" customFormat="1" ht="11.25">
      <c r="A73" s="520"/>
      <c r="B73" s="520"/>
      <c r="C73" s="520"/>
      <c r="D73" s="521"/>
      <c r="E73" s="522"/>
      <c r="F73" s="523"/>
      <c r="G73" s="524"/>
      <c r="H73" s="525"/>
      <c r="I73" s="525"/>
      <c r="J73" s="526"/>
      <c r="K73" s="527"/>
      <c r="L73" s="526"/>
      <c r="M73" s="527"/>
      <c r="N73" s="528"/>
      <c r="O73" s="529"/>
      <c r="P73" s="530"/>
    </row>
    <row r="74" spans="1:16" s="468" customFormat="1" ht="11.25">
      <c r="B74" s="478" t="s">
        <v>470</v>
      </c>
      <c r="D74" s="478" t="s">
        <v>905</v>
      </c>
      <c r="E74" s="479" t="s">
        <v>906</v>
      </c>
      <c r="F74" s="480"/>
      <c r="G74" s="481"/>
      <c r="H74" s="482"/>
      <c r="I74" s="483">
        <f>SUM(I75:I84)</f>
        <v>0</v>
      </c>
      <c r="K74" s="484">
        <v>0</v>
      </c>
      <c r="M74" s="484">
        <v>0</v>
      </c>
      <c r="P74" s="485" t="s">
        <v>791</v>
      </c>
    </row>
    <row r="75" spans="1:16" s="496" customFormat="1" ht="22.5">
      <c r="A75" s="486">
        <v>56</v>
      </c>
      <c r="B75" s="486" t="s">
        <v>29</v>
      </c>
      <c r="C75" s="486" t="s">
        <v>792</v>
      </c>
      <c r="D75" s="487" t="s">
        <v>907</v>
      </c>
      <c r="E75" s="488" t="s">
        <v>908</v>
      </c>
      <c r="F75" s="489" t="s">
        <v>14</v>
      </c>
      <c r="G75" s="490">
        <v>58</v>
      </c>
      <c r="H75" s="491"/>
      <c r="I75" s="491">
        <f t="shared" ref="I75:I84" si="2">ROUND(G75*H75,3)</f>
        <v>0</v>
      </c>
      <c r="J75" s="492">
        <v>0</v>
      </c>
      <c r="K75" s="493">
        <v>0</v>
      </c>
      <c r="L75" s="492">
        <v>0</v>
      </c>
      <c r="M75" s="493">
        <v>0</v>
      </c>
      <c r="N75" s="494">
        <v>20</v>
      </c>
      <c r="O75" s="495">
        <v>64</v>
      </c>
      <c r="P75" s="496" t="s">
        <v>795</v>
      </c>
    </row>
    <row r="76" spans="1:16" s="496" customFormat="1" ht="22.5">
      <c r="A76" s="486">
        <v>57</v>
      </c>
      <c r="B76" s="486" t="s">
        <v>29</v>
      </c>
      <c r="C76" s="486" t="s">
        <v>792</v>
      </c>
      <c r="D76" s="487" t="s">
        <v>909</v>
      </c>
      <c r="E76" s="488" t="s">
        <v>910</v>
      </c>
      <c r="F76" s="489" t="s">
        <v>14</v>
      </c>
      <c r="G76" s="490">
        <v>20</v>
      </c>
      <c r="H76" s="491"/>
      <c r="I76" s="491">
        <f t="shared" si="2"/>
        <v>0</v>
      </c>
      <c r="J76" s="492">
        <v>0</v>
      </c>
      <c r="K76" s="493">
        <v>0</v>
      </c>
      <c r="L76" s="492">
        <v>0</v>
      </c>
      <c r="M76" s="493">
        <v>0</v>
      </c>
      <c r="N76" s="494">
        <v>20</v>
      </c>
      <c r="O76" s="495">
        <v>64</v>
      </c>
      <c r="P76" s="496" t="s">
        <v>795</v>
      </c>
    </row>
    <row r="77" spans="1:16" s="496" customFormat="1" ht="22.5">
      <c r="A77" s="486">
        <v>58</v>
      </c>
      <c r="B77" s="486" t="s">
        <v>29</v>
      </c>
      <c r="C77" s="486" t="s">
        <v>792</v>
      </c>
      <c r="D77" s="497" t="s">
        <v>911</v>
      </c>
      <c r="E77" s="531" t="s">
        <v>912</v>
      </c>
      <c r="F77" s="532" t="s">
        <v>14</v>
      </c>
      <c r="G77" s="533">
        <v>45</v>
      </c>
      <c r="H77" s="534"/>
      <c r="I77" s="491">
        <f t="shared" si="2"/>
        <v>0</v>
      </c>
      <c r="J77" s="492"/>
      <c r="K77" s="493"/>
      <c r="L77" s="492"/>
      <c r="M77" s="493"/>
      <c r="N77" s="494"/>
      <c r="O77" s="495"/>
    </row>
    <row r="78" spans="1:16" s="496" customFormat="1" ht="11.25">
      <c r="A78" s="486">
        <v>59</v>
      </c>
      <c r="B78" s="486" t="s">
        <v>29</v>
      </c>
      <c r="C78" s="486" t="s">
        <v>792</v>
      </c>
      <c r="D78" s="487" t="s">
        <v>913</v>
      </c>
      <c r="E78" s="488" t="s">
        <v>914</v>
      </c>
      <c r="F78" s="489" t="s">
        <v>19</v>
      </c>
      <c r="G78" s="490">
        <v>3</v>
      </c>
      <c r="H78" s="491"/>
      <c r="I78" s="491">
        <f t="shared" si="2"/>
        <v>0</v>
      </c>
      <c r="J78" s="492">
        <v>0</v>
      </c>
      <c r="K78" s="493">
        <v>0</v>
      </c>
      <c r="L78" s="492">
        <v>0</v>
      </c>
      <c r="M78" s="493">
        <v>0</v>
      </c>
      <c r="N78" s="494">
        <v>20</v>
      </c>
      <c r="O78" s="495">
        <v>64</v>
      </c>
      <c r="P78" s="496" t="s">
        <v>795</v>
      </c>
    </row>
    <row r="79" spans="1:16" s="496" customFormat="1" ht="11.25">
      <c r="A79" s="486">
        <v>60</v>
      </c>
      <c r="B79" s="486" t="s">
        <v>29</v>
      </c>
      <c r="C79" s="486" t="s">
        <v>792</v>
      </c>
      <c r="D79" s="487" t="s">
        <v>915</v>
      </c>
      <c r="E79" s="488" t="s">
        <v>916</v>
      </c>
      <c r="F79" s="489" t="s">
        <v>19</v>
      </c>
      <c r="G79" s="490">
        <v>14</v>
      </c>
      <c r="H79" s="491"/>
      <c r="I79" s="491">
        <f t="shared" si="2"/>
        <v>0</v>
      </c>
      <c r="J79" s="492">
        <v>0</v>
      </c>
      <c r="K79" s="493">
        <v>0</v>
      </c>
      <c r="L79" s="492">
        <v>0</v>
      </c>
      <c r="M79" s="493">
        <v>0</v>
      </c>
      <c r="N79" s="494">
        <v>20</v>
      </c>
      <c r="O79" s="495">
        <v>64</v>
      </c>
      <c r="P79" s="496" t="s">
        <v>795</v>
      </c>
    </row>
    <row r="80" spans="1:16" s="496" customFormat="1" ht="22.5">
      <c r="A80" s="486">
        <v>61</v>
      </c>
      <c r="B80" s="486" t="s">
        <v>29</v>
      </c>
      <c r="C80" s="486" t="s">
        <v>792</v>
      </c>
      <c r="D80" s="487" t="s">
        <v>917</v>
      </c>
      <c r="E80" s="488" t="s">
        <v>918</v>
      </c>
      <c r="F80" s="489" t="s">
        <v>19</v>
      </c>
      <c r="G80" s="490">
        <v>8</v>
      </c>
      <c r="H80" s="491"/>
      <c r="I80" s="491">
        <f t="shared" si="2"/>
        <v>0</v>
      </c>
      <c r="J80" s="492">
        <v>0</v>
      </c>
      <c r="K80" s="493">
        <v>0</v>
      </c>
      <c r="L80" s="492">
        <v>0</v>
      </c>
      <c r="M80" s="493">
        <v>0</v>
      </c>
      <c r="N80" s="494">
        <v>20</v>
      </c>
      <c r="O80" s="495">
        <v>64</v>
      </c>
      <c r="P80" s="496" t="s">
        <v>795</v>
      </c>
    </row>
    <row r="81" spans="1:16" s="496" customFormat="1" ht="22.5">
      <c r="A81" s="486">
        <v>62</v>
      </c>
      <c r="B81" s="535" t="s">
        <v>29</v>
      </c>
      <c r="C81" s="535" t="s">
        <v>792</v>
      </c>
      <c r="D81" s="536" t="s">
        <v>919</v>
      </c>
      <c r="E81" s="537" t="s">
        <v>920</v>
      </c>
      <c r="F81" s="535" t="s">
        <v>19</v>
      </c>
      <c r="G81" s="538">
        <v>3</v>
      </c>
      <c r="H81" s="539"/>
      <c r="I81" s="539">
        <f t="shared" si="2"/>
        <v>0</v>
      </c>
      <c r="J81" s="492">
        <v>0</v>
      </c>
      <c r="K81" s="493">
        <v>0</v>
      </c>
      <c r="L81" s="492">
        <v>0</v>
      </c>
      <c r="M81" s="493">
        <v>0</v>
      </c>
      <c r="N81" s="494">
        <v>20</v>
      </c>
      <c r="O81" s="495">
        <v>64</v>
      </c>
      <c r="P81" s="496" t="s">
        <v>795</v>
      </c>
    </row>
    <row r="82" spans="1:16" s="496" customFormat="1" ht="22.5">
      <c r="A82" s="486">
        <v>63</v>
      </c>
      <c r="B82" s="535" t="s">
        <v>29</v>
      </c>
      <c r="C82" s="535" t="s">
        <v>792</v>
      </c>
      <c r="D82" s="536" t="s">
        <v>921</v>
      </c>
      <c r="E82" s="537" t="s">
        <v>922</v>
      </c>
      <c r="F82" s="535" t="s">
        <v>14</v>
      </c>
      <c r="G82" s="538">
        <v>12</v>
      </c>
      <c r="H82" s="539"/>
      <c r="I82" s="539">
        <f t="shared" si="2"/>
        <v>0</v>
      </c>
      <c r="J82" s="492"/>
      <c r="K82" s="493"/>
      <c r="L82" s="492"/>
      <c r="M82" s="493"/>
      <c r="N82" s="494"/>
      <c r="O82" s="495"/>
    </row>
    <row r="83" spans="1:16" s="496" customFormat="1" ht="11.25">
      <c r="A83" s="486">
        <v>64</v>
      </c>
      <c r="B83" s="486" t="s">
        <v>29</v>
      </c>
      <c r="C83" s="486" t="s">
        <v>792</v>
      </c>
      <c r="D83" s="540" t="s">
        <v>923</v>
      </c>
      <c r="E83" s="541" t="s">
        <v>924</v>
      </c>
      <c r="F83" s="542" t="s">
        <v>14</v>
      </c>
      <c r="G83" s="543">
        <v>3</v>
      </c>
      <c r="H83" s="491"/>
      <c r="I83" s="491">
        <f t="shared" si="2"/>
        <v>0</v>
      </c>
      <c r="J83" s="492"/>
      <c r="K83" s="493"/>
      <c r="L83" s="492"/>
      <c r="M83" s="493"/>
      <c r="N83" s="494"/>
      <c r="O83" s="495"/>
    </row>
    <row r="84" spans="1:16" s="496" customFormat="1" ht="11.25">
      <c r="A84" s="486">
        <v>65</v>
      </c>
      <c r="B84" s="486" t="s">
        <v>29</v>
      </c>
      <c r="C84" s="486" t="s">
        <v>792</v>
      </c>
      <c r="D84" s="487" t="s">
        <v>846</v>
      </c>
      <c r="E84" s="488" t="s">
        <v>847</v>
      </c>
      <c r="F84" s="489" t="s">
        <v>475</v>
      </c>
      <c r="G84" s="490">
        <v>3</v>
      </c>
      <c r="H84" s="491"/>
      <c r="I84" s="491">
        <f t="shared" si="2"/>
        <v>0</v>
      </c>
      <c r="J84" s="492">
        <v>0</v>
      </c>
      <c r="K84" s="493">
        <v>0</v>
      </c>
      <c r="L84" s="492">
        <v>0</v>
      </c>
      <c r="M84" s="493">
        <v>0</v>
      </c>
      <c r="N84" s="494">
        <v>20</v>
      </c>
      <c r="O84" s="495">
        <v>64</v>
      </c>
      <c r="P84" s="496" t="s">
        <v>795</v>
      </c>
    </row>
    <row r="85" spans="1:16" s="496" customFormat="1" ht="11.25">
      <c r="A85" s="503"/>
      <c r="B85" s="503"/>
      <c r="C85" s="503"/>
      <c r="D85" s="504"/>
      <c r="E85" s="505"/>
      <c r="F85" s="506"/>
      <c r="G85" s="507"/>
      <c r="H85" s="508"/>
      <c r="I85" s="508"/>
      <c r="J85" s="492"/>
      <c r="K85" s="493"/>
      <c r="L85" s="492"/>
      <c r="M85" s="493"/>
      <c r="N85" s="494"/>
      <c r="O85" s="495"/>
    </row>
    <row r="86" spans="1:16" s="468" customFormat="1" ht="11.25">
      <c r="B86" s="478" t="s">
        <v>491</v>
      </c>
      <c r="D86" s="478" t="s">
        <v>925</v>
      </c>
      <c r="E86" s="479" t="s">
        <v>926</v>
      </c>
      <c r="F86" s="480"/>
      <c r="G86" s="481"/>
      <c r="H86" s="482"/>
      <c r="I86" s="483">
        <f>SUM(I87:I101)</f>
        <v>0</v>
      </c>
      <c r="K86" s="484">
        <v>8.4957133621107309E-2</v>
      </c>
      <c r="M86" s="484">
        <v>0</v>
      </c>
      <c r="P86" s="485" t="s">
        <v>791</v>
      </c>
    </row>
    <row r="87" spans="1:16" s="519" customFormat="1" ht="11.25">
      <c r="A87" s="509">
        <v>66</v>
      </c>
      <c r="B87" s="509" t="s">
        <v>83</v>
      </c>
      <c r="C87" s="509" t="s">
        <v>45</v>
      </c>
      <c r="D87" s="510" t="s">
        <v>927</v>
      </c>
      <c r="E87" s="511" t="s">
        <v>928</v>
      </c>
      <c r="F87" s="512" t="s">
        <v>20</v>
      </c>
      <c r="G87" s="513">
        <v>15</v>
      </c>
      <c r="H87" s="514"/>
      <c r="I87" s="514">
        <f>H87*G87</f>
        <v>0</v>
      </c>
      <c r="J87" s="515">
        <v>1E-3</v>
      </c>
      <c r="K87" s="516">
        <v>1.8000000000000002E-2</v>
      </c>
      <c r="L87" s="515">
        <v>0</v>
      </c>
      <c r="M87" s="516">
        <v>0</v>
      </c>
      <c r="N87" s="517">
        <v>20</v>
      </c>
      <c r="O87" s="518">
        <v>256</v>
      </c>
      <c r="P87" s="519" t="s">
        <v>795</v>
      </c>
    </row>
    <row r="88" spans="1:16" s="519" customFormat="1" ht="11.25">
      <c r="A88" s="509">
        <v>65</v>
      </c>
      <c r="B88" s="509" t="s">
        <v>83</v>
      </c>
      <c r="C88" s="509" t="s">
        <v>45</v>
      </c>
      <c r="D88" s="510" t="s">
        <v>929</v>
      </c>
      <c r="E88" s="511" t="s">
        <v>930</v>
      </c>
      <c r="F88" s="512" t="s">
        <v>20</v>
      </c>
      <c r="G88" s="513">
        <v>6.5</v>
      </c>
      <c r="H88" s="514"/>
      <c r="I88" s="514">
        <f t="shared" ref="I88:I101" si="3">H88*G88</f>
        <v>0</v>
      </c>
      <c r="J88" s="515">
        <v>1E-3</v>
      </c>
      <c r="K88" s="516">
        <v>3.4000000000000002E-2</v>
      </c>
      <c r="L88" s="515">
        <v>0</v>
      </c>
      <c r="M88" s="516">
        <v>0</v>
      </c>
      <c r="N88" s="517">
        <v>20</v>
      </c>
      <c r="O88" s="518">
        <v>256</v>
      </c>
      <c r="P88" s="519" t="s">
        <v>795</v>
      </c>
    </row>
    <row r="89" spans="1:16" s="519" customFormat="1" ht="11.25">
      <c r="A89" s="509">
        <v>64</v>
      </c>
      <c r="B89" s="509" t="s">
        <v>83</v>
      </c>
      <c r="C89" s="509" t="s">
        <v>45</v>
      </c>
      <c r="D89" s="510" t="s">
        <v>931</v>
      </c>
      <c r="E89" s="511" t="s">
        <v>932</v>
      </c>
      <c r="F89" s="512" t="s">
        <v>20</v>
      </c>
      <c r="G89" s="513">
        <v>2.5</v>
      </c>
      <c r="H89" s="514"/>
      <c r="I89" s="514">
        <f>H89*G89</f>
        <v>0</v>
      </c>
      <c r="J89" s="515"/>
      <c r="K89" s="516"/>
      <c r="L89" s="515"/>
      <c r="M89" s="516"/>
      <c r="N89" s="517"/>
      <c r="O89" s="518"/>
    </row>
    <row r="90" spans="1:16" s="519" customFormat="1" ht="11.25">
      <c r="A90" s="509">
        <v>63</v>
      </c>
      <c r="B90" s="509" t="s">
        <v>83</v>
      </c>
      <c r="C90" s="509" t="s">
        <v>45</v>
      </c>
      <c r="D90" s="510" t="s">
        <v>933</v>
      </c>
      <c r="E90" s="511" t="s">
        <v>934</v>
      </c>
      <c r="F90" s="512" t="s">
        <v>20</v>
      </c>
      <c r="G90" s="513">
        <v>45</v>
      </c>
      <c r="H90" s="514"/>
      <c r="I90" s="514">
        <f t="shared" si="3"/>
        <v>0</v>
      </c>
      <c r="J90" s="515"/>
      <c r="K90" s="516"/>
      <c r="L90" s="515"/>
      <c r="M90" s="516"/>
      <c r="N90" s="517"/>
      <c r="O90" s="518"/>
    </row>
    <row r="91" spans="1:16" s="519" customFormat="1" ht="11.25">
      <c r="A91" s="509">
        <v>62</v>
      </c>
      <c r="B91" s="509" t="s">
        <v>83</v>
      </c>
      <c r="C91" s="509" t="s">
        <v>45</v>
      </c>
      <c r="D91" s="510" t="s">
        <v>935</v>
      </c>
      <c r="E91" s="511" t="s">
        <v>936</v>
      </c>
      <c r="F91" s="512" t="s">
        <v>19</v>
      </c>
      <c r="G91" s="513">
        <v>3</v>
      </c>
      <c r="H91" s="514"/>
      <c r="I91" s="514">
        <f t="shared" si="3"/>
        <v>0</v>
      </c>
      <c r="J91" s="515">
        <v>1.4999999999999999E-4</v>
      </c>
      <c r="K91" s="516">
        <v>5.9999999999999995E-4</v>
      </c>
      <c r="L91" s="515">
        <v>0</v>
      </c>
      <c r="M91" s="516">
        <v>0</v>
      </c>
      <c r="N91" s="517">
        <v>20</v>
      </c>
      <c r="O91" s="518">
        <v>256</v>
      </c>
      <c r="P91" s="519" t="s">
        <v>795</v>
      </c>
    </row>
    <row r="92" spans="1:16" s="519" customFormat="1" ht="11.25">
      <c r="A92" s="509">
        <v>61</v>
      </c>
      <c r="B92" s="509" t="s">
        <v>83</v>
      </c>
      <c r="C92" s="509" t="s">
        <v>45</v>
      </c>
      <c r="D92" s="510" t="s">
        <v>933</v>
      </c>
      <c r="E92" s="511" t="s">
        <v>937</v>
      </c>
      <c r="F92" s="512" t="s">
        <v>19</v>
      </c>
      <c r="G92" s="513">
        <v>45</v>
      </c>
      <c r="H92" s="514"/>
      <c r="I92" s="514">
        <f t="shared" si="3"/>
        <v>0</v>
      </c>
      <c r="J92" s="515"/>
      <c r="K92" s="516"/>
      <c r="L92" s="515"/>
      <c r="M92" s="516"/>
      <c r="N92" s="517"/>
      <c r="O92" s="518"/>
    </row>
    <row r="93" spans="1:16" s="519" customFormat="1" ht="11.25">
      <c r="A93" s="509">
        <v>60</v>
      </c>
      <c r="B93" s="509" t="s">
        <v>83</v>
      </c>
      <c r="C93" s="509" t="s">
        <v>45</v>
      </c>
      <c r="D93" s="510" t="s">
        <v>938</v>
      </c>
      <c r="E93" s="511" t="s">
        <v>939</v>
      </c>
      <c r="F93" s="512" t="s">
        <v>19</v>
      </c>
      <c r="G93" s="513">
        <v>9</v>
      </c>
      <c r="H93" s="514"/>
      <c r="I93" s="514">
        <f t="shared" si="3"/>
        <v>0</v>
      </c>
      <c r="J93" s="515">
        <v>1.8989809019799201E-4</v>
      </c>
      <c r="K93" s="516">
        <v>3.4181656235638563E-3</v>
      </c>
      <c r="L93" s="515">
        <v>0</v>
      </c>
      <c r="M93" s="516">
        <v>0</v>
      </c>
      <c r="N93" s="517">
        <v>20</v>
      </c>
      <c r="O93" s="518">
        <v>256</v>
      </c>
      <c r="P93" s="519" t="s">
        <v>795</v>
      </c>
    </row>
    <row r="94" spans="1:16" s="519" customFormat="1" ht="11.25">
      <c r="A94" s="509">
        <v>59</v>
      </c>
      <c r="B94" s="509" t="s">
        <v>83</v>
      </c>
      <c r="C94" s="509" t="s">
        <v>45</v>
      </c>
      <c r="D94" s="510" t="s">
        <v>940</v>
      </c>
      <c r="E94" s="511" t="s">
        <v>941</v>
      </c>
      <c r="F94" s="512" t="s">
        <v>19</v>
      </c>
      <c r="G94" s="513">
        <v>3</v>
      </c>
      <c r="H94" s="514"/>
      <c r="I94" s="514">
        <f t="shared" si="3"/>
        <v>0</v>
      </c>
      <c r="J94" s="515">
        <v>4.9024347488262098E-4</v>
      </c>
      <c r="K94" s="516">
        <v>1.9609738995304839E-3</v>
      </c>
      <c r="L94" s="515">
        <v>0</v>
      </c>
      <c r="M94" s="516">
        <v>0</v>
      </c>
      <c r="N94" s="517">
        <v>20</v>
      </c>
      <c r="O94" s="518">
        <v>256</v>
      </c>
      <c r="P94" s="519" t="s">
        <v>795</v>
      </c>
    </row>
    <row r="95" spans="1:16" s="519" customFormat="1" ht="11.25">
      <c r="A95" s="509">
        <v>58</v>
      </c>
      <c r="B95" s="509" t="s">
        <v>83</v>
      </c>
      <c r="C95" s="509" t="s">
        <v>45</v>
      </c>
      <c r="D95" s="510" t="s">
        <v>942</v>
      </c>
      <c r="E95" s="511" t="s">
        <v>943</v>
      </c>
      <c r="F95" s="512" t="s">
        <v>19</v>
      </c>
      <c r="G95" s="513">
        <v>3</v>
      </c>
      <c r="H95" s="514"/>
      <c r="I95" s="514">
        <f t="shared" si="3"/>
        <v>0</v>
      </c>
      <c r="J95" s="515">
        <v>2.6828004112399302E-4</v>
      </c>
      <c r="K95" s="516">
        <v>1.0731201644959721E-3</v>
      </c>
      <c r="L95" s="515">
        <v>0</v>
      </c>
      <c r="M95" s="516">
        <v>0</v>
      </c>
      <c r="N95" s="517">
        <v>20</v>
      </c>
      <c r="O95" s="518">
        <v>256</v>
      </c>
      <c r="P95" s="519" t="s">
        <v>795</v>
      </c>
    </row>
    <row r="96" spans="1:16" s="519" customFormat="1" ht="11.25">
      <c r="A96" s="509">
        <v>57</v>
      </c>
      <c r="B96" s="509" t="s">
        <v>83</v>
      </c>
      <c r="C96" s="509" t="s">
        <v>45</v>
      </c>
      <c r="D96" s="510" t="s">
        <v>944</v>
      </c>
      <c r="E96" s="511" t="s">
        <v>945</v>
      </c>
      <c r="F96" s="512" t="s">
        <v>19</v>
      </c>
      <c r="G96" s="513">
        <v>3</v>
      </c>
      <c r="H96" s="514"/>
      <c r="I96" s="514">
        <f t="shared" si="3"/>
        <v>0</v>
      </c>
      <c r="J96" s="515"/>
      <c r="K96" s="516"/>
      <c r="L96" s="515"/>
      <c r="M96" s="516"/>
      <c r="N96" s="517"/>
      <c r="O96" s="518"/>
    </row>
    <row r="97" spans="1:16" s="519" customFormat="1" ht="11.25">
      <c r="A97" s="509">
        <v>56</v>
      </c>
      <c r="B97" s="509" t="s">
        <v>83</v>
      </c>
      <c r="C97" s="509" t="s">
        <v>45</v>
      </c>
      <c r="D97" s="510" t="s">
        <v>946</v>
      </c>
      <c r="E97" s="511" t="s">
        <v>947</v>
      </c>
      <c r="F97" s="512" t="s">
        <v>19</v>
      </c>
      <c r="G97" s="513">
        <v>4</v>
      </c>
      <c r="H97" s="514"/>
      <c r="I97" s="514">
        <f t="shared" si="3"/>
        <v>0</v>
      </c>
      <c r="J97" s="515"/>
      <c r="K97" s="516"/>
      <c r="L97" s="515"/>
      <c r="M97" s="516"/>
      <c r="N97" s="517"/>
      <c r="O97" s="518"/>
    </row>
    <row r="98" spans="1:16" s="519" customFormat="1" ht="11.25">
      <c r="A98" s="509">
        <v>55</v>
      </c>
      <c r="B98" s="544" t="s">
        <v>83</v>
      </c>
      <c r="C98" s="544" t="s">
        <v>45</v>
      </c>
      <c r="D98" s="545" t="s">
        <v>948</v>
      </c>
      <c r="E98" s="546" t="s">
        <v>949</v>
      </c>
      <c r="F98" s="544" t="s">
        <v>19</v>
      </c>
      <c r="G98" s="547">
        <v>3</v>
      </c>
      <c r="H98" s="548"/>
      <c r="I98" s="548">
        <f>H98*G98</f>
        <v>0</v>
      </c>
      <c r="J98" s="515"/>
      <c r="K98" s="516"/>
      <c r="L98" s="515"/>
      <c r="M98" s="516"/>
      <c r="N98" s="517"/>
      <c r="O98" s="518"/>
    </row>
    <row r="99" spans="1:16" s="519" customFormat="1" ht="11.25">
      <c r="A99" s="509">
        <v>54</v>
      </c>
      <c r="B99" s="544" t="s">
        <v>83</v>
      </c>
      <c r="C99" s="544" t="s">
        <v>45</v>
      </c>
      <c r="D99" s="545" t="s">
        <v>950</v>
      </c>
      <c r="E99" s="546" t="s">
        <v>951</v>
      </c>
      <c r="F99" s="544" t="s">
        <v>14</v>
      </c>
      <c r="G99" s="547">
        <v>12</v>
      </c>
      <c r="H99" s="548"/>
      <c r="I99" s="548">
        <f>H99*G99</f>
        <v>0</v>
      </c>
      <c r="J99" s="515"/>
      <c r="K99" s="516"/>
      <c r="L99" s="515"/>
      <c r="M99" s="516"/>
      <c r="N99" s="517"/>
      <c r="O99" s="518"/>
    </row>
    <row r="100" spans="1:16" s="519" customFormat="1" ht="11.25">
      <c r="A100" s="509">
        <v>53</v>
      </c>
      <c r="B100" s="509" t="s">
        <v>83</v>
      </c>
      <c r="C100" s="509" t="s">
        <v>45</v>
      </c>
      <c r="D100" s="510" t="s">
        <v>952</v>
      </c>
      <c r="E100" s="511" t="s">
        <v>953</v>
      </c>
      <c r="F100" s="512" t="s">
        <v>20</v>
      </c>
      <c r="G100" s="513">
        <v>0.5</v>
      </c>
      <c r="H100" s="514"/>
      <c r="I100" s="514">
        <f t="shared" si="3"/>
        <v>0</v>
      </c>
      <c r="J100" s="515"/>
      <c r="K100" s="516"/>
      <c r="L100" s="515"/>
      <c r="M100" s="516"/>
      <c r="N100" s="517"/>
      <c r="O100" s="518"/>
    </row>
    <row r="101" spans="1:16" s="519" customFormat="1" ht="11.25">
      <c r="A101" s="509">
        <v>52</v>
      </c>
      <c r="B101" s="509" t="s">
        <v>83</v>
      </c>
      <c r="C101" s="509" t="s">
        <v>45</v>
      </c>
      <c r="D101" s="510" t="s">
        <v>903</v>
      </c>
      <c r="E101" s="511" t="s">
        <v>904</v>
      </c>
      <c r="F101" s="512" t="s">
        <v>475</v>
      </c>
      <c r="G101" s="513">
        <v>3</v>
      </c>
      <c r="H101" s="514"/>
      <c r="I101" s="514">
        <f t="shared" si="3"/>
        <v>0</v>
      </c>
      <c r="J101" s="515">
        <v>0</v>
      </c>
      <c r="K101" s="516">
        <v>0</v>
      </c>
      <c r="L101" s="515">
        <v>0</v>
      </c>
      <c r="M101" s="516">
        <v>0</v>
      </c>
      <c r="N101" s="517">
        <v>20</v>
      </c>
      <c r="O101" s="518">
        <v>256</v>
      </c>
      <c r="P101" s="519" t="s">
        <v>795</v>
      </c>
    </row>
    <row r="102" spans="1:16" s="549" customFormat="1" ht="11.25">
      <c r="D102" s="550"/>
      <c r="E102" s="551"/>
      <c r="F102" s="552"/>
      <c r="G102" s="553"/>
      <c r="H102" s="554"/>
      <c r="I102" s="555"/>
      <c r="K102" s="556"/>
      <c r="M102" s="556"/>
    </row>
    <row r="103" spans="1:16">
      <c r="A103" s="468"/>
      <c r="B103" s="478" t="s">
        <v>442</v>
      </c>
      <c r="C103" s="557"/>
      <c r="D103" s="478" t="s">
        <v>954</v>
      </c>
      <c r="E103" s="485" t="s">
        <v>955</v>
      </c>
      <c r="F103" s="480"/>
      <c r="G103" s="558"/>
      <c r="H103" s="559"/>
      <c r="I103" s="483">
        <f>SUM(I104:I110)</f>
        <v>0</v>
      </c>
    </row>
    <row r="104" spans="1:16">
      <c r="A104" s="486">
        <v>53</v>
      </c>
      <c r="B104" s="486" t="s">
        <v>29</v>
      </c>
      <c r="C104" s="486" t="s">
        <v>956</v>
      </c>
      <c r="D104" s="487" t="s">
        <v>957</v>
      </c>
      <c r="E104" s="488" t="s">
        <v>958</v>
      </c>
      <c r="F104" s="489" t="s">
        <v>14</v>
      </c>
      <c r="G104" s="490">
        <v>30</v>
      </c>
      <c r="H104" s="491"/>
      <c r="I104" s="491">
        <f t="shared" ref="I104:I110" si="4">ROUND(G104*H104,3)</f>
        <v>0</v>
      </c>
    </row>
    <row r="105" spans="1:16">
      <c r="A105" s="486">
        <v>54</v>
      </c>
      <c r="B105" s="486" t="s">
        <v>29</v>
      </c>
      <c r="C105" s="486">
        <v>946</v>
      </c>
      <c r="D105" s="560" t="s">
        <v>959</v>
      </c>
      <c r="E105" s="500" t="s">
        <v>960</v>
      </c>
      <c r="F105" s="499" t="s">
        <v>14</v>
      </c>
      <c r="G105" s="561">
        <v>18</v>
      </c>
      <c r="H105" s="491"/>
      <c r="I105" s="491">
        <f t="shared" si="4"/>
        <v>0</v>
      </c>
    </row>
    <row r="106" spans="1:16">
      <c r="A106" s="486">
        <v>55</v>
      </c>
      <c r="B106" s="486" t="s">
        <v>29</v>
      </c>
      <c r="C106" s="486" t="s">
        <v>956</v>
      </c>
      <c r="D106" s="487" t="s">
        <v>961</v>
      </c>
      <c r="E106" s="488" t="s">
        <v>962</v>
      </c>
      <c r="F106" s="489" t="s">
        <v>14</v>
      </c>
      <c r="G106" s="490">
        <v>30</v>
      </c>
      <c r="H106" s="491"/>
      <c r="I106" s="491">
        <f t="shared" si="4"/>
        <v>0</v>
      </c>
    </row>
    <row r="107" spans="1:16">
      <c r="A107" s="486">
        <v>56</v>
      </c>
      <c r="B107" s="486" t="s">
        <v>29</v>
      </c>
      <c r="C107" s="486">
        <v>946</v>
      </c>
      <c r="D107" s="560">
        <v>460560283</v>
      </c>
      <c r="E107" s="500" t="s">
        <v>963</v>
      </c>
      <c r="F107" s="499" t="s">
        <v>14</v>
      </c>
      <c r="G107" s="561">
        <v>18</v>
      </c>
      <c r="H107" s="491"/>
      <c r="I107" s="491">
        <f t="shared" si="4"/>
        <v>0</v>
      </c>
    </row>
    <row r="108" spans="1:16">
      <c r="A108" s="486">
        <v>57</v>
      </c>
      <c r="B108" s="486" t="s">
        <v>29</v>
      </c>
      <c r="C108" s="562" t="s">
        <v>956</v>
      </c>
      <c r="D108" s="563" t="s">
        <v>964</v>
      </c>
      <c r="E108" s="564" t="s">
        <v>965</v>
      </c>
      <c r="F108" s="565" t="s">
        <v>14</v>
      </c>
      <c r="G108" s="566">
        <v>18</v>
      </c>
      <c r="H108" s="567"/>
      <c r="I108" s="491">
        <f t="shared" si="4"/>
        <v>0</v>
      </c>
    </row>
    <row r="109" spans="1:16" ht="22.5">
      <c r="A109" s="486">
        <v>58</v>
      </c>
      <c r="B109" s="486" t="s">
        <v>29</v>
      </c>
      <c r="C109" s="562" t="s">
        <v>956</v>
      </c>
      <c r="D109" s="560" t="s">
        <v>966</v>
      </c>
      <c r="E109" s="500" t="s">
        <v>967</v>
      </c>
      <c r="F109" s="499" t="s">
        <v>14</v>
      </c>
      <c r="G109" s="561">
        <v>30</v>
      </c>
      <c r="H109" s="568"/>
      <c r="I109" s="491">
        <f t="shared" si="4"/>
        <v>0</v>
      </c>
    </row>
    <row r="110" spans="1:16" ht="22.5">
      <c r="A110" s="486">
        <v>59</v>
      </c>
      <c r="B110" s="486" t="s">
        <v>29</v>
      </c>
      <c r="C110" s="486" t="s">
        <v>956</v>
      </c>
      <c r="D110" s="487" t="s">
        <v>968</v>
      </c>
      <c r="E110" s="488" t="s">
        <v>969</v>
      </c>
      <c r="F110" s="489" t="s">
        <v>14</v>
      </c>
      <c r="G110" s="490">
        <v>48</v>
      </c>
      <c r="H110" s="491"/>
      <c r="I110" s="491">
        <f t="shared" si="4"/>
        <v>0</v>
      </c>
    </row>
    <row r="111" spans="1:16" ht="12" customHeight="1"/>
    <row r="112" spans="1:16">
      <c r="B112" s="478" t="s">
        <v>970</v>
      </c>
      <c r="C112" s="557"/>
      <c r="D112" s="478" t="s">
        <v>971</v>
      </c>
      <c r="E112" s="485" t="s">
        <v>972</v>
      </c>
      <c r="F112" s="478"/>
      <c r="I112" s="574">
        <f>SUM(I113:I116)</f>
        <v>0</v>
      </c>
    </row>
    <row r="113" spans="1:9">
      <c r="A113" s="575">
        <v>60</v>
      </c>
      <c r="B113" s="575" t="s">
        <v>83</v>
      </c>
      <c r="C113" s="575" t="s">
        <v>45</v>
      </c>
      <c r="D113" s="576" t="s">
        <v>973</v>
      </c>
      <c r="E113" s="577" t="s">
        <v>974</v>
      </c>
      <c r="F113" s="578" t="s">
        <v>14</v>
      </c>
      <c r="G113" s="579">
        <v>48</v>
      </c>
      <c r="H113" s="580"/>
      <c r="I113" s="580">
        <f>ROUND(G113*H113,3)</f>
        <v>0</v>
      </c>
    </row>
    <row r="114" spans="1:9">
      <c r="A114" s="575">
        <v>61</v>
      </c>
      <c r="B114" s="581" t="s">
        <v>83</v>
      </c>
      <c r="C114" s="581" t="s">
        <v>45</v>
      </c>
      <c r="D114" s="581" t="s">
        <v>975</v>
      </c>
      <c r="E114" s="582" t="s">
        <v>976</v>
      </c>
      <c r="F114" s="583" t="s">
        <v>14</v>
      </c>
      <c r="G114" s="584">
        <v>18</v>
      </c>
      <c r="H114" s="585"/>
      <c r="I114" s="580">
        <f>ROUND(G114*H114,3)</f>
        <v>0</v>
      </c>
    </row>
    <row r="115" spans="1:9">
      <c r="A115" s="575">
        <v>62</v>
      </c>
      <c r="B115" s="575" t="s">
        <v>83</v>
      </c>
      <c r="C115" s="575" t="s">
        <v>45</v>
      </c>
      <c r="D115" s="576" t="s">
        <v>977</v>
      </c>
      <c r="E115" s="582" t="s">
        <v>978</v>
      </c>
      <c r="F115" s="583" t="s">
        <v>19</v>
      </c>
      <c r="G115" s="584">
        <v>30</v>
      </c>
      <c r="H115" s="585"/>
      <c r="I115" s="580">
        <f>ROUND(G115*H115,3)</f>
        <v>0</v>
      </c>
    </row>
    <row r="116" spans="1:9">
      <c r="A116" s="575">
        <v>63</v>
      </c>
      <c r="B116" s="581" t="s">
        <v>83</v>
      </c>
      <c r="C116" s="581" t="s">
        <v>45</v>
      </c>
      <c r="D116" s="581">
        <v>5832645155</v>
      </c>
      <c r="E116" s="582" t="s">
        <v>979</v>
      </c>
      <c r="F116" s="583" t="s">
        <v>12</v>
      </c>
      <c r="G116" s="584">
        <v>2.5</v>
      </c>
      <c r="H116" s="585"/>
      <c r="I116" s="580">
        <f>ROUND(G116*H116,3)</f>
        <v>0</v>
      </c>
    </row>
  </sheetData>
  <mergeCells count="1">
    <mergeCell ref="A1:H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66"/>
    <pageSetUpPr fitToPage="1"/>
  </sheetPr>
  <dimension ref="A1:J184"/>
  <sheetViews>
    <sheetView workbookViewId="0">
      <selection activeCell="D31" sqref="D31"/>
    </sheetView>
  </sheetViews>
  <sheetFormatPr defaultColWidth="9.140625" defaultRowHeight="12.75"/>
  <cols>
    <col min="1" max="1" width="3.7109375" style="426" customWidth="1"/>
    <col min="2" max="2" width="65.85546875" style="427" customWidth="1"/>
    <col min="3" max="3" width="16.7109375" style="426" customWidth="1"/>
    <col min="4" max="4" width="8.28515625" style="426" customWidth="1"/>
    <col min="5" max="5" width="8.28515625" style="427" customWidth="1"/>
    <col min="6" max="6" width="9.85546875" style="426" customWidth="1"/>
    <col min="7" max="7" width="14.7109375" style="426" customWidth="1"/>
    <col min="8" max="8" width="10.85546875" style="426" customWidth="1"/>
    <col min="9" max="9" width="12.42578125" style="426" customWidth="1"/>
    <col min="10" max="10" width="12" style="427" customWidth="1"/>
    <col min="11" max="16384" width="9.140625" style="427"/>
  </cols>
  <sheetData>
    <row r="1" spans="1:10" s="383" customFormat="1" ht="18">
      <c r="A1" s="1110" t="s">
        <v>662</v>
      </c>
      <c r="B1" s="1110"/>
      <c r="C1" s="1110"/>
      <c r="D1" s="1110"/>
      <c r="E1" s="1110"/>
      <c r="F1" s="1110"/>
      <c r="G1" s="1110"/>
      <c r="H1" s="1110"/>
      <c r="I1" s="382"/>
      <c r="J1" s="382"/>
    </row>
    <row r="2" spans="1:10" s="383" customFormat="1" ht="15.75">
      <c r="A2" s="431" t="s">
        <v>511</v>
      </c>
      <c r="C2" s="430" t="s">
        <v>552</v>
      </c>
      <c r="J2" s="386"/>
    </row>
    <row r="3" spans="1:10" s="383" customFormat="1" ht="12.75" customHeight="1">
      <c r="A3" s="384" t="s">
        <v>553</v>
      </c>
      <c r="C3" s="385" t="s">
        <v>554</v>
      </c>
      <c r="H3" s="1117"/>
      <c r="I3" s="1117"/>
      <c r="J3" s="386"/>
    </row>
    <row r="4" spans="1:10" s="383" customFormat="1" ht="12.75" customHeight="1">
      <c r="A4" s="384" t="s">
        <v>555</v>
      </c>
      <c r="C4" s="385" t="s">
        <v>556</v>
      </c>
      <c r="H4" s="1117"/>
      <c r="I4" s="1117"/>
      <c r="J4" s="386"/>
    </row>
    <row r="5" spans="1:10" s="383" customFormat="1" ht="12.75" customHeight="1">
      <c r="A5" s="384" t="s">
        <v>557</v>
      </c>
      <c r="C5" s="385" t="s">
        <v>661</v>
      </c>
      <c r="D5" s="387"/>
      <c r="H5" s="1117"/>
      <c r="I5" s="1117"/>
      <c r="J5" s="386"/>
    </row>
    <row r="6" spans="1:10" s="383" customFormat="1">
      <c r="A6" s="384" t="s">
        <v>558</v>
      </c>
      <c r="C6" s="385" t="s">
        <v>559</v>
      </c>
      <c r="J6" s="386"/>
    </row>
    <row r="7" spans="1:10" s="383" customFormat="1">
      <c r="A7" s="388" t="s">
        <v>560</v>
      </c>
      <c r="B7" s="389"/>
      <c r="C7" s="390" t="s">
        <v>561</v>
      </c>
      <c r="D7" s="389"/>
      <c r="E7" s="389"/>
      <c r="F7" s="389"/>
      <c r="G7" s="389"/>
      <c r="H7" s="389"/>
      <c r="I7" s="389"/>
      <c r="J7" s="391"/>
    </row>
    <row r="8" spans="1:10" s="393" customFormat="1" ht="14.25" customHeight="1">
      <c r="A8" s="392"/>
      <c r="C8" s="394"/>
      <c r="D8" s="394"/>
      <c r="F8" s="394"/>
      <c r="G8" s="394"/>
      <c r="H8" s="394"/>
      <c r="I8" s="394"/>
    </row>
    <row r="9" spans="1:10" s="398" customFormat="1" ht="45" customHeight="1">
      <c r="A9" s="395" t="s">
        <v>562</v>
      </c>
      <c r="B9" s="396" t="s">
        <v>563</v>
      </c>
      <c r="C9" s="397" t="s">
        <v>564</v>
      </c>
      <c r="D9" s="397" t="s">
        <v>565</v>
      </c>
      <c r="E9" s="397" t="s">
        <v>566</v>
      </c>
      <c r="F9" s="397" t="s">
        <v>567</v>
      </c>
      <c r="G9" s="397" t="s">
        <v>568</v>
      </c>
      <c r="H9" s="397" t="s">
        <v>569</v>
      </c>
      <c r="I9" s="397" t="s">
        <v>570</v>
      </c>
      <c r="J9" s="397" t="s">
        <v>571</v>
      </c>
    </row>
    <row r="10" spans="1:10" s="402" customFormat="1" ht="13.5" customHeight="1">
      <c r="A10" s="399">
        <f>ROW()-10</f>
        <v>0</v>
      </c>
      <c r="B10" s="400" t="s">
        <v>572</v>
      </c>
      <c r="C10" s="400"/>
      <c r="D10" s="400"/>
      <c r="E10" s="400"/>
      <c r="F10" s="400"/>
      <c r="G10" s="400"/>
      <c r="H10" s="400"/>
      <c r="I10" s="400"/>
      <c r="J10" s="401"/>
    </row>
    <row r="11" spans="1:10" s="411" customFormat="1">
      <c r="A11" s="403">
        <f>ROW()-10</f>
        <v>1</v>
      </c>
      <c r="B11" s="404" t="s">
        <v>573</v>
      </c>
      <c r="C11" s="405" t="s">
        <v>574</v>
      </c>
      <c r="D11" s="406" t="s">
        <v>19</v>
      </c>
      <c r="E11" s="407">
        <v>1</v>
      </c>
      <c r="F11" s="408"/>
      <c r="G11" s="409">
        <f t="shared" ref="G11:G56" si="0">F11*E11</f>
        <v>0</v>
      </c>
      <c r="H11" s="409"/>
      <c r="I11" s="409">
        <f t="shared" ref="I11:I56" si="1">H11*E11</f>
        <v>0</v>
      </c>
      <c r="J11" s="410"/>
    </row>
    <row r="12" spans="1:10" s="411" customFormat="1">
      <c r="A12" s="403">
        <f t="shared" ref="A12:A60" si="2">ROW()-10</f>
        <v>2</v>
      </c>
      <c r="B12" s="404" t="s">
        <v>575</v>
      </c>
      <c r="C12" s="405" t="s">
        <v>576</v>
      </c>
      <c r="D12" s="406" t="s">
        <v>19</v>
      </c>
      <c r="E12" s="407">
        <f>E11</f>
        <v>1</v>
      </c>
      <c r="F12" s="408"/>
      <c r="G12" s="409">
        <f t="shared" si="0"/>
        <v>0</v>
      </c>
      <c r="H12" s="409"/>
      <c r="I12" s="409">
        <f t="shared" si="1"/>
        <v>0</v>
      </c>
      <c r="J12" s="410"/>
    </row>
    <row r="13" spans="1:10" s="411" customFormat="1">
      <c r="A13" s="403">
        <f t="shared" si="2"/>
        <v>3</v>
      </c>
      <c r="B13" s="404" t="s">
        <v>577</v>
      </c>
      <c r="C13" s="405" t="s">
        <v>578</v>
      </c>
      <c r="D13" s="406" t="s">
        <v>19</v>
      </c>
      <c r="E13" s="407">
        <v>2</v>
      </c>
      <c r="F13" s="408"/>
      <c r="G13" s="409">
        <f t="shared" si="0"/>
        <v>0</v>
      </c>
      <c r="H13" s="409"/>
      <c r="I13" s="409">
        <f t="shared" si="1"/>
        <v>0</v>
      </c>
      <c r="J13" s="410"/>
    </row>
    <row r="14" spans="1:10" s="411" customFormat="1">
      <c r="A14" s="403">
        <f t="shared" si="2"/>
        <v>4</v>
      </c>
      <c r="B14" s="404" t="s">
        <v>579</v>
      </c>
      <c r="C14" s="405" t="s">
        <v>580</v>
      </c>
      <c r="D14" s="406" t="s">
        <v>19</v>
      </c>
      <c r="E14" s="407">
        <f>E11</f>
        <v>1</v>
      </c>
      <c r="F14" s="408"/>
      <c r="G14" s="409">
        <f t="shared" si="0"/>
        <v>0</v>
      </c>
      <c r="H14" s="409"/>
      <c r="I14" s="409">
        <f t="shared" si="1"/>
        <v>0</v>
      </c>
      <c r="J14" s="410"/>
    </row>
    <row r="15" spans="1:10" s="411" customFormat="1">
      <c r="A15" s="403">
        <f t="shared" si="2"/>
        <v>5</v>
      </c>
      <c r="B15" s="404" t="s">
        <v>581</v>
      </c>
      <c r="C15" s="405" t="s">
        <v>582</v>
      </c>
      <c r="D15" s="406" t="s">
        <v>19</v>
      </c>
      <c r="E15" s="407">
        <v>2</v>
      </c>
      <c r="F15" s="408"/>
      <c r="G15" s="409">
        <f t="shared" si="0"/>
        <v>0</v>
      </c>
      <c r="H15" s="409"/>
      <c r="I15" s="409">
        <f t="shared" si="1"/>
        <v>0</v>
      </c>
      <c r="J15" s="410"/>
    </row>
    <row r="16" spans="1:10" s="411" customFormat="1">
      <c r="A16" s="403">
        <f t="shared" si="2"/>
        <v>6</v>
      </c>
      <c r="B16" s="404" t="s">
        <v>583</v>
      </c>
      <c r="C16" s="405" t="s">
        <v>584</v>
      </c>
      <c r="D16" s="406" t="s">
        <v>19</v>
      </c>
      <c r="E16" s="407">
        <v>1</v>
      </c>
      <c r="F16" s="408"/>
      <c r="G16" s="409">
        <f t="shared" si="0"/>
        <v>0</v>
      </c>
      <c r="H16" s="409"/>
      <c r="I16" s="409">
        <f t="shared" si="1"/>
        <v>0</v>
      </c>
      <c r="J16" s="410"/>
    </row>
    <row r="17" spans="1:10" s="411" customFormat="1">
      <c r="A17" s="403">
        <f t="shared" si="2"/>
        <v>7</v>
      </c>
      <c r="B17" s="404" t="s">
        <v>585</v>
      </c>
      <c r="C17" s="405" t="s">
        <v>586</v>
      </c>
      <c r="D17" s="406" t="s">
        <v>587</v>
      </c>
      <c r="E17" s="407">
        <f>E11</f>
        <v>1</v>
      </c>
      <c r="F17" s="408"/>
      <c r="G17" s="409">
        <f t="shared" si="0"/>
        <v>0</v>
      </c>
      <c r="H17" s="409"/>
      <c r="I17" s="409">
        <f t="shared" si="1"/>
        <v>0</v>
      </c>
      <c r="J17" s="410"/>
    </row>
    <row r="18" spans="1:10" s="411" customFormat="1" ht="13.9" customHeight="1">
      <c r="A18" s="403">
        <f t="shared" si="2"/>
        <v>8</v>
      </c>
      <c r="B18" s="412" t="s">
        <v>588</v>
      </c>
      <c r="C18" s="405" t="s">
        <v>589</v>
      </c>
      <c r="D18" s="406" t="s">
        <v>19</v>
      </c>
      <c r="E18" s="407">
        <v>1</v>
      </c>
      <c r="F18" s="408"/>
      <c r="G18" s="409">
        <f>F18*E18</f>
        <v>0</v>
      </c>
      <c r="H18" s="409"/>
      <c r="I18" s="409">
        <f>H18*E18</f>
        <v>0</v>
      </c>
      <c r="J18" s="410"/>
    </row>
    <row r="19" spans="1:10" s="411" customFormat="1">
      <c r="A19" s="403">
        <f t="shared" si="2"/>
        <v>9</v>
      </c>
      <c r="B19" s="412" t="s">
        <v>590</v>
      </c>
      <c r="C19" s="405" t="s">
        <v>591</v>
      </c>
      <c r="D19" s="406" t="s">
        <v>19</v>
      </c>
      <c r="E19" s="407">
        <v>2</v>
      </c>
      <c r="F19" s="408"/>
      <c r="G19" s="409">
        <f>F19*E19</f>
        <v>0</v>
      </c>
      <c r="H19" s="409"/>
      <c r="I19" s="409">
        <f>H19*E19</f>
        <v>0</v>
      </c>
      <c r="J19" s="410"/>
    </row>
    <row r="20" spans="1:10" s="411" customFormat="1">
      <c r="A20" s="403">
        <f t="shared" si="2"/>
        <v>10</v>
      </c>
      <c r="B20" s="412" t="s">
        <v>592</v>
      </c>
      <c r="C20" s="405" t="s">
        <v>593</v>
      </c>
      <c r="D20" s="406" t="s">
        <v>14</v>
      </c>
      <c r="E20" s="407">
        <v>100</v>
      </c>
      <c r="F20" s="408"/>
      <c r="G20" s="409">
        <f>F20*E20</f>
        <v>0</v>
      </c>
      <c r="H20" s="409"/>
      <c r="I20" s="409">
        <f>H20*E20</f>
        <v>0</v>
      </c>
      <c r="J20" s="410"/>
    </row>
    <row r="21" spans="1:10" s="411" customFormat="1">
      <c r="A21" s="403">
        <f t="shared" si="2"/>
        <v>11</v>
      </c>
      <c r="B21" s="412" t="s">
        <v>594</v>
      </c>
      <c r="C21" s="405" t="s">
        <v>595</v>
      </c>
      <c r="D21" s="406" t="s">
        <v>14</v>
      </c>
      <c r="E21" s="407">
        <v>80</v>
      </c>
      <c r="F21" s="408"/>
      <c r="G21" s="409">
        <f>F21*E21</f>
        <v>0</v>
      </c>
      <c r="H21" s="409"/>
      <c r="I21" s="409">
        <f>H21*E21</f>
        <v>0</v>
      </c>
      <c r="J21" s="410"/>
    </row>
    <row r="22" spans="1:10" s="411" customFormat="1">
      <c r="A22" s="403">
        <f t="shared" si="2"/>
        <v>12</v>
      </c>
      <c r="B22" s="404" t="s">
        <v>596</v>
      </c>
      <c r="C22" s="405" t="s">
        <v>597</v>
      </c>
      <c r="D22" s="406" t="s">
        <v>19</v>
      </c>
      <c r="E22" s="407">
        <v>1</v>
      </c>
      <c r="F22" s="408"/>
      <c r="G22" s="409">
        <f t="shared" si="0"/>
        <v>0</v>
      </c>
      <c r="H22" s="409"/>
      <c r="I22" s="409">
        <f t="shared" si="1"/>
        <v>0</v>
      </c>
      <c r="J22" s="410"/>
    </row>
    <row r="23" spans="1:10" s="411" customFormat="1">
      <c r="A23" s="403">
        <f t="shared" si="2"/>
        <v>13</v>
      </c>
      <c r="B23" s="404" t="s">
        <v>598</v>
      </c>
      <c r="C23" s="405" t="s">
        <v>599</v>
      </c>
      <c r="D23" s="406" t="s">
        <v>19</v>
      </c>
      <c r="E23" s="407">
        <v>19</v>
      </c>
      <c r="F23" s="408"/>
      <c r="G23" s="409">
        <f t="shared" si="0"/>
        <v>0</v>
      </c>
      <c r="H23" s="409"/>
      <c r="I23" s="409">
        <f t="shared" si="1"/>
        <v>0</v>
      </c>
      <c r="J23" s="410"/>
    </row>
    <row r="24" spans="1:10" s="411" customFormat="1">
      <c r="A24" s="403">
        <f t="shared" si="2"/>
        <v>14</v>
      </c>
      <c r="B24" s="404" t="s">
        <v>600</v>
      </c>
      <c r="C24" s="405" t="s">
        <v>601</v>
      </c>
      <c r="D24" s="406" t="s">
        <v>19</v>
      </c>
      <c r="E24" s="407">
        <v>8</v>
      </c>
      <c r="F24" s="408"/>
      <c r="G24" s="409">
        <f t="shared" si="0"/>
        <v>0</v>
      </c>
      <c r="H24" s="409"/>
      <c r="I24" s="409">
        <f t="shared" si="1"/>
        <v>0</v>
      </c>
      <c r="J24" s="410"/>
    </row>
    <row r="25" spans="1:10" s="411" customFormat="1">
      <c r="A25" s="403">
        <f t="shared" si="2"/>
        <v>15</v>
      </c>
      <c r="B25" s="404" t="s">
        <v>602</v>
      </c>
      <c r="C25" s="405" t="s">
        <v>603</v>
      </c>
      <c r="D25" s="406" t="s">
        <v>19</v>
      </c>
      <c r="E25" s="407">
        <v>2</v>
      </c>
      <c r="F25" s="408"/>
      <c r="G25" s="409">
        <f t="shared" si="0"/>
        <v>0</v>
      </c>
      <c r="H25" s="409"/>
      <c r="I25" s="409">
        <f t="shared" si="1"/>
        <v>0</v>
      </c>
      <c r="J25" s="410"/>
    </row>
    <row r="26" spans="1:10" s="411" customFormat="1">
      <c r="A26" s="403">
        <f t="shared" si="2"/>
        <v>16</v>
      </c>
      <c r="B26" s="404" t="s">
        <v>604</v>
      </c>
      <c r="C26" s="405" t="s">
        <v>605</v>
      </c>
      <c r="D26" s="406" t="s">
        <v>19</v>
      </c>
      <c r="E26" s="407">
        <v>2</v>
      </c>
      <c r="F26" s="408"/>
      <c r="G26" s="409">
        <f t="shared" si="0"/>
        <v>0</v>
      </c>
      <c r="H26" s="409"/>
      <c r="I26" s="409">
        <f t="shared" si="1"/>
        <v>0</v>
      </c>
      <c r="J26" s="410"/>
    </row>
    <row r="27" spans="1:10" s="411" customFormat="1">
      <c r="A27" s="403">
        <f t="shared" si="2"/>
        <v>17</v>
      </c>
      <c r="B27" s="404" t="s">
        <v>606</v>
      </c>
      <c r="C27" s="405" t="s">
        <v>607</v>
      </c>
      <c r="D27" s="406" t="s">
        <v>19</v>
      </c>
      <c r="E27" s="407">
        <v>4</v>
      </c>
      <c r="F27" s="408"/>
      <c r="G27" s="409">
        <f t="shared" si="0"/>
        <v>0</v>
      </c>
      <c r="H27" s="409"/>
      <c r="I27" s="409">
        <f t="shared" si="1"/>
        <v>0</v>
      </c>
      <c r="J27" s="410"/>
    </row>
    <row r="28" spans="1:10" s="411" customFormat="1">
      <c r="A28" s="403">
        <f t="shared" si="2"/>
        <v>18</v>
      </c>
      <c r="B28" s="404" t="s">
        <v>608</v>
      </c>
      <c r="C28" s="405" t="s">
        <v>609</v>
      </c>
      <c r="D28" s="406" t="s">
        <v>14</v>
      </c>
      <c r="E28" s="407">
        <v>30</v>
      </c>
      <c r="F28" s="408"/>
      <c r="G28" s="409">
        <f t="shared" si="0"/>
        <v>0</v>
      </c>
      <c r="H28" s="409"/>
      <c r="I28" s="409">
        <f t="shared" si="1"/>
        <v>0</v>
      </c>
      <c r="J28" s="410"/>
    </row>
    <row r="29" spans="1:10" s="411" customFormat="1" ht="25.5">
      <c r="A29" s="403">
        <f t="shared" si="2"/>
        <v>19</v>
      </c>
      <c r="B29" s="404" t="s">
        <v>610</v>
      </c>
      <c r="C29" s="405" t="s">
        <v>611</v>
      </c>
      <c r="D29" s="406" t="s">
        <v>19</v>
      </c>
      <c r="E29" s="407">
        <v>1</v>
      </c>
      <c r="F29" s="408"/>
      <c r="G29" s="409">
        <f t="shared" si="0"/>
        <v>0</v>
      </c>
      <c r="H29" s="409"/>
      <c r="I29" s="409">
        <f t="shared" si="1"/>
        <v>0</v>
      </c>
      <c r="J29" s="410"/>
    </row>
    <row r="30" spans="1:10" s="411" customFormat="1">
      <c r="A30" s="403">
        <f t="shared" si="2"/>
        <v>20</v>
      </c>
      <c r="B30" s="404" t="s">
        <v>612</v>
      </c>
      <c r="C30" s="405" t="s">
        <v>613</v>
      </c>
      <c r="D30" s="406" t="s">
        <v>14</v>
      </c>
      <c r="E30" s="407">
        <v>20</v>
      </c>
      <c r="F30" s="408"/>
      <c r="G30" s="409">
        <f t="shared" si="0"/>
        <v>0</v>
      </c>
      <c r="H30" s="409"/>
      <c r="I30" s="409">
        <f t="shared" si="1"/>
        <v>0</v>
      </c>
      <c r="J30" s="410"/>
    </row>
    <row r="31" spans="1:10" s="411" customFormat="1">
      <c r="A31" s="403">
        <f t="shared" si="2"/>
        <v>21</v>
      </c>
      <c r="B31" s="404" t="s">
        <v>614</v>
      </c>
      <c r="C31" s="405" t="s">
        <v>615</v>
      </c>
      <c r="D31" s="406" t="s">
        <v>14</v>
      </c>
      <c r="E31" s="407">
        <v>20</v>
      </c>
      <c r="F31" s="408"/>
      <c r="G31" s="409">
        <f t="shared" si="0"/>
        <v>0</v>
      </c>
      <c r="H31" s="409"/>
      <c r="I31" s="409">
        <f t="shared" si="1"/>
        <v>0</v>
      </c>
      <c r="J31" s="410"/>
    </row>
    <row r="32" spans="1:10" s="411" customFormat="1">
      <c r="A32" s="403">
        <f t="shared" si="2"/>
        <v>22</v>
      </c>
      <c r="B32" s="404" t="s">
        <v>616</v>
      </c>
      <c r="C32" s="405" t="s">
        <v>617</v>
      </c>
      <c r="D32" s="406" t="s">
        <v>14</v>
      </c>
      <c r="E32" s="407">
        <v>20</v>
      </c>
      <c r="F32" s="408"/>
      <c r="G32" s="409">
        <f t="shared" si="0"/>
        <v>0</v>
      </c>
      <c r="H32" s="409"/>
      <c r="I32" s="409">
        <f t="shared" si="1"/>
        <v>0</v>
      </c>
      <c r="J32" s="410"/>
    </row>
    <row r="33" spans="1:10" s="411" customFormat="1">
      <c r="A33" s="403">
        <f t="shared" si="2"/>
        <v>23</v>
      </c>
      <c r="B33" s="404" t="s">
        <v>618</v>
      </c>
      <c r="C33" s="405" t="s">
        <v>619</v>
      </c>
      <c r="D33" s="406" t="s">
        <v>19</v>
      </c>
      <c r="E33" s="407">
        <v>4</v>
      </c>
      <c r="F33" s="408"/>
      <c r="G33" s="409">
        <f t="shared" si="0"/>
        <v>0</v>
      </c>
      <c r="H33" s="409"/>
      <c r="I33" s="409">
        <f t="shared" si="1"/>
        <v>0</v>
      </c>
      <c r="J33" s="410"/>
    </row>
    <row r="34" spans="1:10" s="411" customFormat="1">
      <c r="A34" s="403">
        <f t="shared" si="2"/>
        <v>24</v>
      </c>
      <c r="B34" s="404" t="s">
        <v>620</v>
      </c>
      <c r="C34" s="405" t="s">
        <v>621</v>
      </c>
      <c r="D34" s="406" t="s">
        <v>19</v>
      </c>
      <c r="E34" s="407">
        <v>5</v>
      </c>
      <c r="F34" s="408"/>
      <c r="G34" s="409">
        <f>F34*E34</f>
        <v>0</v>
      </c>
      <c r="H34" s="409"/>
      <c r="I34" s="409">
        <f>H34*E34</f>
        <v>0</v>
      </c>
      <c r="J34" s="410"/>
    </row>
    <row r="35" spans="1:10" s="411" customFormat="1">
      <c r="A35" s="403">
        <f t="shared" si="2"/>
        <v>25</v>
      </c>
      <c r="B35" s="404" t="s">
        <v>622</v>
      </c>
      <c r="C35" s="405" t="s">
        <v>623</v>
      </c>
      <c r="D35" s="406" t="s">
        <v>19</v>
      </c>
      <c r="E35" s="407">
        <v>12</v>
      </c>
      <c r="F35" s="408"/>
      <c r="G35" s="409">
        <f>F35*E35</f>
        <v>0</v>
      </c>
      <c r="H35" s="409"/>
      <c r="I35" s="409">
        <f>H35*E35</f>
        <v>0</v>
      </c>
      <c r="J35" s="410"/>
    </row>
    <row r="36" spans="1:10" s="418" customFormat="1" ht="13.9" customHeight="1">
      <c r="A36" s="407">
        <f t="shared" si="2"/>
        <v>26</v>
      </c>
      <c r="B36" s="413" t="s">
        <v>624</v>
      </c>
      <c r="C36" s="414"/>
      <c r="D36" s="415"/>
      <c r="E36" s="407"/>
      <c r="F36" s="416"/>
      <c r="G36" s="1106">
        <f>SUM(G11:G35)</f>
        <v>0</v>
      </c>
      <c r="H36" s="416"/>
      <c r="I36" s="417">
        <f>SUM(I11:I35)</f>
        <v>0</v>
      </c>
      <c r="J36" s="415"/>
    </row>
    <row r="37" spans="1:10" s="411" customFormat="1">
      <c r="A37" s="399">
        <f t="shared" si="2"/>
        <v>27</v>
      </c>
      <c r="B37" s="400" t="s">
        <v>625</v>
      </c>
      <c r="C37" s="400"/>
      <c r="D37" s="400"/>
      <c r="E37" s="400"/>
      <c r="F37" s="400"/>
      <c r="G37" s="419"/>
      <c r="H37" s="400"/>
      <c r="I37" s="419"/>
      <c r="J37" s="401"/>
    </row>
    <row r="38" spans="1:10" s="411" customFormat="1">
      <c r="A38" s="403">
        <f t="shared" si="2"/>
        <v>28</v>
      </c>
      <c r="B38" s="420" t="s">
        <v>626</v>
      </c>
      <c r="C38" s="405"/>
      <c r="D38" s="406"/>
      <c r="E38" s="407" t="s">
        <v>627</v>
      </c>
      <c r="F38" s="408"/>
      <c r="G38" s="409"/>
      <c r="H38" s="409"/>
      <c r="I38" s="409"/>
      <c r="J38" s="410"/>
    </row>
    <row r="39" spans="1:10" s="411" customFormat="1" ht="38.25">
      <c r="A39" s="403">
        <f t="shared" si="2"/>
        <v>29</v>
      </c>
      <c r="B39" s="404" t="s">
        <v>628</v>
      </c>
      <c r="C39" s="405" t="s">
        <v>629</v>
      </c>
      <c r="D39" s="406" t="s">
        <v>19</v>
      </c>
      <c r="E39" s="407">
        <v>1</v>
      </c>
      <c r="F39" s="408"/>
      <c r="G39" s="409">
        <f t="shared" ref="G39:G40" si="3">F39*E39</f>
        <v>0</v>
      </c>
      <c r="H39" s="409"/>
      <c r="I39" s="409">
        <f t="shared" ref="I39:I40" si="4">H39*E39</f>
        <v>0</v>
      </c>
      <c r="J39" s="410"/>
    </row>
    <row r="40" spans="1:10" s="411" customFormat="1" ht="25.5">
      <c r="A40" s="403">
        <f t="shared" si="2"/>
        <v>30</v>
      </c>
      <c r="B40" s="404" t="s">
        <v>630</v>
      </c>
      <c r="C40" s="405" t="s">
        <v>627</v>
      </c>
      <c r="D40" s="406" t="s">
        <v>19</v>
      </c>
      <c r="E40" s="407">
        <v>1</v>
      </c>
      <c r="F40" s="408"/>
      <c r="G40" s="409">
        <f t="shared" si="3"/>
        <v>0</v>
      </c>
      <c r="H40" s="409"/>
      <c r="I40" s="409">
        <f t="shared" si="4"/>
        <v>0</v>
      </c>
      <c r="J40" s="410"/>
    </row>
    <row r="41" spans="1:10" s="411" customFormat="1">
      <c r="A41" s="403">
        <f t="shared" si="2"/>
        <v>31</v>
      </c>
      <c r="B41" s="420" t="s">
        <v>631</v>
      </c>
      <c r="C41" s="405"/>
      <c r="D41" s="406"/>
      <c r="E41" s="407"/>
      <c r="F41" s="408"/>
      <c r="G41" s="409"/>
      <c r="H41" s="409"/>
      <c r="I41" s="409"/>
      <c r="J41" s="410"/>
    </row>
    <row r="42" spans="1:10" s="411" customFormat="1" ht="25.5">
      <c r="A42" s="403">
        <f t="shared" si="2"/>
        <v>32</v>
      </c>
      <c r="B42" s="404" t="s">
        <v>632</v>
      </c>
      <c r="C42" s="405" t="s">
        <v>633</v>
      </c>
      <c r="D42" s="406" t="s">
        <v>19</v>
      </c>
      <c r="E42" s="407">
        <v>1</v>
      </c>
      <c r="F42" s="408"/>
      <c r="G42" s="409">
        <f t="shared" ref="G42:G43" si="5">F42*E42</f>
        <v>0</v>
      </c>
      <c r="H42" s="409"/>
      <c r="I42" s="409">
        <f t="shared" ref="I42:I43" si="6">H42*E42</f>
        <v>0</v>
      </c>
      <c r="J42" s="410"/>
    </row>
    <row r="43" spans="1:10" s="411" customFormat="1" ht="25.5">
      <c r="A43" s="403">
        <f t="shared" si="2"/>
        <v>33</v>
      </c>
      <c r="B43" s="404" t="s">
        <v>634</v>
      </c>
      <c r="C43" s="405" t="s">
        <v>627</v>
      </c>
      <c r="D43" s="406" t="s">
        <v>19</v>
      </c>
      <c r="E43" s="407">
        <v>1</v>
      </c>
      <c r="F43" s="408"/>
      <c r="G43" s="409">
        <f t="shared" si="5"/>
        <v>0</v>
      </c>
      <c r="H43" s="409"/>
      <c r="I43" s="409">
        <f t="shared" si="6"/>
        <v>0</v>
      </c>
      <c r="J43" s="410"/>
    </row>
    <row r="44" spans="1:10" s="418" customFormat="1" ht="13.9" customHeight="1">
      <c r="A44" s="403">
        <f t="shared" si="2"/>
        <v>34</v>
      </c>
      <c r="B44" s="421" t="s">
        <v>635</v>
      </c>
      <c r="C44" s="422"/>
      <c r="D44" s="423"/>
      <c r="E44" s="407"/>
      <c r="F44" s="424"/>
      <c r="G44" s="425">
        <f>SUM(G39:G40,G42:G43)</f>
        <v>0</v>
      </c>
      <c r="H44" s="424"/>
      <c r="I44" s="425">
        <f>SUM(I39:I40,I42:I43)</f>
        <v>0</v>
      </c>
      <c r="J44" s="423"/>
    </row>
    <row r="45" spans="1:10" s="402" customFormat="1" ht="13.5" customHeight="1">
      <c r="A45" s="399">
        <f t="shared" si="2"/>
        <v>35</v>
      </c>
      <c r="B45" s="400" t="s">
        <v>636</v>
      </c>
      <c r="C45" s="400"/>
      <c r="D45" s="400"/>
      <c r="E45" s="400"/>
      <c r="F45" s="400"/>
      <c r="G45" s="419"/>
      <c r="H45" s="400"/>
      <c r="I45" s="419"/>
      <c r="J45" s="401"/>
    </row>
    <row r="46" spans="1:10" s="411" customFormat="1" ht="76.5">
      <c r="A46" s="403">
        <f t="shared" si="2"/>
        <v>36</v>
      </c>
      <c r="B46" s="404" t="s">
        <v>637</v>
      </c>
      <c r="C46" s="405" t="s">
        <v>638</v>
      </c>
      <c r="D46" s="406" t="s">
        <v>19</v>
      </c>
      <c r="E46" s="407">
        <v>1</v>
      </c>
      <c r="F46" s="408"/>
      <c r="G46" s="409">
        <f t="shared" ref="G46:G51" si="7">F46*E46</f>
        <v>0</v>
      </c>
      <c r="H46" s="409"/>
      <c r="I46" s="409">
        <f t="shared" ref="I46:I51" si="8">H46*E46</f>
        <v>0</v>
      </c>
      <c r="J46" s="410"/>
    </row>
    <row r="47" spans="1:10" s="411" customFormat="1">
      <c r="A47" s="403">
        <f t="shared" si="2"/>
        <v>37</v>
      </c>
      <c r="B47" s="404" t="s">
        <v>639</v>
      </c>
      <c r="C47" s="405" t="s">
        <v>627</v>
      </c>
      <c r="D47" s="406" t="s">
        <v>19</v>
      </c>
      <c r="E47" s="407">
        <v>1</v>
      </c>
      <c r="F47" s="408"/>
      <c r="G47" s="409">
        <f t="shared" si="7"/>
        <v>0</v>
      </c>
      <c r="H47" s="409"/>
      <c r="I47" s="409">
        <f t="shared" si="8"/>
        <v>0</v>
      </c>
      <c r="J47" s="410"/>
    </row>
    <row r="48" spans="1:10" s="411" customFormat="1">
      <c r="A48" s="403">
        <f t="shared" si="2"/>
        <v>38</v>
      </c>
      <c r="B48" s="404" t="s">
        <v>640</v>
      </c>
      <c r="C48" s="405" t="s">
        <v>641</v>
      </c>
      <c r="D48" s="406" t="s">
        <v>19</v>
      </c>
      <c r="E48" s="407">
        <v>1</v>
      </c>
      <c r="F48" s="408"/>
      <c r="G48" s="409">
        <f t="shared" si="7"/>
        <v>0</v>
      </c>
      <c r="H48" s="409"/>
      <c r="I48" s="409">
        <f t="shared" si="8"/>
        <v>0</v>
      </c>
      <c r="J48" s="410"/>
    </row>
    <row r="49" spans="1:10" s="411" customFormat="1">
      <c r="A49" s="403">
        <f t="shared" si="2"/>
        <v>39</v>
      </c>
      <c r="B49" s="404" t="s">
        <v>642</v>
      </c>
      <c r="C49" s="405" t="s">
        <v>643</v>
      </c>
      <c r="D49" s="406" t="s">
        <v>19</v>
      </c>
      <c r="E49" s="407">
        <v>1</v>
      </c>
      <c r="F49" s="408"/>
      <c r="G49" s="409">
        <f t="shared" si="7"/>
        <v>0</v>
      </c>
      <c r="H49" s="409"/>
      <c r="I49" s="409">
        <f t="shared" si="8"/>
        <v>0</v>
      </c>
      <c r="J49" s="410"/>
    </row>
    <row r="50" spans="1:10" s="411" customFormat="1" ht="25.5">
      <c r="A50" s="403">
        <f t="shared" si="2"/>
        <v>40</v>
      </c>
      <c r="B50" s="404" t="s">
        <v>644</v>
      </c>
      <c r="C50" s="405" t="s">
        <v>645</v>
      </c>
      <c r="D50" s="406" t="s">
        <v>19</v>
      </c>
      <c r="E50" s="407">
        <v>1</v>
      </c>
      <c r="F50" s="408"/>
      <c r="G50" s="409">
        <f t="shared" si="7"/>
        <v>0</v>
      </c>
      <c r="H50" s="409"/>
      <c r="I50" s="409">
        <f t="shared" si="8"/>
        <v>0</v>
      </c>
      <c r="J50" s="410"/>
    </row>
    <row r="51" spans="1:10" s="411" customFormat="1" ht="63.75">
      <c r="A51" s="403">
        <f t="shared" si="2"/>
        <v>41</v>
      </c>
      <c r="B51" s="404" t="s">
        <v>646</v>
      </c>
      <c r="C51" s="405" t="s">
        <v>647</v>
      </c>
      <c r="D51" s="406" t="s">
        <v>19</v>
      </c>
      <c r="E51" s="407">
        <v>1</v>
      </c>
      <c r="F51" s="408"/>
      <c r="G51" s="409">
        <f t="shared" si="7"/>
        <v>0</v>
      </c>
      <c r="H51" s="409"/>
      <c r="I51" s="409">
        <f t="shared" si="8"/>
        <v>0</v>
      </c>
      <c r="J51" s="410"/>
    </row>
    <row r="52" spans="1:10" s="411" customFormat="1" ht="13.9" customHeight="1">
      <c r="A52" s="403">
        <f t="shared" si="2"/>
        <v>42</v>
      </c>
      <c r="B52" s="412" t="s">
        <v>648</v>
      </c>
      <c r="C52" s="405" t="s">
        <v>649</v>
      </c>
      <c r="D52" s="406" t="s">
        <v>14</v>
      </c>
      <c r="E52" s="407">
        <v>1</v>
      </c>
      <c r="F52" s="408"/>
      <c r="G52" s="409">
        <f>F52*E52</f>
        <v>0</v>
      </c>
      <c r="H52" s="409"/>
      <c r="I52" s="409">
        <f>H52*E52</f>
        <v>0</v>
      </c>
      <c r="J52" s="410"/>
    </row>
    <row r="53" spans="1:10" s="411" customFormat="1" ht="38.25">
      <c r="A53" s="403">
        <f t="shared" si="2"/>
        <v>43</v>
      </c>
      <c r="B53" s="412" t="s">
        <v>650</v>
      </c>
      <c r="C53" s="405" t="s">
        <v>651</v>
      </c>
      <c r="D53" s="406" t="s">
        <v>19</v>
      </c>
      <c r="E53" s="407">
        <v>1</v>
      </c>
      <c r="F53" s="408"/>
      <c r="G53" s="409">
        <f>F53*E53</f>
        <v>0</v>
      </c>
      <c r="H53" s="409"/>
      <c r="I53" s="409">
        <f>H53*E53</f>
        <v>0</v>
      </c>
      <c r="J53" s="410"/>
    </row>
    <row r="54" spans="1:10" s="411" customFormat="1" ht="25.5">
      <c r="A54" s="403">
        <f t="shared" si="2"/>
        <v>44</v>
      </c>
      <c r="B54" s="404" t="s">
        <v>652</v>
      </c>
      <c r="C54" s="405" t="s">
        <v>653</v>
      </c>
      <c r="D54" s="406" t="s">
        <v>19</v>
      </c>
      <c r="E54" s="407">
        <v>1</v>
      </c>
      <c r="F54" s="408"/>
      <c r="G54" s="409">
        <f t="shared" si="0"/>
        <v>0</v>
      </c>
      <c r="H54" s="409"/>
      <c r="I54" s="409">
        <f t="shared" si="1"/>
        <v>0</v>
      </c>
      <c r="J54" s="410"/>
    </row>
    <row r="55" spans="1:10" s="411" customFormat="1">
      <c r="A55" s="403">
        <f t="shared" si="2"/>
        <v>45</v>
      </c>
      <c r="B55" s="404" t="s">
        <v>606</v>
      </c>
      <c r="C55" s="405" t="s">
        <v>607</v>
      </c>
      <c r="D55" s="406" t="s">
        <v>19</v>
      </c>
      <c r="E55" s="407">
        <v>4</v>
      </c>
      <c r="F55" s="408"/>
      <c r="G55" s="409">
        <f t="shared" si="0"/>
        <v>0</v>
      </c>
      <c r="H55" s="409"/>
      <c r="I55" s="409">
        <f t="shared" si="1"/>
        <v>0</v>
      </c>
      <c r="J55" s="410"/>
    </row>
    <row r="56" spans="1:10" s="411" customFormat="1">
      <c r="A56" s="403">
        <f t="shared" si="2"/>
        <v>46</v>
      </c>
      <c r="B56" s="404" t="s">
        <v>600</v>
      </c>
      <c r="C56" s="405" t="s">
        <v>601</v>
      </c>
      <c r="D56" s="406" t="s">
        <v>19</v>
      </c>
      <c r="E56" s="407">
        <v>2</v>
      </c>
      <c r="F56" s="408"/>
      <c r="G56" s="409">
        <f t="shared" si="0"/>
        <v>0</v>
      </c>
      <c r="H56" s="409"/>
      <c r="I56" s="409">
        <f t="shared" si="1"/>
        <v>0</v>
      </c>
      <c r="J56" s="410"/>
    </row>
    <row r="57" spans="1:10" s="411" customFormat="1">
      <c r="A57" s="403">
        <f t="shared" si="2"/>
        <v>47</v>
      </c>
      <c r="B57" s="404" t="s">
        <v>608</v>
      </c>
      <c r="C57" s="405" t="s">
        <v>609</v>
      </c>
      <c r="D57" s="406" t="s">
        <v>14</v>
      </c>
      <c r="E57" s="407">
        <v>20</v>
      </c>
      <c r="F57" s="408"/>
      <c r="G57" s="409">
        <f>F57*E57</f>
        <v>0</v>
      </c>
      <c r="H57" s="409"/>
      <c r="I57" s="409">
        <f>H57*E57</f>
        <v>0</v>
      </c>
      <c r="J57" s="410"/>
    </row>
    <row r="58" spans="1:10" s="411" customFormat="1">
      <c r="A58" s="403">
        <f t="shared" si="2"/>
        <v>48</v>
      </c>
      <c r="B58" s="404" t="s">
        <v>654</v>
      </c>
      <c r="C58" s="405" t="s">
        <v>655</v>
      </c>
      <c r="D58" s="406" t="s">
        <v>19</v>
      </c>
      <c r="E58" s="407">
        <v>6</v>
      </c>
      <c r="F58" s="408"/>
      <c r="G58" s="409">
        <f>F58*E58</f>
        <v>0</v>
      </c>
      <c r="H58" s="409"/>
      <c r="I58" s="409">
        <f>H58*E58</f>
        <v>0</v>
      </c>
      <c r="J58" s="410"/>
    </row>
    <row r="59" spans="1:10" s="418" customFormat="1" ht="13.9" customHeight="1">
      <c r="A59" s="403">
        <f t="shared" si="2"/>
        <v>49</v>
      </c>
      <c r="B59" s="421" t="s">
        <v>656</v>
      </c>
      <c r="C59" s="422"/>
      <c r="D59" s="423"/>
      <c r="E59" s="407"/>
      <c r="F59" s="424"/>
      <c r="G59" s="425">
        <f>SUM(G46:G58)</f>
        <v>0</v>
      </c>
      <c r="H59" s="424"/>
      <c r="I59" s="425">
        <f>SUM(I46:I58)</f>
        <v>0</v>
      </c>
      <c r="J59" s="423"/>
    </row>
    <row r="60" spans="1:10" s="418" customFormat="1" ht="13.9" customHeight="1">
      <c r="A60" s="403">
        <f t="shared" si="2"/>
        <v>50</v>
      </c>
      <c r="B60" s="421" t="s">
        <v>657</v>
      </c>
      <c r="C60" s="422"/>
      <c r="D60" s="423"/>
      <c r="E60" s="407"/>
      <c r="F60" s="424"/>
      <c r="G60" s="425">
        <f>SUM(G36,G44,G59)</f>
        <v>0</v>
      </c>
      <c r="H60" s="424"/>
      <c r="I60" s="425">
        <f>SUM(I36,I44,I59)</f>
        <v>0</v>
      </c>
      <c r="J60" s="423"/>
    </row>
    <row r="61" spans="1:10">
      <c r="J61" s="428"/>
    </row>
    <row r="62" spans="1:10">
      <c r="A62" s="427"/>
      <c r="C62" s="427"/>
      <c r="D62" s="427"/>
      <c r="F62" s="427"/>
      <c r="G62" s="427"/>
      <c r="H62" s="427"/>
      <c r="I62" s="427"/>
    </row>
    <row r="66" spans="7:8">
      <c r="G66" s="429"/>
      <c r="H66" s="429"/>
    </row>
    <row r="85" spans="1:9">
      <c r="A85" s="427"/>
      <c r="C85" s="427"/>
      <c r="D85" s="427"/>
    </row>
    <row r="86" spans="1:9">
      <c r="A86" s="427"/>
      <c r="C86" s="427"/>
      <c r="D86" s="427"/>
    </row>
    <row r="87" spans="1:9">
      <c r="A87" s="427"/>
      <c r="C87" s="427"/>
      <c r="D87" s="427"/>
    </row>
    <row r="88" spans="1:9" ht="13.9" customHeight="1">
      <c r="A88" s="427"/>
      <c r="C88" s="427"/>
      <c r="D88" s="427"/>
      <c r="F88" s="427"/>
      <c r="G88" s="427"/>
      <c r="H88" s="427"/>
      <c r="I88" s="427"/>
    </row>
    <row r="89" spans="1:9" ht="13.9" customHeight="1">
      <c r="A89" s="427"/>
      <c r="C89" s="427"/>
      <c r="D89" s="427"/>
      <c r="F89" s="427"/>
      <c r="G89" s="427"/>
      <c r="H89" s="427"/>
      <c r="I89" s="427"/>
    </row>
    <row r="90" spans="1:9" ht="13.9" customHeight="1">
      <c r="A90" s="427"/>
      <c r="C90" s="427"/>
      <c r="D90" s="427"/>
      <c r="F90" s="427"/>
      <c r="G90" s="427"/>
      <c r="H90" s="427"/>
      <c r="I90" s="427"/>
    </row>
    <row r="91" spans="1:9" ht="13.9" customHeight="1">
      <c r="A91" s="427"/>
      <c r="C91" s="427"/>
      <c r="D91" s="427"/>
      <c r="F91" s="427"/>
      <c r="G91" s="427"/>
      <c r="H91" s="427"/>
      <c r="I91" s="427"/>
    </row>
    <row r="92" spans="1:9" ht="13.9" customHeight="1">
      <c r="A92" s="427"/>
      <c r="C92" s="427"/>
      <c r="D92" s="427"/>
      <c r="F92" s="427"/>
      <c r="G92" s="427"/>
      <c r="H92" s="427"/>
      <c r="I92" s="427"/>
    </row>
    <row r="93" spans="1:9" ht="13.9" customHeight="1">
      <c r="A93" s="427"/>
      <c r="C93" s="427"/>
      <c r="D93" s="427"/>
      <c r="F93" s="427"/>
      <c r="G93" s="427"/>
      <c r="H93" s="427"/>
      <c r="I93" s="427"/>
    </row>
    <row r="94" spans="1:9" ht="13.9" customHeight="1">
      <c r="A94" s="427"/>
      <c r="C94" s="427"/>
      <c r="D94" s="427"/>
      <c r="F94" s="427"/>
      <c r="G94" s="427"/>
      <c r="H94" s="427"/>
      <c r="I94" s="427"/>
    </row>
    <row r="95" spans="1:9" ht="13.9" customHeight="1">
      <c r="A95" s="427"/>
      <c r="C95" s="427"/>
      <c r="D95" s="427"/>
      <c r="F95" s="427"/>
      <c r="G95" s="427"/>
      <c r="H95" s="427"/>
      <c r="I95" s="427"/>
    </row>
    <row r="96" spans="1:9" ht="13.9" customHeight="1">
      <c r="A96" s="427"/>
      <c r="C96" s="427"/>
      <c r="D96" s="427"/>
      <c r="F96" s="427"/>
      <c r="G96" s="427"/>
      <c r="H96" s="427"/>
      <c r="I96" s="427"/>
    </row>
    <row r="97" s="427" customFormat="1" ht="13.9" customHeight="1"/>
    <row r="98" s="427" customFormat="1" ht="13.9" customHeight="1"/>
    <row r="99" s="427" customFormat="1" ht="13.9" customHeight="1"/>
    <row r="100" s="427" customFormat="1" ht="13.9" customHeight="1"/>
    <row r="101" s="427" customFormat="1" ht="13.9" customHeight="1"/>
    <row r="102" s="427" customFormat="1" ht="13.9" customHeight="1"/>
    <row r="103" s="427" customFormat="1" ht="13.9" customHeight="1"/>
    <row r="104" s="427" customFormat="1" ht="13.9" customHeight="1"/>
    <row r="105" s="427" customFormat="1" ht="13.9" customHeight="1"/>
    <row r="106" s="427" customFormat="1" ht="13.9" customHeight="1"/>
    <row r="107" s="427" customFormat="1" ht="13.9" customHeight="1"/>
    <row r="108" s="427" customFormat="1" ht="13.9" customHeight="1"/>
    <row r="109" s="427" customFormat="1" ht="13.9" customHeight="1"/>
    <row r="110" s="427" customFormat="1" ht="13.9" customHeight="1"/>
    <row r="111" s="427" customFormat="1" ht="13.9" customHeight="1"/>
    <row r="112" s="427" customFormat="1" ht="13.9" customHeight="1"/>
    <row r="113" s="427" customFormat="1" ht="13.9" customHeight="1"/>
    <row r="114" s="427" customFormat="1" ht="13.9" customHeight="1"/>
    <row r="115" s="427" customFormat="1" ht="13.9" customHeight="1"/>
    <row r="116" s="427" customFormat="1" ht="13.9" customHeight="1"/>
    <row r="117" s="427" customFormat="1" ht="13.9" customHeight="1"/>
    <row r="118" s="427" customFormat="1" ht="13.9" customHeight="1"/>
    <row r="119" s="427" customFormat="1" ht="13.9" customHeight="1"/>
    <row r="120" s="427" customFormat="1" ht="13.9" customHeight="1"/>
    <row r="121" s="427" customFormat="1" ht="13.9" customHeight="1"/>
    <row r="122" s="427" customFormat="1" ht="13.9" customHeight="1"/>
    <row r="123" s="427" customFormat="1" ht="13.9" customHeight="1"/>
    <row r="124" s="427" customFormat="1" ht="13.9" customHeight="1"/>
    <row r="125" s="427" customFormat="1" ht="13.9" customHeight="1"/>
    <row r="126" s="427" customFormat="1" ht="13.9" customHeight="1"/>
    <row r="127" s="427" customFormat="1" ht="13.9" customHeight="1"/>
    <row r="128" s="427" customFormat="1" ht="13.9" customHeight="1"/>
    <row r="129" s="427" customFormat="1" ht="13.9" customHeight="1"/>
    <row r="130" s="427" customFormat="1" ht="13.9" customHeight="1"/>
    <row r="131" s="427" customFormat="1" ht="13.9" customHeight="1"/>
    <row r="132" s="427" customFormat="1" ht="13.9" customHeight="1"/>
    <row r="133" s="427" customFormat="1" ht="13.9" customHeight="1"/>
    <row r="134" s="427" customFormat="1" ht="13.9" customHeight="1"/>
    <row r="135" s="427" customFormat="1" ht="13.9" customHeight="1"/>
    <row r="136" s="427" customFormat="1" ht="13.9" customHeight="1"/>
    <row r="137" s="427" customFormat="1" ht="13.9" customHeight="1"/>
    <row r="138" s="427" customFormat="1" ht="13.9" customHeight="1"/>
    <row r="139" s="427" customFormat="1" ht="13.9" customHeight="1"/>
    <row r="140" s="427" customFormat="1" ht="13.9" customHeight="1"/>
    <row r="141" s="427" customFormat="1" ht="13.9" customHeight="1"/>
    <row r="142" s="427" customFormat="1" ht="13.9" customHeight="1"/>
    <row r="143" s="427" customFormat="1" ht="13.9" customHeight="1"/>
    <row r="144" s="427" customFormat="1" ht="13.9" customHeight="1"/>
    <row r="145" s="427" customFormat="1" ht="13.9" customHeight="1"/>
    <row r="146" s="427" customFormat="1" ht="13.9" customHeight="1"/>
    <row r="147" s="427" customFormat="1" ht="13.9" customHeight="1"/>
    <row r="148" s="427" customFormat="1" ht="13.9" customHeight="1"/>
    <row r="149" s="427" customFormat="1" ht="13.9" customHeight="1"/>
    <row r="150" s="427" customFormat="1" ht="13.9" customHeight="1"/>
    <row r="151" s="427" customFormat="1" ht="13.9" customHeight="1"/>
    <row r="152" s="427" customFormat="1" ht="13.9" customHeight="1"/>
    <row r="153" s="427" customFormat="1" ht="13.9" customHeight="1"/>
    <row r="154" s="427" customFormat="1" ht="13.9" customHeight="1"/>
    <row r="155" s="427" customFormat="1" ht="13.9" customHeight="1"/>
    <row r="156" s="427" customFormat="1" ht="13.9" customHeight="1"/>
    <row r="157" s="427" customFormat="1" ht="13.9" customHeight="1"/>
    <row r="158" s="427" customFormat="1" ht="13.9" customHeight="1"/>
    <row r="159" s="427" customFormat="1" ht="13.9" customHeight="1"/>
    <row r="160" s="427" customFormat="1" ht="13.9" customHeight="1"/>
    <row r="161" s="427" customFormat="1" ht="13.9" customHeight="1"/>
    <row r="162" s="427" customFormat="1" ht="13.9" customHeight="1"/>
    <row r="163" s="427" customFormat="1" ht="13.9" customHeight="1"/>
    <row r="164" s="427" customFormat="1" ht="13.9" customHeight="1"/>
    <row r="165" s="427" customFormat="1" ht="13.9" customHeight="1"/>
    <row r="166" s="427" customFormat="1" ht="13.9" customHeight="1"/>
    <row r="167" s="427" customFormat="1" ht="13.9" customHeight="1"/>
    <row r="168" s="427" customFormat="1" ht="13.9" customHeight="1"/>
    <row r="169" s="427" customFormat="1" ht="13.9" customHeight="1"/>
    <row r="170" s="427" customFormat="1" ht="13.9" customHeight="1"/>
    <row r="171" s="427" customFormat="1" ht="13.9" customHeight="1"/>
    <row r="172" s="427" customFormat="1" ht="13.9" customHeight="1"/>
    <row r="173" s="427" customFormat="1" ht="13.9" customHeight="1"/>
    <row r="174" s="427" customFormat="1" ht="13.9" customHeight="1"/>
    <row r="175" s="427" customFormat="1" ht="13.9" customHeight="1"/>
    <row r="176" s="427" customFormat="1" ht="13.9" customHeight="1"/>
    <row r="177" s="427" customFormat="1" ht="13.9" customHeight="1"/>
    <row r="178" s="427" customFormat="1" ht="13.9" customHeight="1"/>
    <row r="179" s="427" customFormat="1" ht="13.9" customHeight="1"/>
    <row r="180" s="427" customFormat="1" ht="13.9" customHeight="1"/>
    <row r="181" s="427" customFormat="1" ht="13.9" customHeight="1"/>
    <row r="182" s="427" customFormat="1" ht="13.9" customHeight="1"/>
    <row r="183" s="427" customFormat="1" ht="13.9" customHeight="1"/>
    <row r="184" s="427" customFormat="1" ht="13.9" customHeight="1"/>
  </sheetData>
  <mergeCells count="3">
    <mergeCell ref="H3:H5"/>
    <mergeCell ref="I3:I5"/>
    <mergeCell ref="A1:H1"/>
  </mergeCells>
  <conditionalFormatting sqref="H11 B11:F11 B23:C25 H23:H25 D12:D14 E23:F25 B51:F54 H51:H54 D16 D23:D26 H27 B27:F27 H18:H21 H58 B58:F58 H30:H33 B30:F35">
    <cfRule type="containsBlanks" dxfId="38" priority="38">
      <formula>LEN(TRIM(B11))=0</formula>
    </cfRule>
  </conditionalFormatting>
  <conditionalFormatting sqref="F26 H26">
    <cfRule type="containsBlanks" dxfId="37" priority="37">
      <formula>LEN(TRIM(F26))=0</formula>
    </cfRule>
  </conditionalFormatting>
  <conditionalFormatting sqref="E26">
    <cfRule type="containsBlanks" dxfId="36" priority="36">
      <formula>LEN(TRIM(E26))=0</formula>
    </cfRule>
  </conditionalFormatting>
  <conditionalFormatting sqref="B26:C26">
    <cfRule type="containsBlanks" dxfId="35" priority="35">
      <formula>LEN(TRIM(B26))=0</formula>
    </cfRule>
  </conditionalFormatting>
  <conditionalFormatting sqref="H12:H14 B12:C14 E12:F14 E16:F16 B16:C16 H16:H22 B17:F22">
    <cfRule type="containsBlanks" dxfId="34" priority="34">
      <formula>LEN(TRIM(B12))=0</formula>
    </cfRule>
  </conditionalFormatting>
  <conditionalFormatting sqref="F58 B58:D58">
    <cfRule type="containsBlanks" dxfId="33" priority="33">
      <formula>LEN(TRIM(B58))=0</formula>
    </cfRule>
  </conditionalFormatting>
  <conditionalFormatting sqref="E58">
    <cfRule type="containsBlanks" dxfId="32" priority="32">
      <formula>LEN(TRIM(E58))=0</formula>
    </cfRule>
  </conditionalFormatting>
  <conditionalFormatting sqref="H34:H35">
    <cfRule type="containsBlanks" dxfId="31" priority="30">
      <formula>LEN(TRIM(H34))=0</formula>
    </cfRule>
  </conditionalFormatting>
  <conditionalFormatting sqref="F46:F47 B46:D47 H46:H47 H58">
    <cfRule type="containsBlanks" dxfId="30" priority="27">
      <formula>LEN(TRIM(B46))=0</formula>
    </cfRule>
  </conditionalFormatting>
  <conditionalFormatting sqref="H28 F28 B28:D28">
    <cfRule type="containsBlanks" dxfId="29" priority="29">
      <formula>LEN(TRIM(B28))=0</formula>
    </cfRule>
  </conditionalFormatting>
  <conditionalFormatting sqref="E28">
    <cfRule type="containsBlanks" dxfId="28" priority="28">
      <formula>LEN(TRIM(E28))=0</formula>
    </cfRule>
  </conditionalFormatting>
  <conditionalFormatting sqref="D15">
    <cfRule type="containsBlanks" dxfId="27" priority="24">
      <formula>LEN(TRIM(D15))=0</formula>
    </cfRule>
  </conditionalFormatting>
  <conditionalFormatting sqref="E46:E47">
    <cfRule type="containsBlanks" dxfId="26" priority="26">
      <formula>LEN(TRIM(E46))=0</formula>
    </cfRule>
  </conditionalFormatting>
  <conditionalFormatting sqref="B25:F25 H25">
    <cfRule type="containsBlanks" dxfId="25" priority="25">
      <formula>LEN(TRIM(B25))=0</formula>
    </cfRule>
  </conditionalFormatting>
  <conditionalFormatting sqref="B29:F29 H29 H34:H35 B34:F35">
    <cfRule type="containsBlanks" dxfId="24" priority="22">
      <formula>LEN(TRIM(B29))=0</formula>
    </cfRule>
  </conditionalFormatting>
  <conditionalFormatting sqref="E15:F15 B15:C15 H15">
    <cfRule type="containsBlanks" dxfId="23" priority="23">
      <formula>LEN(TRIM(B15))=0</formula>
    </cfRule>
  </conditionalFormatting>
  <conditionalFormatting sqref="B39:F39 H39">
    <cfRule type="containsBlanks" dxfId="22" priority="20">
      <formula>LEN(TRIM(B39))=0</formula>
    </cfRule>
  </conditionalFormatting>
  <conditionalFormatting sqref="B40:F40 H40">
    <cfRule type="containsBlanks" dxfId="21" priority="21">
      <formula>LEN(TRIM(B40))=0</formula>
    </cfRule>
  </conditionalFormatting>
  <conditionalFormatting sqref="B38">
    <cfRule type="containsBlanks" dxfId="20" priority="19">
      <formula>LEN(TRIM(B38))=0</formula>
    </cfRule>
  </conditionalFormatting>
  <conditionalFormatting sqref="B43:F43 H43">
    <cfRule type="containsBlanks" dxfId="19" priority="18">
      <formula>LEN(TRIM(B43))=0</formula>
    </cfRule>
  </conditionalFormatting>
  <conditionalFormatting sqref="B42:F42 H42">
    <cfRule type="containsBlanks" dxfId="18" priority="17">
      <formula>LEN(TRIM(B42))=0</formula>
    </cfRule>
  </conditionalFormatting>
  <conditionalFormatting sqref="B41">
    <cfRule type="containsBlanks" dxfId="17" priority="16">
      <formula>LEN(TRIM(B41))=0</formula>
    </cfRule>
  </conditionalFormatting>
  <conditionalFormatting sqref="H20">
    <cfRule type="containsBlanks" dxfId="16" priority="15">
      <formula>LEN(TRIM(H20))=0</formula>
    </cfRule>
  </conditionalFormatting>
  <conditionalFormatting sqref="H20 B20:F20">
    <cfRule type="containsBlanks" dxfId="15" priority="14">
      <formula>LEN(TRIM(B20))=0</formula>
    </cfRule>
  </conditionalFormatting>
  <conditionalFormatting sqref="F50 B50:D50 H50">
    <cfRule type="containsBlanks" dxfId="14" priority="12">
      <formula>LEN(TRIM(B50))=0</formula>
    </cfRule>
  </conditionalFormatting>
  <conditionalFormatting sqref="E50">
    <cfRule type="containsBlanks" dxfId="13" priority="11">
      <formula>LEN(TRIM(E50))=0</formula>
    </cfRule>
  </conditionalFormatting>
  <conditionalFormatting sqref="F48 B48:D48 H48">
    <cfRule type="containsBlanks" dxfId="12" priority="10">
      <formula>LEN(TRIM(B48))=0</formula>
    </cfRule>
  </conditionalFormatting>
  <conditionalFormatting sqref="E48">
    <cfRule type="containsBlanks" dxfId="11" priority="9">
      <formula>LEN(TRIM(E48))=0</formula>
    </cfRule>
  </conditionalFormatting>
  <conditionalFormatting sqref="H55 B55:F55">
    <cfRule type="containsBlanks" dxfId="10" priority="8">
      <formula>LEN(TRIM(B55))=0</formula>
    </cfRule>
  </conditionalFormatting>
  <conditionalFormatting sqref="H56 B56:F56">
    <cfRule type="containsBlanks" dxfId="9" priority="7">
      <formula>LEN(TRIM(B56))=0</formula>
    </cfRule>
  </conditionalFormatting>
  <conditionalFormatting sqref="F49 B49:D49 H49">
    <cfRule type="containsBlanks" dxfId="8" priority="6">
      <formula>LEN(TRIM(B49))=0</formula>
    </cfRule>
  </conditionalFormatting>
  <conditionalFormatting sqref="E49">
    <cfRule type="containsBlanks" dxfId="7" priority="5">
      <formula>LEN(TRIM(E49))=0</formula>
    </cfRule>
  </conditionalFormatting>
  <conditionalFormatting sqref="H57 B57:F57">
    <cfRule type="containsBlanks" dxfId="6" priority="4">
      <formula>LEN(TRIM(B57))=0</formula>
    </cfRule>
  </conditionalFormatting>
  <conditionalFormatting sqref="F57 B57:D57">
    <cfRule type="containsBlanks" dxfId="5" priority="3">
      <formula>LEN(TRIM(B57))=0</formula>
    </cfRule>
  </conditionalFormatting>
  <conditionalFormatting sqref="E57">
    <cfRule type="containsBlanks" dxfId="4" priority="2">
      <formula>LEN(TRIM(E57))=0</formula>
    </cfRule>
  </conditionalFormatting>
  <conditionalFormatting sqref="H57">
    <cfRule type="containsBlanks" dxfId="3" priority="1">
      <formula>LEN(TRIM(H57))=0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5" verticalDpi="4294967295" r:id="rId1"/>
  <headerFooter>
    <oddFooter>Strana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31" id="{CDBACF33-4388-41EF-A302-9F93B10410D1}">
            <xm:f>LEN(TRIM('X:\Projekty\2018\Študentský_dom_Nitra_Nábrežie_mládeže\[Výkaz výmer Roman.xlsx]02.4.1 STR'!#REF!))=0</xm:f>
            <x14:dxf>
              <fill>
                <patternFill>
                  <bgColor theme="7" tint="0.79998168889431442"/>
                </patternFill>
              </fill>
            </x14:dxf>
          </x14:cfRule>
          <xm:sqref>B18:F21</xm:sqref>
        </x14:conditionalFormatting>
        <x14:conditionalFormatting xmlns:xm="http://schemas.microsoft.com/office/excel/2006/main">
          <x14:cfRule type="containsBlanks" priority="13" id="{95CA4071-990F-44DD-96D9-92C1070E03E2}">
            <xm:f>LEN(TRIM('X:\Projekty\2018\Študentský_dom_Nitra_Nábrežie_mládeže\[Výkaz výmer Roman.xlsx]02.4.1 STR'!#REF!))=0</xm:f>
            <x14:dxf>
              <fill>
                <patternFill>
                  <bgColor theme="7" tint="0.79998168889431442"/>
                </patternFill>
              </fill>
            </x14:dxf>
          </x14:cfRule>
          <xm:sqref>B20:F20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25"/>
  <sheetViews>
    <sheetView topLeftCell="A97" workbookViewId="0">
      <selection activeCell="I52" sqref="I52"/>
    </sheetView>
  </sheetViews>
  <sheetFormatPr defaultColWidth="9" defaultRowHeight="11.25" outlineLevelCol="1"/>
  <cols>
    <col min="1" max="1" width="6.140625" style="33" customWidth="1"/>
    <col min="2" max="2" width="4.85546875" style="33" customWidth="1"/>
    <col min="3" max="3" width="11.570312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10" t="s">
        <v>662</v>
      </c>
      <c r="B1" s="1110"/>
      <c r="C1" s="1110"/>
      <c r="D1" s="1110"/>
      <c r="E1" s="1110"/>
      <c r="F1" s="1110"/>
      <c r="G1" s="1110"/>
      <c r="H1" s="1110"/>
    </row>
    <row r="2" spans="1:14" s="22" customFormat="1" ht="17.25" customHeight="1">
      <c r="A2" s="55" t="s">
        <v>77</v>
      </c>
      <c r="B2" s="29"/>
      <c r="C2" s="55" t="s">
        <v>2664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2459</v>
      </c>
      <c r="D3" s="31"/>
      <c r="E3" s="76"/>
      <c r="F3" s="3" t="s">
        <v>2</v>
      </c>
      <c r="G3" s="155">
        <v>44305</v>
      </c>
      <c r="H3" s="31"/>
      <c r="I3" s="23"/>
      <c r="J3" s="39"/>
      <c r="K3" s="50"/>
      <c r="L3" s="24"/>
      <c r="M3" s="54"/>
      <c r="N3" s="145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SUM(H10,H41)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SUM(H11:H40)</f>
        <v>0</v>
      </c>
      <c r="I10" s="45"/>
      <c r="J10" s="42">
        <v>1</v>
      </c>
      <c r="K10" s="50"/>
      <c r="L10" s="24"/>
    </row>
    <row r="11" spans="1:14" s="145" customFormat="1" ht="24">
      <c r="A11" s="156">
        <v>1</v>
      </c>
      <c r="B11" s="157" t="s">
        <v>29</v>
      </c>
      <c r="C11" s="158" t="s">
        <v>2460</v>
      </c>
      <c r="D11" s="158" t="s">
        <v>2461</v>
      </c>
      <c r="E11" s="157" t="s">
        <v>13</v>
      </c>
      <c r="F11" s="159">
        <f>F13</f>
        <v>32</v>
      </c>
      <c r="G11" s="160"/>
      <c r="H11" s="71">
        <f>ROUND(F11*G11,2)</f>
        <v>0</v>
      </c>
      <c r="I11" s="23"/>
      <c r="J11" s="42">
        <v>1</v>
      </c>
      <c r="K11" s="43"/>
      <c r="L11" s="23"/>
    </row>
    <row r="12" spans="1:14" s="145" customFormat="1" ht="12">
      <c r="A12" s="161"/>
      <c r="B12" s="162"/>
      <c r="C12" s="162"/>
      <c r="D12" s="59" t="s">
        <v>2462</v>
      </c>
      <c r="E12" s="164"/>
      <c r="F12" s="57">
        <v>32</v>
      </c>
      <c r="G12" s="162"/>
      <c r="H12" s="165"/>
      <c r="I12" s="23"/>
      <c r="J12" s="39"/>
      <c r="K12" s="43"/>
      <c r="L12" s="23"/>
      <c r="M12" s="54"/>
    </row>
    <row r="13" spans="1:14" s="145" customFormat="1" ht="12">
      <c r="A13" s="6"/>
      <c r="B13" s="166"/>
      <c r="C13" s="166"/>
      <c r="D13" s="167" t="s">
        <v>26</v>
      </c>
      <c r="E13" s="62"/>
      <c r="F13" s="168">
        <f>SUM(F12:F12)</f>
        <v>32</v>
      </c>
      <c r="G13" s="166"/>
      <c r="H13" s="169"/>
      <c r="I13" s="23"/>
      <c r="J13" s="39"/>
      <c r="K13" s="43"/>
      <c r="L13" s="23"/>
      <c r="M13" s="54"/>
    </row>
    <row r="14" spans="1:14" s="145" customFormat="1" ht="24">
      <c r="A14" s="156">
        <f>A7+1</f>
        <v>2</v>
      </c>
      <c r="B14" s="157" t="s">
        <v>29</v>
      </c>
      <c r="C14" s="158">
        <v>113107132</v>
      </c>
      <c r="D14" s="158" t="s">
        <v>2463</v>
      </c>
      <c r="E14" s="157" t="s">
        <v>13</v>
      </c>
      <c r="F14" s="159">
        <f>F17</f>
        <v>1320</v>
      </c>
      <c r="G14" s="160"/>
      <c r="H14" s="71">
        <f>ROUND(F14*G14,2)</f>
        <v>0</v>
      </c>
      <c r="I14" s="23"/>
      <c r="J14" s="42">
        <v>1</v>
      </c>
      <c r="K14" s="43"/>
      <c r="L14" s="23"/>
    </row>
    <row r="15" spans="1:14" s="145" customFormat="1" ht="12">
      <c r="A15" s="161"/>
      <c r="B15" s="162"/>
      <c r="C15" s="162"/>
      <c r="D15" s="163" t="s">
        <v>2464</v>
      </c>
      <c r="E15" s="164"/>
      <c r="F15" s="57">
        <v>980</v>
      </c>
      <c r="G15" s="162"/>
      <c r="H15" s="165"/>
      <c r="I15" s="23"/>
      <c r="J15" s="39"/>
      <c r="K15" s="43"/>
      <c r="L15" s="23"/>
      <c r="M15" s="54"/>
    </row>
    <row r="16" spans="1:14" s="145" customFormat="1" ht="12">
      <c r="A16" s="161"/>
      <c r="B16" s="162"/>
      <c r="C16" s="162"/>
      <c r="D16" s="163" t="s">
        <v>2465</v>
      </c>
      <c r="E16" s="164"/>
      <c r="F16" s="57">
        <v>340</v>
      </c>
      <c r="G16" s="162"/>
      <c r="H16" s="165"/>
      <c r="I16" s="23"/>
      <c r="J16" s="39"/>
      <c r="K16" s="43"/>
      <c r="L16" s="23"/>
      <c r="M16" s="54"/>
    </row>
    <row r="17" spans="1:13" s="145" customFormat="1" ht="12">
      <c r="A17" s="6"/>
      <c r="B17" s="166"/>
      <c r="C17" s="166"/>
      <c r="D17" s="167" t="s">
        <v>26</v>
      </c>
      <c r="E17" s="62"/>
      <c r="F17" s="168">
        <f>SUM(F15:F16)</f>
        <v>1320</v>
      </c>
      <c r="G17" s="166"/>
      <c r="H17" s="169"/>
      <c r="I17" s="23"/>
      <c r="J17" s="39"/>
      <c r="K17" s="43"/>
      <c r="L17" s="23"/>
      <c r="M17" s="54"/>
    </row>
    <row r="18" spans="1:13" s="145" customFormat="1" ht="24">
      <c r="A18" s="156">
        <f>A14+1</f>
        <v>3</v>
      </c>
      <c r="B18" s="157" t="s">
        <v>29</v>
      </c>
      <c r="C18" s="158">
        <v>113107142</v>
      </c>
      <c r="D18" s="158" t="s">
        <v>2466</v>
      </c>
      <c r="E18" s="157" t="s">
        <v>13</v>
      </c>
      <c r="F18" s="159">
        <f>F21</f>
        <v>1320</v>
      </c>
      <c r="G18" s="160"/>
      <c r="H18" s="71">
        <f>ROUND(F18*G18,2)</f>
        <v>0</v>
      </c>
      <c r="I18" s="23"/>
      <c r="J18" s="42">
        <v>1</v>
      </c>
      <c r="K18" s="43"/>
      <c r="L18" s="23"/>
    </row>
    <row r="19" spans="1:13" s="145" customFormat="1" ht="12">
      <c r="A19" s="161"/>
      <c r="B19" s="162"/>
      <c r="C19" s="162"/>
      <c r="D19" s="163" t="s">
        <v>2464</v>
      </c>
      <c r="E19" s="164"/>
      <c r="F19" s="57">
        <v>980</v>
      </c>
      <c r="G19" s="162"/>
      <c r="H19" s="165"/>
      <c r="I19" s="23"/>
      <c r="J19" s="39"/>
      <c r="K19" s="43"/>
      <c r="L19" s="23"/>
      <c r="M19" s="54"/>
    </row>
    <row r="20" spans="1:13" s="145" customFormat="1" ht="12">
      <c r="A20" s="161"/>
      <c r="B20" s="162"/>
      <c r="C20" s="162"/>
      <c r="D20" s="163" t="s">
        <v>2465</v>
      </c>
      <c r="E20" s="164"/>
      <c r="F20" s="57">
        <v>340</v>
      </c>
      <c r="G20" s="162"/>
      <c r="H20" s="165"/>
      <c r="I20" s="23"/>
      <c r="J20" s="39"/>
      <c r="K20" s="43"/>
      <c r="L20" s="23"/>
      <c r="M20" s="54"/>
    </row>
    <row r="21" spans="1:13" s="145" customFormat="1" ht="12">
      <c r="A21" s="6"/>
      <c r="B21" s="166"/>
      <c r="C21" s="166"/>
      <c r="D21" s="167" t="s">
        <v>26</v>
      </c>
      <c r="E21" s="62"/>
      <c r="F21" s="168">
        <f>SUM(F19:F20)</f>
        <v>1320</v>
      </c>
      <c r="G21" s="166"/>
      <c r="H21" s="169"/>
      <c r="I21" s="23"/>
      <c r="J21" s="39"/>
      <c r="K21" s="43"/>
      <c r="L21" s="23"/>
      <c r="M21" s="54"/>
    </row>
    <row r="22" spans="1:13" s="145" customFormat="1" ht="24">
      <c r="A22" s="156">
        <f>A18+1</f>
        <v>4</v>
      </c>
      <c r="B22" s="157" t="s">
        <v>29</v>
      </c>
      <c r="C22" s="158">
        <v>113206111</v>
      </c>
      <c r="D22" s="158" t="s">
        <v>2467</v>
      </c>
      <c r="E22" s="157" t="s">
        <v>14</v>
      </c>
      <c r="F22" s="159">
        <f>F25</f>
        <v>306</v>
      </c>
      <c r="G22" s="160"/>
      <c r="H22" s="71">
        <f>ROUND(F22*G22,2)</f>
        <v>0</v>
      </c>
      <c r="I22" s="23"/>
      <c r="J22" s="42">
        <v>1</v>
      </c>
      <c r="K22" s="43"/>
      <c r="L22" s="23"/>
    </row>
    <row r="23" spans="1:13" s="145" customFormat="1" ht="12">
      <c r="A23" s="161"/>
      <c r="B23" s="162"/>
      <c r="C23" s="162"/>
      <c r="D23" s="163" t="s">
        <v>2468</v>
      </c>
      <c r="E23" s="164"/>
      <c r="F23" s="57">
        <v>71</v>
      </c>
      <c r="G23" s="162"/>
      <c r="H23" s="165"/>
      <c r="I23" s="23"/>
      <c r="J23" s="39"/>
      <c r="K23" s="43"/>
      <c r="L23" s="23"/>
      <c r="M23" s="54"/>
    </row>
    <row r="24" spans="1:13" s="145" customFormat="1" ht="12">
      <c r="A24" s="161"/>
      <c r="B24" s="162"/>
      <c r="C24" s="162"/>
      <c r="D24" s="163" t="s">
        <v>2469</v>
      </c>
      <c r="E24" s="164"/>
      <c r="F24" s="57">
        <v>235</v>
      </c>
      <c r="G24" s="162"/>
      <c r="H24" s="165"/>
      <c r="I24" s="23"/>
      <c r="J24" s="39"/>
      <c r="K24" s="43"/>
      <c r="L24" s="23"/>
      <c r="M24" s="54"/>
    </row>
    <row r="25" spans="1:13" s="145" customFormat="1" ht="12">
      <c r="A25" s="6"/>
      <c r="B25" s="166"/>
      <c r="C25" s="166"/>
      <c r="D25" s="167" t="s">
        <v>26</v>
      </c>
      <c r="E25" s="62"/>
      <c r="F25" s="168">
        <f>SUM(F23:F24)</f>
        <v>306</v>
      </c>
      <c r="G25" s="166"/>
      <c r="H25" s="169"/>
      <c r="I25" s="23"/>
      <c r="J25" s="39"/>
      <c r="K25" s="43"/>
      <c r="L25" s="23"/>
      <c r="M25" s="54"/>
    </row>
    <row r="26" spans="1:13" s="145" customFormat="1" ht="24">
      <c r="A26" s="156">
        <f>A22+1</f>
        <v>5</v>
      </c>
      <c r="B26" s="157" t="s">
        <v>29</v>
      </c>
      <c r="C26" s="158">
        <v>120901105</v>
      </c>
      <c r="D26" s="158" t="s">
        <v>2470</v>
      </c>
      <c r="E26" s="157" t="s">
        <v>12</v>
      </c>
      <c r="F26" s="159">
        <f>F28</f>
        <v>0.48</v>
      </c>
      <c r="G26" s="160"/>
      <c r="H26" s="71">
        <f>ROUND(F26*G26,2)</f>
        <v>0</v>
      </c>
      <c r="I26" s="23"/>
      <c r="J26" s="42">
        <v>1</v>
      </c>
      <c r="K26" s="43"/>
      <c r="L26" s="23"/>
    </row>
    <row r="27" spans="1:13" s="145" customFormat="1" ht="12">
      <c r="A27" s="161"/>
      <c r="B27" s="162"/>
      <c r="C27" s="162"/>
      <c r="D27" s="163" t="s">
        <v>2471</v>
      </c>
      <c r="E27" s="164"/>
      <c r="F27" s="57">
        <f>ROUND(8*0.15*0.4,2)</f>
        <v>0.48</v>
      </c>
      <c r="G27" s="162"/>
      <c r="H27" s="165"/>
      <c r="I27" s="23"/>
      <c r="J27" s="39"/>
      <c r="K27" s="43"/>
      <c r="L27" s="23"/>
      <c r="M27" s="54"/>
    </row>
    <row r="28" spans="1:13" s="145" customFormat="1" ht="12">
      <c r="A28" s="6"/>
      <c r="B28" s="166"/>
      <c r="C28" s="166"/>
      <c r="D28" s="167" t="s">
        <v>26</v>
      </c>
      <c r="E28" s="62"/>
      <c r="F28" s="168">
        <f>SUM(F27:F27)</f>
        <v>0.48</v>
      </c>
      <c r="G28" s="166"/>
      <c r="H28" s="169"/>
      <c r="I28" s="23"/>
      <c r="J28" s="39"/>
      <c r="K28" s="43"/>
      <c r="L28" s="23"/>
      <c r="M28" s="54"/>
    </row>
    <row r="29" spans="1:13" s="145" customFormat="1" ht="36">
      <c r="A29" s="156">
        <f>A26+1</f>
        <v>6</v>
      </c>
      <c r="B29" s="157" t="s">
        <v>29</v>
      </c>
      <c r="C29" s="158">
        <v>162501102</v>
      </c>
      <c r="D29" s="158" t="s">
        <v>144</v>
      </c>
      <c r="E29" s="157" t="s">
        <v>12</v>
      </c>
      <c r="F29" s="159">
        <f>F31</f>
        <v>9.6</v>
      </c>
      <c r="G29" s="160"/>
      <c r="H29" s="71">
        <f>ROUND(F29*G29,2)</f>
        <v>0</v>
      </c>
      <c r="I29" s="23"/>
      <c r="J29" s="42">
        <v>1</v>
      </c>
      <c r="K29" s="43"/>
      <c r="L29" s="23"/>
      <c r="M29" s="54"/>
    </row>
    <row r="30" spans="1:13" s="145" customFormat="1" ht="12">
      <c r="A30" s="6"/>
      <c r="B30" s="166"/>
      <c r="C30" s="166"/>
      <c r="D30" s="170" t="s">
        <v>2472</v>
      </c>
      <c r="E30" s="77"/>
      <c r="F30" s="171">
        <v>9.6</v>
      </c>
      <c r="G30" s="166"/>
      <c r="H30" s="169"/>
      <c r="I30" s="23"/>
      <c r="J30" s="39"/>
      <c r="K30" s="43"/>
      <c r="L30" s="23"/>
      <c r="M30" s="54"/>
    </row>
    <row r="31" spans="1:13" s="145" customFormat="1" ht="12">
      <c r="A31" s="6"/>
      <c r="B31" s="166"/>
      <c r="C31" s="166"/>
      <c r="D31" s="167" t="s">
        <v>26</v>
      </c>
      <c r="E31" s="62"/>
      <c r="F31" s="168">
        <f>SUM(F30:F30)</f>
        <v>9.6</v>
      </c>
      <c r="G31" s="166"/>
      <c r="H31" s="169"/>
      <c r="I31" s="23"/>
      <c r="J31" s="39"/>
      <c r="K31" s="43"/>
      <c r="L31" s="23"/>
      <c r="M31" s="54"/>
    </row>
    <row r="32" spans="1:13" s="145" customFormat="1" ht="36">
      <c r="A32" s="156">
        <f>A29+1</f>
        <v>7</v>
      </c>
      <c r="B32" s="157" t="s">
        <v>29</v>
      </c>
      <c r="C32" s="158" t="s">
        <v>671</v>
      </c>
      <c r="D32" s="158" t="s">
        <v>145</v>
      </c>
      <c r="E32" s="157" t="s">
        <v>12</v>
      </c>
      <c r="F32" s="159">
        <f>F34</f>
        <v>115.19999999999999</v>
      </c>
      <c r="G32" s="160"/>
      <c r="H32" s="71">
        <f>ROUND(F32*G32,2)</f>
        <v>0</v>
      </c>
      <c r="I32" s="23"/>
      <c r="J32" s="42">
        <v>1</v>
      </c>
      <c r="K32" s="43"/>
      <c r="L32" s="23"/>
      <c r="M32" s="54"/>
    </row>
    <row r="33" spans="1:15" s="145" customFormat="1" ht="12">
      <c r="A33" s="6"/>
      <c r="B33" s="166"/>
      <c r="C33" s="166"/>
      <c r="D33" s="170" t="s">
        <v>2473</v>
      </c>
      <c r="E33" s="77"/>
      <c r="F33" s="171">
        <f>9.6*12</f>
        <v>115.19999999999999</v>
      </c>
      <c r="G33" s="166"/>
      <c r="H33" s="169"/>
      <c r="I33" s="23"/>
      <c r="J33" s="39"/>
      <c r="K33" s="43"/>
      <c r="L33" s="23"/>
      <c r="M33" s="54"/>
    </row>
    <row r="34" spans="1:15" s="145" customFormat="1" ht="12">
      <c r="A34" s="6"/>
      <c r="B34" s="166"/>
      <c r="C34" s="166"/>
      <c r="D34" s="167" t="s">
        <v>26</v>
      </c>
      <c r="E34" s="62"/>
      <c r="F34" s="168">
        <f>SUM(F33:F33)</f>
        <v>115.19999999999999</v>
      </c>
      <c r="G34" s="166"/>
      <c r="H34" s="169"/>
      <c r="I34" s="23"/>
      <c r="J34" s="39"/>
      <c r="K34" s="43"/>
      <c r="L34" s="23"/>
      <c r="M34" s="54"/>
    </row>
    <row r="35" spans="1:15" s="145" customFormat="1" ht="12">
      <c r="A35" s="156">
        <f>A32+1</f>
        <v>8</v>
      </c>
      <c r="B35" s="157" t="s">
        <v>29</v>
      </c>
      <c r="C35" s="158">
        <v>171201201</v>
      </c>
      <c r="D35" s="158" t="s">
        <v>265</v>
      </c>
      <c r="E35" s="157" t="s">
        <v>12</v>
      </c>
      <c r="F35" s="159">
        <f>F37</f>
        <v>9.6</v>
      </c>
      <c r="G35" s="160"/>
      <c r="H35" s="71">
        <f>ROUND(F35*G35,2)</f>
        <v>0</v>
      </c>
      <c r="I35" s="23"/>
      <c r="J35" s="42">
        <v>1</v>
      </c>
      <c r="K35" s="43"/>
      <c r="L35" s="23"/>
      <c r="M35" s="54"/>
    </row>
    <row r="36" spans="1:15" s="145" customFormat="1" ht="12">
      <c r="A36" s="6"/>
      <c r="B36" s="166"/>
      <c r="C36" s="166"/>
      <c r="D36" s="170" t="s">
        <v>2472</v>
      </c>
      <c r="E36" s="77"/>
      <c r="F36" s="171">
        <v>9.6</v>
      </c>
      <c r="G36" s="166"/>
      <c r="H36" s="169"/>
      <c r="I36" s="23"/>
      <c r="J36" s="39"/>
      <c r="K36" s="43"/>
      <c r="L36" s="23"/>
      <c r="M36" s="54"/>
    </row>
    <row r="37" spans="1:15" s="145" customFormat="1" ht="12">
      <c r="A37" s="6"/>
      <c r="B37" s="166"/>
      <c r="C37" s="166"/>
      <c r="D37" s="167" t="s">
        <v>26</v>
      </c>
      <c r="E37" s="62"/>
      <c r="F37" s="168">
        <f>SUM(F36:F36)</f>
        <v>9.6</v>
      </c>
      <c r="G37" s="166"/>
      <c r="H37" s="169"/>
      <c r="I37" s="23"/>
      <c r="J37" s="39"/>
      <c r="K37" s="43"/>
      <c r="L37" s="23"/>
      <c r="M37" s="54"/>
    </row>
    <row r="38" spans="1:15" s="145" customFormat="1" ht="24">
      <c r="A38" s="156">
        <f>A35+1</f>
        <v>9</v>
      </c>
      <c r="B38" s="157" t="s">
        <v>29</v>
      </c>
      <c r="C38" s="158" t="s">
        <v>31</v>
      </c>
      <c r="D38" s="158" t="s">
        <v>32</v>
      </c>
      <c r="E38" s="157" t="s">
        <v>15</v>
      </c>
      <c r="F38" s="159">
        <f>F40</f>
        <v>15.839999999999998</v>
      </c>
      <c r="G38" s="160"/>
      <c r="H38" s="71">
        <f>ROUND(F38*G38,2)</f>
        <v>0</v>
      </c>
      <c r="I38" s="23"/>
      <c r="J38" s="42">
        <v>1</v>
      </c>
      <c r="K38" s="43"/>
      <c r="L38" s="23"/>
      <c r="M38" s="54"/>
    </row>
    <row r="39" spans="1:15" s="145" customFormat="1" ht="12">
      <c r="A39" s="6"/>
      <c r="B39" s="166"/>
      <c r="C39" s="166"/>
      <c r="D39" s="59" t="s">
        <v>2462</v>
      </c>
      <c r="E39" s="77"/>
      <c r="F39" s="171">
        <f>32*0.3*1.65</f>
        <v>15.839999999999998</v>
      </c>
      <c r="G39" s="166"/>
      <c r="H39" s="169"/>
      <c r="I39" s="23"/>
      <c r="J39" s="39"/>
      <c r="K39" s="43"/>
      <c r="L39" s="23"/>
      <c r="M39" s="54"/>
    </row>
    <row r="40" spans="1:15" s="145" customFormat="1" ht="12">
      <c r="A40" s="6"/>
      <c r="B40" s="166"/>
      <c r="C40" s="166"/>
      <c r="D40" s="167" t="s">
        <v>26</v>
      </c>
      <c r="E40" s="62"/>
      <c r="F40" s="168">
        <f>SUM(F39:F39)</f>
        <v>15.839999999999998</v>
      </c>
      <c r="G40" s="166"/>
      <c r="H40" s="169"/>
      <c r="I40" s="23"/>
      <c r="J40" s="39"/>
      <c r="K40" s="43"/>
      <c r="L40" s="23"/>
      <c r="M40" s="54"/>
    </row>
    <row r="41" spans="1:15" s="24" customFormat="1" ht="25.5" customHeight="1">
      <c r="A41" s="11"/>
      <c r="B41" s="2"/>
      <c r="C41" s="14">
        <v>9</v>
      </c>
      <c r="D41" s="14" t="s">
        <v>28</v>
      </c>
      <c r="E41" s="11"/>
      <c r="F41" s="15"/>
      <c r="G41" s="2"/>
      <c r="H41" s="67">
        <f>SUM(H42:H108)</f>
        <v>0</v>
      </c>
      <c r="I41" s="46"/>
      <c r="J41" s="42">
        <v>9</v>
      </c>
      <c r="K41" s="51"/>
      <c r="L41" s="47"/>
      <c r="M41" s="54"/>
      <c r="N41" s="145"/>
      <c r="O41" s="145"/>
    </row>
    <row r="42" spans="1:15" s="25" customFormat="1" ht="24">
      <c r="A42" s="72">
        <f>A38+1</f>
        <v>10</v>
      </c>
      <c r="B42" s="73" t="s">
        <v>29</v>
      </c>
      <c r="C42" s="74" t="s">
        <v>2474</v>
      </c>
      <c r="D42" s="74" t="s">
        <v>2475</v>
      </c>
      <c r="E42" s="73" t="s">
        <v>12</v>
      </c>
      <c r="F42" s="75">
        <f>F44</f>
        <v>26.9</v>
      </c>
      <c r="G42" s="71"/>
      <c r="H42" s="71">
        <f>ROUND(F42*G42,2)</f>
        <v>0</v>
      </c>
      <c r="I42" s="23"/>
      <c r="J42" s="42">
        <v>9</v>
      </c>
      <c r="K42" s="433"/>
    </row>
    <row r="43" spans="1:15" s="22" customFormat="1" ht="12">
      <c r="A43" s="56"/>
      <c r="B43" s="3"/>
      <c r="C43" s="3"/>
      <c r="D43" s="59" t="s">
        <v>2476</v>
      </c>
      <c r="E43" s="77"/>
      <c r="F43" s="57">
        <v>26.9</v>
      </c>
      <c r="G43" s="3"/>
      <c r="H43" s="58"/>
      <c r="I43" s="23"/>
      <c r="J43" s="39"/>
      <c r="K43" s="49"/>
      <c r="L43" s="24"/>
      <c r="M43" s="54"/>
      <c r="N43" s="54"/>
    </row>
    <row r="44" spans="1:15" s="22" customFormat="1" ht="12">
      <c r="A44" s="56"/>
      <c r="B44" s="3"/>
      <c r="C44" s="3"/>
      <c r="D44" s="61" t="s">
        <v>26</v>
      </c>
      <c r="E44" s="62"/>
      <c r="F44" s="63">
        <f>SUM(F43:F43)</f>
        <v>26.9</v>
      </c>
      <c r="G44" s="3"/>
      <c r="H44" s="58"/>
      <c r="I44" s="23"/>
      <c r="J44" s="39"/>
      <c r="K44" s="43"/>
      <c r="L44" s="24"/>
      <c r="M44" s="54"/>
      <c r="N44" s="54"/>
    </row>
    <row r="45" spans="1:15" s="25" customFormat="1" ht="24">
      <c r="A45" s="72">
        <f>A42+1</f>
        <v>11</v>
      </c>
      <c r="B45" s="73" t="s">
        <v>29</v>
      </c>
      <c r="C45" s="74" t="s">
        <v>2477</v>
      </c>
      <c r="D45" s="74" t="s">
        <v>2478</v>
      </c>
      <c r="E45" s="73" t="s">
        <v>12</v>
      </c>
      <c r="F45" s="75">
        <f>F52</f>
        <v>24.18</v>
      </c>
      <c r="G45" s="71"/>
      <c r="H45" s="71">
        <f>ROUND(F45*G45,2)</f>
        <v>0</v>
      </c>
      <c r="I45" s="23"/>
      <c r="J45" s="42">
        <v>9</v>
      </c>
      <c r="K45" s="433"/>
    </row>
    <row r="46" spans="1:15" s="22" customFormat="1" ht="12">
      <c r="A46" s="56"/>
      <c r="B46" s="3"/>
      <c r="C46" s="3"/>
      <c r="D46" s="59" t="s">
        <v>2479</v>
      </c>
      <c r="E46" s="77"/>
      <c r="F46" s="57">
        <v>16.600000000000001</v>
      </c>
      <c r="G46" s="3"/>
      <c r="H46" s="58"/>
      <c r="I46" s="23"/>
      <c r="J46" s="39"/>
      <c r="K46" s="49"/>
      <c r="L46" s="24"/>
      <c r="M46" s="54"/>
      <c r="N46" s="54"/>
    </row>
    <row r="47" spans="1:15" s="22" customFormat="1" ht="12">
      <c r="A47" s="56"/>
      <c r="B47" s="3"/>
      <c r="C47" s="3"/>
      <c r="D47" s="59" t="s">
        <v>2480</v>
      </c>
      <c r="E47" s="77"/>
      <c r="F47" s="57">
        <v>1.28</v>
      </c>
      <c r="G47" s="3"/>
      <c r="H47" s="58"/>
      <c r="I47" s="23"/>
      <c r="J47" s="39"/>
      <c r="K47" s="49"/>
      <c r="L47" s="24"/>
      <c r="M47" s="54"/>
      <c r="N47" s="54"/>
    </row>
    <row r="48" spans="1:15" s="22" customFormat="1" ht="12">
      <c r="A48" s="56"/>
      <c r="B48" s="3"/>
      <c r="C48" s="3"/>
      <c r="D48" s="59" t="s">
        <v>2481</v>
      </c>
      <c r="E48" s="77"/>
      <c r="F48" s="57">
        <v>5</v>
      </c>
      <c r="G48" s="3"/>
      <c r="H48" s="58"/>
      <c r="I48" s="23"/>
      <c r="J48" s="39"/>
      <c r="K48" s="49"/>
      <c r="L48" s="24"/>
      <c r="M48" s="54"/>
      <c r="N48" s="54"/>
    </row>
    <row r="49" spans="1:14" s="22" customFormat="1" ht="12">
      <c r="A49" s="56"/>
      <c r="B49" s="3"/>
      <c r="C49" s="3"/>
      <c r="D49" s="59" t="s">
        <v>2482</v>
      </c>
      <c r="E49" s="77"/>
      <c r="F49" s="57">
        <v>0.36</v>
      </c>
      <c r="G49" s="3"/>
      <c r="H49" s="58"/>
      <c r="I49" s="23"/>
      <c r="J49" s="39"/>
      <c r="K49" s="49"/>
      <c r="L49" s="24"/>
      <c r="M49" s="54"/>
      <c r="N49" s="54"/>
    </row>
    <row r="50" spans="1:14" s="22" customFormat="1" ht="12">
      <c r="A50" s="56"/>
      <c r="B50" s="3"/>
      <c r="C50" s="3"/>
      <c r="D50" s="59" t="s">
        <v>2483</v>
      </c>
      <c r="E50" s="77"/>
      <c r="F50" s="57">
        <f>0.45+0.36</f>
        <v>0.81</v>
      </c>
      <c r="G50" s="3"/>
      <c r="H50" s="58"/>
      <c r="I50" s="23"/>
      <c r="J50" s="39"/>
      <c r="K50" s="49"/>
      <c r="L50" s="24"/>
      <c r="M50" s="54"/>
      <c r="N50" s="54"/>
    </row>
    <row r="51" spans="1:14" s="22" customFormat="1" ht="12">
      <c r="A51" s="56"/>
      <c r="B51" s="3"/>
      <c r="C51" s="3"/>
      <c r="D51" s="59" t="s">
        <v>2484</v>
      </c>
      <c r="E51" s="77"/>
      <c r="F51" s="57">
        <v>0.13</v>
      </c>
      <c r="G51" s="3"/>
      <c r="H51" s="58"/>
      <c r="I51" s="23"/>
      <c r="J51" s="39"/>
      <c r="K51" s="49"/>
      <c r="L51" s="24"/>
      <c r="M51" s="54"/>
      <c r="N51" s="54"/>
    </row>
    <row r="52" spans="1:14" s="22" customFormat="1" ht="12">
      <c r="A52" s="56"/>
      <c r="B52" s="3"/>
      <c r="C52" s="3"/>
      <c r="D52" s="61" t="s">
        <v>26</v>
      </c>
      <c r="E52" s="62"/>
      <c r="F52" s="63">
        <f>SUM(F46:F51)</f>
        <v>24.18</v>
      </c>
      <c r="G52" s="3"/>
      <c r="H52" s="58"/>
      <c r="I52" s="23"/>
      <c r="J52" s="39"/>
      <c r="K52" s="43"/>
      <c r="L52" s="24"/>
      <c r="M52" s="54"/>
      <c r="N52" s="54"/>
    </row>
    <row r="53" spans="1:14" s="25" customFormat="1" ht="36">
      <c r="A53" s="72">
        <f>A45+1</f>
        <v>12</v>
      </c>
      <c r="B53" s="73" t="s">
        <v>29</v>
      </c>
      <c r="C53" s="74" t="s">
        <v>2485</v>
      </c>
      <c r="D53" s="74" t="s">
        <v>2486</v>
      </c>
      <c r="E53" s="73" t="s">
        <v>19</v>
      </c>
      <c r="F53" s="75">
        <f>F55</f>
        <v>5</v>
      </c>
      <c r="G53" s="71"/>
      <c r="H53" s="71">
        <f>ROUND(F53*G53,2)</f>
        <v>0</v>
      </c>
      <c r="I53" s="23"/>
      <c r="J53" s="42">
        <v>9</v>
      </c>
      <c r="K53" s="433"/>
      <c r="M53" s="23"/>
      <c r="N53" s="23"/>
    </row>
    <row r="54" spans="1:14" s="22" customFormat="1" ht="12">
      <c r="A54" s="56"/>
      <c r="B54" s="3"/>
      <c r="C54" s="3"/>
      <c r="D54" s="59" t="s">
        <v>2487</v>
      </c>
      <c r="E54" s="77"/>
      <c r="F54" s="57">
        <v>5</v>
      </c>
      <c r="G54" s="3"/>
      <c r="H54" s="58"/>
      <c r="I54" s="23"/>
      <c r="J54" s="39"/>
      <c r="K54" s="49"/>
      <c r="L54" s="24"/>
      <c r="M54" s="54"/>
      <c r="N54" s="54"/>
    </row>
    <row r="55" spans="1:14" s="22" customFormat="1" ht="12">
      <c r="A55" s="56"/>
      <c r="B55" s="3"/>
      <c r="C55" s="3"/>
      <c r="D55" s="61" t="s">
        <v>26</v>
      </c>
      <c r="E55" s="62"/>
      <c r="F55" s="63">
        <f>SUM(F54:F54)</f>
        <v>5</v>
      </c>
      <c r="G55" s="3"/>
      <c r="H55" s="58"/>
      <c r="I55" s="23"/>
      <c r="J55" s="39"/>
      <c r="K55" s="43"/>
      <c r="L55" s="24"/>
      <c r="M55" s="54"/>
      <c r="N55" s="54"/>
    </row>
    <row r="56" spans="1:14" s="25" customFormat="1" ht="12">
      <c r="A56" s="72">
        <f>A53+1</f>
        <v>13</v>
      </c>
      <c r="B56" s="73" t="s">
        <v>29</v>
      </c>
      <c r="C56" s="74" t="s">
        <v>2488</v>
      </c>
      <c r="D56" s="74" t="s">
        <v>2489</v>
      </c>
      <c r="E56" s="73" t="s">
        <v>12</v>
      </c>
      <c r="F56" s="75">
        <f>F58</f>
        <v>0.86</v>
      </c>
      <c r="G56" s="71"/>
      <c r="H56" s="71">
        <f>ROUND(F56*G56,2)</f>
        <v>0</v>
      </c>
      <c r="I56" s="23"/>
      <c r="J56" s="42">
        <v>9</v>
      </c>
      <c r="K56" s="433"/>
      <c r="M56" s="23"/>
      <c r="N56" s="23"/>
    </row>
    <row r="57" spans="1:14" s="22" customFormat="1" ht="12">
      <c r="A57" s="56"/>
      <c r="B57" s="3"/>
      <c r="C57" s="3"/>
      <c r="D57" s="59" t="s">
        <v>2490</v>
      </c>
      <c r="E57" s="77"/>
      <c r="F57" s="57">
        <f>ROUND(0.12*0.04*10*3*6,2)</f>
        <v>0.86</v>
      </c>
      <c r="G57" s="3"/>
      <c r="H57" s="58"/>
      <c r="I57" s="23"/>
      <c r="J57" s="39"/>
      <c r="K57" s="49"/>
      <c r="L57" s="24"/>
      <c r="M57" s="54"/>
      <c r="N57" s="54"/>
    </row>
    <row r="58" spans="1:14" s="22" customFormat="1" ht="12">
      <c r="A58" s="56"/>
      <c r="B58" s="3"/>
      <c r="C58" s="3"/>
      <c r="D58" s="61" t="s">
        <v>26</v>
      </c>
      <c r="E58" s="62"/>
      <c r="F58" s="63">
        <f>SUM(F57:F57)</f>
        <v>0.86</v>
      </c>
      <c r="G58" s="3"/>
      <c r="H58" s="58"/>
      <c r="I58" s="23"/>
      <c r="J58" s="39"/>
      <c r="K58" s="43"/>
      <c r="L58" s="24"/>
      <c r="M58" s="54"/>
      <c r="N58" s="54"/>
    </row>
    <row r="59" spans="1:14" s="25" customFormat="1" ht="12">
      <c r="A59" s="72">
        <f>A56+1</f>
        <v>14</v>
      </c>
      <c r="B59" s="73" t="s">
        <v>29</v>
      </c>
      <c r="C59" s="74" t="s">
        <v>2491</v>
      </c>
      <c r="D59" s="74" t="s">
        <v>2492</v>
      </c>
      <c r="E59" s="73" t="s">
        <v>20</v>
      </c>
      <c r="F59" s="75">
        <f>F61</f>
        <v>63.55</v>
      </c>
      <c r="G59" s="71"/>
      <c r="H59" s="71">
        <f>ROUND(F59*G59,2)</f>
        <v>0</v>
      </c>
      <c r="I59" s="23"/>
      <c r="J59" s="42">
        <v>9</v>
      </c>
      <c r="K59" s="433"/>
      <c r="M59" s="23"/>
      <c r="N59" s="23"/>
    </row>
    <row r="60" spans="1:14" s="22" customFormat="1" ht="12">
      <c r="A60" s="56"/>
      <c r="B60" s="3"/>
      <c r="C60" s="3"/>
      <c r="D60" s="59" t="s">
        <v>2490</v>
      </c>
      <c r="E60" s="77"/>
      <c r="F60" s="57">
        <f>56+7.55</f>
        <v>63.55</v>
      </c>
      <c r="G60" s="3"/>
      <c r="H60" s="58"/>
      <c r="I60" s="23"/>
      <c r="J60" s="39"/>
      <c r="K60" s="49"/>
      <c r="L60" s="24"/>
      <c r="M60" s="54"/>
      <c r="N60" s="54"/>
    </row>
    <row r="61" spans="1:14" s="22" customFormat="1" ht="12">
      <c r="A61" s="56"/>
      <c r="B61" s="3"/>
      <c r="C61" s="3"/>
      <c r="D61" s="61" t="s">
        <v>26</v>
      </c>
      <c r="E61" s="62"/>
      <c r="F61" s="63">
        <f>SUM(F60:F60)</f>
        <v>63.55</v>
      </c>
      <c r="G61" s="3"/>
      <c r="H61" s="58"/>
      <c r="I61" s="23"/>
      <c r="J61" s="39"/>
      <c r="K61" s="43"/>
      <c r="L61" s="24"/>
      <c r="M61" s="54"/>
      <c r="N61" s="54"/>
    </row>
    <row r="62" spans="1:14" s="25" customFormat="1" ht="24">
      <c r="A62" s="72">
        <f>A59+1</f>
        <v>15</v>
      </c>
      <c r="B62" s="73" t="s">
        <v>29</v>
      </c>
      <c r="C62" s="74">
        <v>966</v>
      </c>
      <c r="D62" s="74" t="s">
        <v>2493</v>
      </c>
      <c r="E62" s="73" t="s">
        <v>19</v>
      </c>
      <c r="F62" s="75">
        <f>F64</f>
        <v>2</v>
      </c>
      <c r="G62" s="71"/>
      <c r="H62" s="71">
        <f>ROUND(F62*G62,2)</f>
        <v>0</v>
      </c>
      <c r="I62" s="23"/>
      <c r="J62" s="42">
        <v>9</v>
      </c>
      <c r="K62" s="433"/>
      <c r="M62" s="23"/>
      <c r="N62" s="23"/>
    </row>
    <row r="63" spans="1:14" s="22" customFormat="1" ht="12">
      <c r="A63" s="56"/>
      <c r="B63" s="3"/>
      <c r="C63" s="3"/>
      <c r="D63" s="59" t="s">
        <v>2494</v>
      </c>
      <c r="E63" s="77"/>
      <c r="F63" s="57">
        <v>2</v>
      </c>
      <c r="G63" s="3"/>
      <c r="H63" s="58"/>
      <c r="I63" s="23"/>
      <c r="J63" s="39"/>
      <c r="K63" s="49"/>
      <c r="L63" s="24"/>
      <c r="M63" s="54"/>
      <c r="N63" s="54"/>
    </row>
    <row r="64" spans="1:14" s="22" customFormat="1" ht="12">
      <c r="A64" s="56"/>
      <c r="B64" s="3"/>
      <c r="C64" s="3"/>
      <c r="D64" s="61" t="s">
        <v>26</v>
      </c>
      <c r="E64" s="62"/>
      <c r="F64" s="63">
        <f>SUM(F63:F63)</f>
        <v>2</v>
      </c>
      <c r="G64" s="3"/>
      <c r="H64" s="58"/>
      <c r="I64" s="23"/>
      <c r="J64" s="39"/>
      <c r="K64" s="43"/>
      <c r="L64" s="24"/>
      <c r="M64" s="54"/>
      <c r="N64" s="54"/>
    </row>
    <row r="65" spans="1:14" s="25" customFormat="1" ht="24">
      <c r="A65" s="72">
        <f>A62+1</f>
        <v>16</v>
      </c>
      <c r="B65" s="73" t="s">
        <v>29</v>
      </c>
      <c r="C65" s="74">
        <v>966</v>
      </c>
      <c r="D65" s="74" t="s">
        <v>2495</v>
      </c>
      <c r="E65" s="73" t="s">
        <v>19</v>
      </c>
      <c r="F65" s="75">
        <f>F67</f>
        <v>2</v>
      </c>
      <c r="G65" s="71"/>
      <c r="H65" s="71">
        <f>ROUND(F65*G65,2)</f>
        <v>0</v>
      </c>
      <c r="I65" s="23"/>
      <c r="J65" s="42">
        <v>9</v>
      </c>
      <c r="K65" s="433"/>
      <c r="M65" s="23"/>
      <c r="N65" s="23"/>
    </row>
    <row r="66" spans="1:14" s="22" customFormat="1" ht="12">
      <c r="A66" s="56"/>
      <c r="B66" s="3"/>
      <c r="C66" s="3"/>
      <c r="D66" s="59" t="s">
        <v>2496</v>
      </c>
      <c r="E66" s="77"/>
      <c r="F66" s="57">
        <v>2</v>
      </c>
      <c r="G66" s="3"/>
      <c r="H66" s="58"/>
      <c r="I66" s="23"/>
      <c r="J66" s="39"/>
      <c r="K66" s="49"/>
      <c r="L66" s="24"/>
      <c r="M66" s="54"/>
      <c r="N66" s="54"/>
    </row>
    <row r="67" spans="1:14" s="22" customFormat="1" ht="12">
      <c r="A67" s="56"/>
      <c r="B67" s="3"/>
      <c r="C67" s="3"/>
      <c r="D67" s="61" t="s">
        <v>26</v>
      </c>
      <c r="E67" s="62"/>
      <c r="F67" s="63">
        <f>SUM(F66:F66)</f>
        <v>2</v>
      </c>
      <c r="G67" s="3"/>
      <c r="H67" s="58"/>
      <c r="I67" s="23"/>
      <c r="J67" s="39"/>
      <c r="K67" s="43"/>
      <c r="L67" s="24"/>
      <c r="M67" s="54"/>
      <c r="N67" s="54"/>
    </row>
    <row r="68" spans="1:14" s="25" customFormat="1" ht="12">
      <c r="A68" s="72">
        <f>A65+1</f>
        <v>17</v>
      </c>
      <c r="B68" s="73" t="s">
        <v>29</v>
      </c>
      <c r="C68" s="74">
        <v>966</v>
      </c>
      <c r="D68" s="74" t="s">
        <v>2497</v>
      </c>
      <c r="E68" s="73" t="s">
        <v>19</v>
      </c>
      <c r="F68" s="75">
        <f>F70</f>
        <v>4</v>
      </c>
      <c r="G68" s="71"/>
      <c r="H68" s="71">
        <f>ROUND(F68*G68,2)</f>
        <v>0</v>
      </c>
      <c r="I68" s="23"/>
      <c r="J68" s="42">
        <v>9</v>
      </c>
      <c r="K68" s="433"/>
      <c r="M68" s="23"/>
      <c r="N68" s="23"/>
    </row>
    <row r="69" spans="1:14" s="22" customFormat="1" ht="12">
      <c r="A69" s="56"/>
      <c r="B69" s="3"/>
      <c r="C69" s="3"/>
      <c r="D69" s="59" t="s">
        <v>2498</v>
      </c>
      <c r="E69" s="77"/>
      <c r="F69" s="57">
        <v>4</v>
      </c>
      <c r="G69" s="3"/>
      <c r="H69" s="58"/>
      <c r="I69" s="23"/>
      <c r="J69" s="39"/>
      <c r="K69" s="49"/>
      <c r="L69" s="24"/>
      <c r="M69" s="54"/>
      <c r="N69" s="54"/>
    </row>
    <row r="70" spans="1:14" s="22" customFormat="1" ht="12">
      <c r="A70" s="56"/>
      <c r="B70" s="3"/>
      <c r="C70" s="3"/>
      <c r="D70" s="61" t="s">
        <v>26</v>
      </c>
      <c r="E70" s="62"/>
      <c r="F70" s="63">
        <f>SUM(F69:F69)</f>
        <v>4</v>
      </c>
      <c r="G70" s="3"/>
      <c r="H70" s="58"/>
      <c r="I70" s="23"/>
      <c r="J70" s="39"/>
      <c r="K70" s="43"/>
      <c r="L70" s="24"/>
      <c r="M70" s="54"/>
      <c r="N70" s="54"/>
    </row>
    <row r="71" spans="1:14" s="25" customFormat="1" ht="24">
      <c r="A71" s="72">
        <f>A68+1</f>
        <v>18</v>
      </c>
      <c r="B71" s="73" t="s">
        <v>29</v>
      </c>
      <c r="C71" s="74" t="s">
        <v>726</v>
      </c>
      <c r="D71" s="74" t="s">
        <v>2499</v>
      </c>
      <c r="E71" s="73" t="s">
        <v>15</v>
      </c>
      <c r="F71" s="75">
        <f>F84</f>
        <v>785.86800000000005</v>
      </c>
      <c r="G71" s="71"/>
      <c r="H71" s="71">
        <f>ROUND(F71*G71,2)</f>
        <v>0</v>
      </c>
      <c r="I71" s="23"/>
      <c r="J71" s="42">
        <v>9</v>
      </c>
      <c r="K71" s="433">
        <f>ROUND(F71,3)</f>
        <v>785.86800000000005</v>
      </c>
      <c r="M71" s="23"/>
      <c r="N71" s="23"/>
    </row>
    <row r="72" spans="1:14" s="22" customFormat="1" ht="12">
      <c r="A72" s="56"/>
      <c r="B72" s="3"/>
      <c r="C72" s="3"/>
      <c r="D72" s="59" t="s">
        <v>2500</v>
      </c>
      <c r="E72" s="164"/>
      <c r="F72" s="57">
        <f>ROUND(1320*0.5,3)</f>
        <v>660</v>
      </c>
      <c r="G72" s="3"/>
      <c r="H72" s="58"/>
      <c r="I72" s="23"/>
      <c r="J72" s="39"/>
      <c r="K72" s="49"/>
      <c r="L72" s="24"/>
      <c r="M72" s="54"/>
      <c r="N72" s="54"/>
    </row>
    <row r="73" spans="1:14" s="22" customFormat="1" ht="12">
      <c r="A73" s="56"/>
      <c r="B73" s="3"/>
      <c r="C73" s="3"/>
      <c r="D73" s="163" t="s">
        <v>2476</v>
      </c>
      <c r="E73" s="164"/>
      <c r="F73" s="57">
        <f>ROUND(26.9*2.2,3)</f>
        <v>59.18</v>
      </c>
      <c r="G73" s="3"/>
      <c r="H73" s="58"/>
      <c r="I73" s="23"/>
      <c r="J73" s="39"/>
      <c r="K73" s="49"/>
      <c r="L73" s="24"/>
      <c r="M73" s="54"/>
      <c r="N73" s="54"/>
    </row>
    <row r="74" spans="1:14" s="22" customFormat="1" ht="12">
      <c r="A74" s="56"/>
      <c r="B74" s="3"/>
      <c r="C74" s="3"/>
      <c r="D74" s="163" t="s">
        <v>2468</v>
      </c>
      <c r="E74" s="164"/>
      <c r="F74" s="57">
        <f>ROUND(71*0.022,3)</f>
        <v>1.5620000000000001</v>
      </c>
      <c r="G74" s="3"/>
      <c r="H74" s="58"/>
      <c r="I74" s="23"/>
      <c r="J74" s="39"/>
      <c r="K74" s="49"/>
      <c r="L74" s="24"/>
      <c r="M74" s="54"/>
      <c r="N74" s="54"/>
    </row>
    <row r="75" spans="1:14" s="22" customFormat="1" ht="12">
      <c r="A75" s="56"/>
      <c r="B75" s="3"/>
      <c r="C75" s="3"/>
      <c r="D75" s="163" t="s">
        <v>2469</v>
      </c>
      <c r="E75" s="164"/>
      <c r="F75" s="57">
        <f>ROUND(235*0.022,3)</f>
        <v>5.17</v>
      </c>
      <c r="G75" s="3"/>
      <c r="H75" s="58"/>
      <c r="I75" s="23"/>
      <c r="J75" s="39"/>
      <c r="K75" s="49"/>
      <c r="L75" s="24"/>
      <c r="M75" s="54"/>
      <c r="N75" s="54"/>
    </row>
    <row r="76" spans="1:14" s="22" customFormat="1" ht="12">
      <c r="A76" s="56"/>
      <c r="B76" s="3"/>
      <c r="C76" s="3"/>
      <c r="D76" s="163" t="s">
        <v>2501</v>
      </c>
      <c r="E76" s="164"/>
      <c r="F76" s="57">
        <f>ROUND(0.48*2.2,3)</f>
        <v>1.056</v>
      </c>
      <c r="G76" s="3"/>
      <c r="H76" s="58"/>
      <c r="I76" s="23"/>
      <c r="J76" s="39"/>
      <c r="K76" s="49"/>
      <c r="L76" s="24"/>
      <c r="M76" s="54"/>
      <c r="N76" s="54"/>
    </row>
    <row r="77" spans="1:14" s="22" customFormat="1" ht="12">
      <c r="A77" s="56"/>
      <c r="B77" s="3"/>
      <c r="C77" s="3"/>
      <c r="D77" s="59" t="s">
        <v>2487</v>
      </c>
      <c r="E77" s="164"/>
      <c r="F77" s="57">
        <f>ROUND(0.4*2.2,3)</f>
        <v>0.88</v>
      </c>
      <c r="G77" s="3"/>
      <c r="H77" s="58"/>
      <c r="I77" s="23"/>
      <c r="J77" s="39"/>
      <c r="K77" s="49"/>
      <c r="L77" s="24"/>
      <c r="M77" s="54"/>
      <c r="N77" s="54"/>
    </row>
    <row r="78" spans="1:14" s="22" customFormat="1" ht="12">
      <c r="A78" s="56"/>
      <c r="B78" s="3"/>
      <c r="C78" s="3"/>
      <c r="D78" s="59" t="s">
        <v>2479</v>
      </c>
      <c r="E78" s="164"/>
      <c r="F78" s="57">
        <f>ROUND(16.6*2.4,2)</f>
        <v>39.840000000000003</v>
      </c>
      <c r="G78" s="3"/>
      <c r="H78" s="58"/>
      <c r="I78" s="23"/>
      <c r="J78" s="39"/>
      <c r="K78" s="49"/>
      <c r="L78" s="24"/>
      <c r="M78" s="54"/>
      <c r="N78" s="54"/>
    </row>
    <row r="79" spans="1:14" s="22" customFormat="1" ht="12">
      <c r="A79" s="56"/>
      <c r="B79" s="3"/>
      <c r="C79" s="3"/>
      <c r="D79" s="59" t="s">
        <v>2480</v>
      </c>
      <c r="E79" s="164"/>
      <c r="F79" s="57">
        <f>ROUND(1.28*2.4,2)</f>
        <v>3.07</v>
      </c>
      <c r="G79" s="3"/>
      <c r="H79" s="58"/>
      <c r="I79" s="23"/>
      <c r="J79" s="39"/>
      <c r="K79" s="49"/>
      <c r="L79" s="24"/>
      <c r="M79" s="54"/>
      <c r="N79" s="54"/>
    </row>
    <row r="80" spans="1:14" s="22" customFormat="1" ht="12">
      <c r="A80" s="56"/>
      <c r="B80" s="3"/>
      <c r="C80" s="3"/>
      <c r="D80" s="59" t="s">
        <v>2481</v>
      </c>
      <c r="E80" s="164"/>
      <c r="F80" s="57">
        <f>ROUND(5*2.4,2)</f>
        <v>12</v>
      </c>
      <c r="G80" s="3"/>
      <c r="H80" s="58"/>
      <c r="I80" s="23"/>
      <c r="J80" s="39"/>
      <c r="K80" s="49"/>
      <c r="L80" s="24"/>
      <c r="M80" s="54"/>
      <c r="N80" s="54"/>
    </row>
    <row r="81" spans="1:14" s="22" customFormat="1" ht="12">
      <c r="A81" s="56"/>
      <c r="B81" s="3"/>
      <c r="C81" s="3"/>
      <c r="D81" s="59" t="s">
        <v>2482</v>
      </c>
      <c r="E81" s="164"/>
      <c r="F81" s="57">
        <f>ROUND(0.36*2.4,2)</f>
        <v>0.86</v>
      </c>
      <c r="G81" s="3"/>
      <c r="H81" s="58"/>
      <c r="I81" s="23"/>
      <c r="J81" s="39"/>
      <c r="K81" s="49"/>
      <c r="L81" s="24"/>
      <c r="M81" s="54"/>
      <c r="N81" s="54"/>
    </row>
    <row r="82" spans="1:14" s="22" customFormat="1" ht="12">
      <c r="A82" s="56"/>
      <c r="B82" s="3"/>
      <c r="C82" s="3"/>
      <c r="D82" s="59" t="s">
        <v>2483</v>
      </c>
      <c r="E82" s="164"/>
      <c r="F82" s="57">
        <f>ROUND(0.81*2.4,2)</f>
        <v>1.94</v>
      </c>
      <c r="G82" s="3"/>
      <c r="H82" s="58"/>
      <c r="I82" s="23"/>
      <c r="J82" s="39"/>
      <c r="K82" s="49"/>
      <c r="L82" s="24"/>
      <c r="M82" s="54"/>
      <c r="N82" s="54"/>
    </row>
    <row r="83" spans="1:14" s="22" customFormat="1" ht="12">
      <c r="A83" s="56"/>
      <c r="B83" s="3"/>
      <c r="C83" s="3"/>
      <c r="D83" s="59" t="s">
        <v>2484</v>
      </c>
      <c r="E83" s="164"/>
      <c r="F83" s="57">
        <f>ROUND(0.13*2.4,2)</f>
        <v>0.31</v>
      </c>
      <c r="G83" s="3"/>
      <c r="H83" s="58"/>
      <c r="I83" s="23"/>
      <c r="J83" s="39"/>
      <c r="K83" s="49"/>
      <c r="L83" s="24"/>
      <c r="M83" s="54"/>
      <c r="N83" s="54"/>
    </row>
    <row r="84" spans="1:14" s="22" customFormat="1" ht="12">
      <c r="A84" s="56"/>
      <c r="B84" s="3"/>
      <c r="C84" s="3"/>
      <c r="D84" s="61" t="s">
        <v>26</v>
      </c>
      <c r="E84" s="62"/>
      <c r="F84" s="63">
        <f>SUM(F72:F83)</f>
        <v>785.86800000000005</v>
      </c>
      <c r="G84" s="3"/>
      <c r="H84" s="58"/>
      <c r="I84" s="23"/>
      <c r="J84" s="39"/>
      <c r="K84" s="43"/>
      <c r="L84" s="24"/>
      <c r="M84" s="54"/>
      <c r="N84" s="54"/>
    </row>
    <row r="85" spans="1:14" s="25" customFormat="1" ht="24">
      <c r="A85" s="72">
        <f>A71+1</f>
        <v>19</v>
      </c>
      <c r="B85" s="73" t="s">
        <v>29</v>
      </c>
      <c r="C85" s="74" t="s">
        <v>2502</v>
      </c>
      <c r="D85" s="74" t="s">
        <v>2503</v>
      </c>
      <c r="E85" s="73" t="s">
        <v>15</v>
      </c>
      <c r="F85" s="75">
        <f>F88</f>
        <v>0.71000000000000008</v>
      </c>
      <c r="G85" s="71"/>
      <c r="H85" s="71">
        <f>ROUND(F85*G85,2)</f>
        <v>0</v>
      </c>
      <c r="I85" s="23"/>
      <c r="J85" s="42">
        <v>9</v>
      </c>
      <c r="K85" s="433">
        <f>ROUND(F85,3)</f>
        <v>0.71</v>
      </c>
      <c r="M85" s="23"/>
      <c r="N85" s="23"/>
    </row>
    <row r="86" spans="1:14" s="22" customFormat="1" ht="12">
      <c r="A86" s="56"/>
      <c r="B86" s="3"/>
      <c r="C86" s="3"/>
      <c r="D86" s="59" t="s">
        <v>2490</v>
      </c>
      <c r="E86" s="77"/>
      <c r="F86" s="57">
        <f>ROUND(0.86*0.65,2)</f>
        <v>0.56000000000000005</v>
      </c>
      <c r="G86" s="3"/>
      <c r="H86" s="58"/>
      <c r="I86" s="23"/>
      <c r="J86" s="39"/>
      <c r="K86" s="49"/>
      <c r="L86" s="24"/>
      <c r="M86" s="54"/>
      <c r="N86" s="54"/>
    </row>
    <row r="87" spans="1:14" s="22" customFormat="1" ht="12">
      <c r="A87" s="56"/>
      <c r="B87" s="3"/>
      <c r="C87" s="3"/>
      <c r="D87" s="59" t="s">
        <v>2487</v>
      </c>
      <c r="E87" s="77"/>
      <c r="F87" s="57">
        <f>ROUND(0.12*0.04*1.95*5*5*0.65,2)</f>
        <v>0.15</v>
      </c>
      <c r="G87" s="3"/>
      <c r="H87" s="58"/>
      <c r="I87" s="23"/>
      <c r="J87" s="39"/>
      <c r="K87" s="49"/>
      <c r="L87" s="24"/>
      <c r="M87" s="54"/>
      <c r="N87" s="54"/>
    </row>
    <row r="88" spans="1:14" s="22" customFormat="1" ht="12">
      <c r="A88" s="56"/>
      <c r="B88" s="3"/>
      <c r="C88" s="3"/>
      <c r="D88" s="61" t="s">
        <v>26</v>
      </c>
      <c r="E88" s="62"/>
      <c r="F88" s="63">
        <f>SUM(F86:F87)</f>
        <v>0.71000000000000008</v>
      </c>
      <c r="G88" s="3"/>
      <c r="H88" s="58"/>
      <c r="I88" s="23"/>
      <c r="J88" s="39"/>
      <c r="K88" s="43"/>
      <c r="L88" s="24"/>
      <c r="M88" s="54"/>
    </row>
    <row r="89" spans="1:14" s="25" customFormat="1" ht="24">
      <c r="A89" s="72">
        <f>A85+1</f>
        <v>20</v>
      </c>
      <c r="B89" s="73" t="s">
        <v>29</v>
      </c>
      <c r="C89" s="74" t="s">
        <v>2504</v>
      </c>
      <c r="D89" s="74" t="s">
        <v>2505</v>
      </c>
      <c r="E89" s="73" t="s">
        <v>15</v>
      </c>
      <c r="F89" s="75">
        <f>F92</f>
        <v>238.98999999999998</v>
      </c>
      <c r="G89" s="71"/>
      <c r="H89" s="71">
        <f>ROUND(F89*G89,2)</f>
        <v>0</v>
      </c>
      <c r="I89" s="23"/>
      <c r="J89" s="42">
        <v>9</v>
      </c>
      <c r="K89" s="433">
        <f>ROUND(F89,3)</f>
        <v>238.99</v>
      </c>
      <c r="M89" s="23"/>
    </row>
    <row r="90" spans="1:14" s="22" customFormat="1" ht="12">
      <c r="A90" s="56"/>
      <c r="B90" s="3"/>
      <c r="C90" s="3"/>
      <c r="D90" s="59" t="s">
        <v>2506</v>
      </c>
      <c r="E90" s="77"/>
      <c r="F90" s="57">
        <f>ROUND(1320*0.181,3)</f>
        <v>238.92</v>
      </c>
      <c r="G90" s="3"/>
      <c r="H90" s="58"/>
      <c r="I90" s="23"/>
      <c r="J90" s="39"/>
      <c r="K90" s="49"/>
      <c r="L90" s="24"/>
      <c r="M90" s="54"/>
    </row>
    <row r="91" spans="1:14" s="22" customFormat="1" ht="12">
      <c r="A91" s="56"/>
      <c r="B91" s="3"/>
      <c r="C91" s="3"/>
      <c r="D91" s="59" t="s">
        <v>2507</v>
      </c>
      <c r="E91" s="77"/>
      <c r="F91" s="57">
        <f>ROUND(0.06*1.2,2)</f>
        <v>7.0000000000000007E-2</v>
      </c>
      <c r="G91" s="3"/>
      <c r="H91" s="58"/>
      <c r="I91" s="23"/>
      <c r="J91" s="39"/>
      <c r="K91" s="49"/>
      <c r="L91" s="24"/>
      <c r="M91" s="54"/>
      <c r="N91" s="54"/>
    </row>
    <row r="92" spans="1:14" s="22" customFormat="1" ht="12">
      <c r="A92" s="56"/>
      <c r="B92" s="3"/>
      <c r="C92" s="3"/>
      <c r="D92" s="61" t="s">
        <v>26</v>
      </c>
      <c r="E92" s="62"/>
      <c r="F92" s="63">
        <f>SUM(F90:F91)</f>
        <v>238.98999999999998</v>
      </c>
      <c r="G92" s="3"/>
      <c r="H92" s="58"/>
      <c r="I92" s="23"/>
      <c r="J92" s="39"/>
      <c r="K92" s="43"/>
      <c r="L92" s="24"/>
      <c r="M92" s="54"/>
      <c r="N92" s="54"/>
    </row>
    <row r="93" spans="1:14" s="25" customFormat="1" ht="24">
      <c r="A93" s="72">
        <f>A89+1</f>
        <v>21</v>
      </c>
      <c r="B93" s="73" t="s">
        <v>29</v>
      </c>
      <c r="C93" s="74" t="s">
        <v>2508</v>
      </c>
      <c r="D93" s="74" t="s">
        <v>2509</v>
      </c>
      <c r="E93" s="73" t="s">
        <v>15</v>
      </c>
      <c r="F93" s="75">
        <f>F102</f>
        <v>3.6829999999999998</v>
      </c>
      <c r="G93" s="71"/>
      <c r="H93" s="71">
        <f>ROUND(F93*G93,2)</f>
        <v>0</v>
      </c>
      <c r="I93" s="23"/>
      <c r="J93" s="42">
        <v>9</v>
      </c>
      <c r="K93" s="433">
        <f>ROUND(F93,3)</f>
        <v>3.6829999999999998</v>
      </c>
      <c r="M93" s="23"/>
      <c r="N93" s="23"/>
    </row>
    <row r="94" spans="1:14" s="22" customFormat="1" ht="12">
      <c r="A94" s="56"/>
      <c r="B94" s="3"/>
      <c r="C94" s="3"/>
      <c r="D94" s="59" t="s">
        <v>2510</v>
      </c>
      <c r="E94" s="77"/>
      <c r="F94" s="57">
        <f>0.22+0.09</f>
        <v>0.31</v>
      </c>
      <c r="G94" s="3"/>
      <c r="H94" s="58"/>
      <c r="I94" s="23"/>
      <c r="J94" s="39"/>
      <c r="K94" s="49"/>
      <c r="L94" s="24"/>
      <c r="M94" s="54"/>
      <c r="N94" s="54"/>
    </row>
    <row r="95" spans="1:14" s="22" customFormat="1" ht="12">
      <c r="A95" s="56"/>
      <c r="B95" s="3"/>
      <c r="C95" s="3"/>
      <c r="D95" s="59" t="s">
        <v>2490</v>
      </c>
      <c r="E95" s="77"/>
      <c r="F95" s="57">
        <f>ROUND(0.06355,3)</f>
        <v>6.4000000000000001E-2</v>
      </c>
      <c r="G95" s="3"/>
      <c r="H95" s="58"/>
      <c r="I95" s="23"/>
      <c r="J95" s="39"/>
      <c r="K95" s="49"/>
      <c r="L95" s="24"/>
      <c r="M95" s="54"/>
      <c r="N95" s="54"/>
    </row>
    <row r="96" spans="1:14" s="22" customFormat="1" ht="12">
      <c r="A96" s="56"/>
      <c r="B96" s="3"/>
      <c r="C96" s="3"/>
      <c r="D96" s="59" t="s">
        <v>2511</v>
      </c>
      <c r="E96" s="77"/>
      <c r="F96" s="57">
        <f>ROUND((490+315+907)/1000,3)</f>
        <v>1.712</v>
      </c>
      <c r="G96" s="3"/>
      <c r="H96" s="58"/>
      <c r="I96" s="23"/>
      <c r="J96" s="39"/>
      <c r="K96" s="49"/>
      <c r="L96" s="24"/>
      <c r="M96" s="54"/>
      <c r="N96" s="54"/>
    </row>
    <row r="97" spans="1:16" s="22" customFormat="1" ht="12">
      <c r="A97" s="56"/>
      <c r="B97" s="3"/>
      <c r="C97" s="3"/>
      <c r="D97" s="59" t="s">
        <v>2512</v>
      </c>
      <c r="E97" s="77"/>
      <c r="F97" s="57">
        <f>ROUND((490+88.7+255)/1000,3)</f>
        <v>0.83399999999999996</v>
      </c>
      <c r="G97" s="3"/>
      <c r="H97" s="58"/>
      <c r="I97" s="23"/>
      <c r="J97" s="39"/>
      <c r="K97" s="49"/>
      <c r="L97" s="24"/>
      <c r="M97" s="54"/>
      <c r="N97" s="54"/>
    </row>
    <row r="98" spans="1:16" s="22" customFormat="1" ht="12">
      <c r="A98" s="56"/>
      <c r="B98" s="3"/>
      <c r="C98" s="3"/>
      <c r="D98" s="59" t="s">
        <v>2513</v>
      </c>
      <c r="E98" s="77"/>
      <c r="F98" s="57">
        <f>ROUND((346+110)/1000,3)</f>
        <v>0.45600000000000002</v>
      </c>
      <c r="G98" s="3"/>
      <c r="H98" s="58"/>
      <c r="I98" s="23"/>
      <c r="J98" s="39"/>
      <c r="K98" s="49"/>
      <c r="L98" s="24"/>
      <c r="M98" s="54"/>
      <c r="N98" s="54"/>
    </row>
    <row r="99" spans="1:16" s="22" customFormat="1" ht="12">
      <c r="A99" s="56"/>
      <c r="B99" s="3"/>
      <c r="C99" s="3"/>
      <c r="D99" s="59" t="s">
        <v>2514</v>
      </c>
      <c r="E99" s="77"/>
      <c r="F99" s="57">
        <f>ROUND((77+49+30.26)/1000,3)</f>
        <v>0.156</v>
      </c>
      <c r="G99" s="3"/>
      <c r="H99" s="58"/>
      <c r="I99" s="23"/>
      <c r="J99" s="39"/>
      <c r="K99" s="49"/>
      <c r="L99" s="24"/>
      <c r="M99" s="54"/>
      <c r="N99" s="54"/>
    </row>
    <row r="100" spans="1:16" s="22" customFormat="1" ht="12">
      <c r="A100" s="56"/>
      <c r="B100" s="3"/>
      <c r="C100" s="3"/>
      <c r="D100" s="59" t="s">
        <v>2515</v>
      </c>
      <c r="E100" s="77"/>
      <c r="F100" s="57">
        <f>ROUND((24.5+24.3+70)/1000,3)</f>
        <v>0.11899999999999999</v>
      </c>
      <c r="G100" s="3"/>
      <c r="H100" s="58"/>
      <c r="I100" s="23"/>
      <c r="J100" s="39"/>
      <c r="K100" s="49"/>
      <c r="L100" s="24"/>
      <c r="M100" s="54"/>
      <c r="N100" s="54"/>
    </row>
    <row r="101" spans="1:16" s="22" customFormat="1" ht="12">
      <c r="A101" s="56"/>
      <c r="B101" s="3"/>
      <c r="C101" s="3"/>
      <c r="D101" s="59" t="s">
        <v>2516</v>
      </c>
      <c r="E101" s="77"/>
      <c r="F101" s="57">
        <f>ROUND((8.1+23.5)/1000,3)</f>
        <v>3.2000000000000001E-2</v>
      </c>
      <c r="G101" s="3"/>
      <c r="H101" s="58"/>
      <c r="I101" s="23"/>
      <c r="J101" s="39"/>
      <c r="K101" s="49"/>
      <c r="L101" s="24"/>
      <c r="M101" s="54"/>
      <c r="N101" s="54"/>
    </row>
    <row r="102" spans="1:16" s="22" customFormat="1" ht="12">
      <c r="A102" s="56"/>
      <c r="B102" s="3"/>
      <c r="C102" s="3"/>
      <c r="D102" s="61" t="s">
        <v>26</v>
      </c>
      <c r="E102" s="62"/>
      <c r="F102" s="63">
        <f>SUM(F94:F101)</f>
        <v>3.6829999999999998</v>
      </c>
      <c r="G102" s="3"/>
      <c r="H102" s="58"/>
      <c r="I102" s="23"/>
      <c r="J102" s="39"/>
      <c r="K102" s="43"/>
      <c r="L102" s="24"/>
      <c r="M102" s="54"/>
      <c r="N102" s="54"/>
    </row>
    <row r="103" spans="1:16" s="25" customFormat="1" ht="24">
      <c r="A103" s="72">
        <f>A93+1</f>
        <v>22</v>
      </c>
      <c r="B103" s="73" t="s">
        <v>712</v>
      </c>
      <c r="C103" s="74" t="s">
        <v>713</v>
      </c>
      <c r="D103" s="74" t="s">
        <v>714</v>
      </c>
      <c r="E103" s="73" t="s">
        <v>15</v>
      </c>
      <c r="F103" s="75">
        <f>K103</f>
        <v>1029.2510000000002</v>
      </c>
      <c r="G103" s="71"/>
      <c r="H103" s="71">
        <f>ROUND(F103*G103,2)</f>
        <v>0</v>
      </c>
      <c r="I103" s="23"/>
      <c r="J103" s="42">
        <v>9</v>
      </c>
      <c r="K103" s="908">
        <f>SUM(K42:K93)</f>
        <v>1029.2510000000002</v>
      </c>
      <c r="M103" s="23"/>
      <c r="N103" s="23"/>
    </row>
    <row r="104" spans="1:16" s="25" customFormat="1" ht="24">
      <c r="A104" s="72">
        <f>A103+1</f>
        <v>23</v>
      </c>
      <c r="B104" s="73" t="s">
        <v>712</v>
      </c>
      <c r="C104" s="74" t="s">
        <v>715</v>
      </c>
      <c r="D104" s="74" t="s">
        <v>716</v>
      </c>
      <c r="E104" s="73" t="s">
        <v>15</v>
      </c>
      <c r="F104" s="75">
        <f>F103*2</f>
        <v>2058.5020000000004</v>
      </c>
      <c r="G104" s="71"/>
      <c r="H104" s="71">
        <f t="shared" ref="H104:H108" si="0">ROUND(F104*G104,2)</f>
        <v>0</v>
      </c>
      <c r="I104" s="23"/>
      <c r="J104" s="42">
        <v>9</v>
      </c>
      <c r="K104" s="50"/>
      <c r="M104" s="23"/>
      <c r="N104" s="23"/>
    </row>
    <row r="105" spans="1:16" s="25" customFormat="1" ht="12">
      <c r="A105" s="72">
        <f>A104+1</f>
        <v>24</v>
      </c>
      <c r="B105" s="73" t="s">
        <v>712</v>
      </c>
      <c r="C105" s="74" t="s">
        <v>717</v>
      </c>
      <c r="D105" s="74" t="s">
        <v>718</v>
      </c>
      <c r="E105" s="73" t="s">
        <v>15</v>
      </c>
      <c r="F105" s="75">
        <f>F103</f>
        <v>1029.2510000000002</v>
      </c>
      <c r="G105" s="71"/>
      <c r="H105" s="71">
        <f t="shared" si="0"/>
        <v>0</v>
      </c>
      <c r="I105" s="23"/>
      <c r="J105" s="42">
        <v>9</v>
      </c>
      <c r="K105" s="50"/>
      <c r="M105" s="23"/>
      <c r="N105" s="23"/>
    </row>
    <row r="106" spans="1:16" s="25" customFormat="1" ht="24">
      <c r="A106" s="72">
        <f t="shared" ref="A106" si="1">A105+1</f>
        <v>25</v>
      </c>
      <c r="B106" s="73" t="s">
        <v>712</v>
      </c>
      <c r="C106" s="74" t="s">
        <v>719</v>
      </c>
      <c r="D106" s="74" t="s">
        <v>720</v>
      </c>
      <c r="E106" s="73" t="s">
        <v>15</v>
      </c>
      <c r="F106" s="75">
        <f>F105*15</f>
        <v>15438.765000000003</v>
      </c>
      <c r="G106" s="71"/>
      <c r="H106" s="71">
        <f t="shared" si="0"/>
        <v>0</v>
      </c>
      <c r="I106" s="23" t="s">
        <v>721</v>
      </c>
      <c r="J106" s="42">
        <v>9</v>
      </c>
      <c r="K106" s="50"/>
      <c r="M106" s="23"/>
      <c r="N106" s="23"/>
    </row>
    <row r="107" spans="1:16" s="25" customFormat="1" ht="24">
      <c r="A107" s="72">
        <f>A106+1</f>
        <v>26</v>
      </c>
      <c r="B107" s="73" t="s">
        <v>712</v>
      </c>
      <c r="C107" s="74" t="s">
        <v>722</v>
      </c>
      <c r="D107" s="74" t="s">
        <v>723</v>
      </c>
      <c r="E107" s="73" t="s">
        <v>15</v>
      </c>
      <c r="F107" s="75">
        <f>F103</f>
        <v>1029.2510000000002</v>
      </c>
      <c r="G107" s="71"/>
      <c r="H107" s="71">
        <f t="shared" si="0"/>
        <v>0</v>
      </c>
      <c r="I107" s="23"/>
      <c r="J107" s="42">
        <v>9</v>
      </c>
      <c r="K107" s="50"/>
      <c r="M107" s="23"/>
      <c r="N107" s="23"/>
    </row>
    <row r="108" spans="1:16" s="25" customFormat="1" ht="24">
      <c r="A108" s="72">
        <f>A107+1</f>
        <v>27</v>
      </c>
      <c r="B108" s="73" t="s">
        <v>712</v>
      </c>
      <c r="C108" s="74" t="s">
        <v>724</v>
      </c>
      <c r="D108" s="74" t="s">
        <v>725</v>
      </c>
      <c r="E108" s="73" t="s">
        <v>15</v>
      </c>
      <c r="F108" s="75">
        <f>F107*5</f>
        <v>5146.255000000001</v>
      </c>
      <c r="G108" s="71"/>
      <c r="H108" s="71">
        <f t="shared" si="0"/>
        <v>0</v>
      </c>
      <c r="I108" s="23"/>
      <c r="J108" s="42">
        <v>9</v>
      </c>
      <c r="K108" s="50"/>
      <c r="M108" s="23"/>
      <c r="N108" s="23"/>
    </row>
    <row r="109" spans="1:16" ht="25.5" customHeight="1">
      <c r="A109" s="3"/>
      <c r="B109" s="3"/>
      <c r="C109" s="9" t="s">
        <v>24</v>
      </c>
      <c r="D109" s="9" t="s">
        <v>25</v>
      </c>
      <c r="E109" s="6"/>
      <c r="F109" s="3"/>
      <c r="G109" s="10"/>
      <c r="H109" s="13">
        <f>SUM(H110)</f>
        <v>0</v>
      </c>
      <c r="J109" s="44" t="s">
        <v>24</v>
      </c>
    </row>
    <row r="110" spans="1:16" s="24" customFormat="1" ht="23.25" customHeight="1">
      <c r="A110" s="11"/>
      <c r="B110" s="2"/>
      <c r="C110" s="14">
        <v>767</v>
      </c>
      <c r="D110" s="14" t="s">
        <v>76</v>
      </c>
      <c r="E110" s="11"/>
      <c r="F110" s="15"/>
      <c r="G110" s="2"/>
      <c r="H110" s="67">
        <f>SUM(H111:H120)</f>
        <v>0</v>
      </c>
      <c r="I110" s="46"/>
      <c r="J110" s="42">
        <v>767</v>
      </c>
      <c r="K110" s="51"/>
      <c r="L110" s="47"/>
      <c r="M110" s="23"/>
      <c r="N110" s="23"/>
      <c r="O110" s="25"/>
      <c r="P110" s="25"/>
    </row>
    <row r="111" spans="1:16" s="25" customFormat="1" ht="24">
      <c r="A111" s="72">
        <f>A108+1</f>
        <v>28</v>
      </c>
      <c r="B111" s="79">
        <v>767</v>
      </c>
      <c r="C111" s="80">
        <v>767914830</v>
      </c>
      <c r="D111" s="80" t="s">
        <v>2517</v>
      </c>
      <c r="E111" s="79" t="s">
        <v>14</v>
      </c>
      <c r="F111" s="75">
        <f>F117</f>
        <v>161.30000000000001</v>
      </c>
      <c r="G111" s="71"/>
      <c r="H111" s="71">
        <f>ROUND(F111*G111,2)</f>
        <v>0</v>
      </c>
      <c r="I111" s="23"/>
      <c r="J111" s="42">
        <v>767</v>
      </c>
      <c r="K111" s="50"/>
      <c r="M111" s="23"/>
      <c r="N111" s="23"/>
    </row>
    <row r="112" spans="1:16" s="25" customFormat="1" ht="12">
      <c r="A112" s="64"/>
      <c r="B112" s="1"/>
      <c r="C112" s="1"/>
      <c r="D112" s="59" t="s">
        <v>2518</v>
      </c>
      <c r="E112" s="60"/>
      <c r="F112" s="57">
        <v>61.5</v>
      </c>
      <c r="G112" s="1"/>
      <c r="H112" s="65"/>
      <c r="I112" s="26"/>
      <c r="J112" s="40"/>
      <c r="K112" s="51"/>
      <c r="M112" s="23"/>
      <c r="N112" s="23"/>
    </row>
    <row r="113" spans="1:17" s="25" customFormat="1" ht="12">
      <c r="A113" s="64"/>
      <c r="B113" s="1"/>
      <c r="C113" s="1"/>
      <c r="D113" s="59" t="s">
        <v>2519</v>
      </c>
      <c r="E113" s="60"/>
      <c r="F113" s="57">
        <v>17.5</v>
      </c>
      <c r="G113" s="1"/>
      <c r="H113" s="65"/>
      <c r="I113" s="26"/>
      <c r="J113" s="40"/>
      <c r="K113" s="51"/>
      <c r="M113" s="23"/>
      <c r="N113" s="23"/>
    </row>
    <row r="114" spans="1:17" s="25" customFormat="1" ht="12">
      <c r="A114" s="64"/>
      <c r="B114" s="1"/>
      <c r="C114" s="1"/>
      <c r="D114" s="59" t="s">
        <v>2520</v>
      </c>
      <c r="E114" s="60"/>
      <c r="F114" s="57">
        <v>76</v>
      </c>
      <c r="G114" s="1"/>
      <c r="H114" s="65"/>
      <c r="I114" s="26"/>
      <c r="J114" s="40"/>
      <c r="K114" s="51"/>
      <c r="M114" s="23"/>
      <c r="N114" s="23"/>
    </row>
    <row r="115" spans="1:17" s="25" customFormat="1" ht="12">
      <c r="A115" s="64"/>
      <c r="B115" s="1"/>
      <c r="C115" s="1"/>
      <c r="D115" s="59" t="s">
        <v>2521</v>
      </c>
      <c r="E115" s="60"/>
      <c r="F115" s="78">
        <v>4.9000000000000004</v>
      </c>
      <c r="G115" s="1"/>
      <c r="H115" s="65"/>
      <c r="I115" s="26"/>
      <c r="J115" s="40"/>
      <c r="K115" s="51"/>
      <c r="M115" s="23"/>
      <c r="N115" s="23"/>
    </row>
    <row r="116" spans="1:17" s="25" customFormat="1" ht="12">
      <c r="A116" s="64"/>
      <c r="B116" s="1"/>
      <c r="C116" s="1"/>
      <c r="D116" s="59" t="s">
        <v>2522</v>
      </c>
      <c r="E116" s="60"/>
      <c r="F116" s="78">
        <v>1.4</v>
      </c>
      <c r="G116" s="1"/>
      <c r="H116" s="65"/>
      <c r="I116" s="26"/>
      <c r="J116" s="40"/>
      <c r="K116" s="51"/>
      <c r="M116" s="23"/>
      <c r="N116" s="23"/>
    </row>
    <row r="117" spans="1:17" s="25" customFormat="1" ht="12">
      <c r="A117" s="64"/>
      <c r="B117" s="1"/>
      <c r="C117" s="1"/>
      <c r="D117" s="61" t="s">
        <v>26</v>
      </c>
      <c r="E117" s="62"/>
      <c r="F117" s="63">
        <f>SUM(F112:F116)</f>
        <v>161.30000000000001</v>
      </c>
      <c r="G117" s="1"/>
      <c r="H117" s="65"/>
      <c r="I117" s="26"/>
      <c r="J117" s="40"/>
      <c r="K117" s="51"/>
      <c r="M117" s="23"/>
      <c r="N117" s="23"/>
    </row>
    <row r="118" spans="1:17" s="25" customFormat="1" ht="36">
      <c r="A118" s="72">
        <f>A111+1</f>
        <v>29</v>
      </c>
      <c r="B118" s="79">
        <v>767</v>
      </c>
      <c r="C118" s="80" t="s">
        <v>2523</v>
      </c>
      <c r="D118" s="80" t="s">
        <v>2524</v>
      </c>
      <c r="E118" s="79" t="s">
        <v>19</v>
      </c>
      <c r="F118" s="75">
        <f>F120</f>
        <v>1</v>
      </c>
      <c r="G118" s="71"/>
      <c r="H118" s="71">
        <f>ROUND(F118*G118,2)</f>
        <v>0</v>
      </c>
      <c r="I118" s="23"/>
      <c r="J118" s="42">
        <v>767</v>
      </c>
      <c r="K118" s="50"/>
      <c r="M118" s="23"/>
      <c r="N118" s="23"/>
    </row>
    <row r="119" spans="1:17" s="25" customFormat="1" ht="12">
      <c r="A119" s="64"/>
      <c r="B119" s="1"/>
      <c r="C119" s="1"/>
      <c r="D119" s="59" t="s">
        <v>2525</v>
      </c>
      <c r="E119" s="200"/>
      <c r="F119" s="78">
        <v>1</v>
      </c>
      <c r="G119" s="1"/>
      <c r="H119" s="65"/>
      <c r="I119" s="26"/>
      <c r="J119" s="40"/>
      <c r="K119" s="51"/>
      <c r="M119" s="23"/>
      <c r="N119" s="23"/>
    </row>
    <row r="120" spans="1:17" s="25" customFormat="1" ht="12">
      <c r="A120" s="64"/>
      <c r="B120" s="1"/>
      <c r="C120" s="1"/>
      <c r="D120" s="61" t="s">
        <v>26</v>
      </c>
      <c r="E120" s="62"/>
      <c r="F120" s="63">
        <f>SUM(F119:F119)</f>
        <v>1</v>
      </c>
      <c r="G120" s="1"/>
      <c r="H120" s="65"/>
      <c r="I120" s="26"/>
      <c r="J120" s="40"/>
      <c r="K120" s="51"/>
      <c r="M120" s="23"/>
      <c r="N120" s="23"/>
    </row>
    <row r="121" spans="1:17" ht="12" customHeight="1">
      <c r="D121" s="19"/>
      <c r="E121" s="20"/>
      <c r="F121" s="21"/>
    </row>
    <row r="122" spans="1:17" s="50" customFormat="1" ht="12" customHeight="1">
      <c r="A122" s="33"/>
      <c r="B122" s="33"/>
      <c r="C122" s="33"/>
      <c r="D122" s="37" t="s">
        <v>23</v>
      </c>
      <c r="E122" s="34"/>
      <c r="F122" s="22"/>
      <c r="G122" s="35"/>
      <c r="H122" s="38">
        <f>SUM(H9,H109)</f>
        <v>0</v>
      </c>
      <c r="I122" s="23"/>
      <c r="J122" s="48" t="s">
        <v>46</v>
      </c>
      <c r="L122" s="24"/>
      <c r="M122" s="54"/>
      <c r="N122" s="54"/>
      <c r="O122" s="33"/>
      <c r="P122" s="33"/>
      <c r="Q122" s="33"/>
    </row>
    <row r="124" spans="1:17" s="50" customFormat="1" ht="12" customHeight="1">
      <c r="A124" s="33"/>
      <c r="B124" s="33"/>
      <c r="C124" s="33"/>
      <c r="D124" s="33"/>
      <c r="E124" s="33"/>
      <c r="F124" s="33"/>
      <c r="G124" s="33"/>
      <c r="H124" s="33"/>
      <c r="I124" s="23"/>
      <c r="J124" s="39"/>
      <c r="L124" s="24"/>
      <c r="M124" s="54"/>
      <c r="N124" s="54"/>
      <c r="O124" s="33"/>
      <c r="P124" s="33"/>
      <c r="Q124" s="33"/>
    </row>
    <row r="125" spans="1:17" s="50" customFormat="1" ht="12" customHeight="1">
      <c r="A125" s="33"/>
      <c r="B125" s="33"/>
      <c r="C125" s="33"/>
      <c r="D125" s="33"/>
      <c r="E125" s="33"/>
      <c r="F125" s="33"/>
      <c r="G125" s="33"/>
      <c r="H125" s="33"/>
      <c r="I125" s="23"/>
      <c r="J125" s="39"/>
      <c r="L125" s="24"/>
      <c r="M125" s="54"/>
      <c r="N125" s="54"/>
      <c r="O125" s="33"/>
      <c r="P125" s="33"/>
      <c r="Q125" s="33"/>
    </row>
  </sheetData>
  <mergeCells count="1">
    <mergeCell ref="A1:H1"/>
  </mergeCells>
  <pageMargins left="0.59055118110236227" right="0.39370078740157483" top="0.59055118110236227" bottom="0.39370078740157483" header="0.31496062992125984" footer="0.11811023622047245"/>
  <pageSetup paperSize="9" scale="82" fitToHeight="0" orientation="portrait" horizontalDpi="4294967295" verticalDpi="4294967295" r:id="rId1"/>
  <headerFooter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66"/>
    <pageSetUpPr fitToPage="1"/>
  </sheetPr>
  <dimension ref="A1:BM114"/>
  <sheetViews>
    <sheetView topLeftCell="A64" zoomScale="120" zoomScaleNormal="120" workbookViewId="0">
      <selection activeCell="G100" sqref="G100"/>
    </sheetView>
  </sheetViews>
  <sheetFormatPr defaultRowHeight="15"/>
  <cols>
    <col min="1" max="1" width="1.5703125" customWidth="1"/>
    <col min="2" max="2" width="1" customWidth="1"/>
    <col min="3" max="3" width="3.5703125" customWidth="1"/>
    <col min="4" max="4" width="5.5703125" customWidth="1"/>
    <col min="5" max="5" width="15.7109375" customWidth="1"/>
    <col min="6" max="6" width="47.5703125" customWidth="1"/>
    <col min="7" max="7" width="6.42578125" customWidth="1"/>
    <col min="8" max="8" width="9.85546875" customWidth="1"/>
    <col min="9" max="9" width="11.7109375" customWidth="1"/>
    <col min="10" max="10" width="15.5703125" customWidth="1"/>
    <col min="11" max="11" width="17.28515625" hidden="1" customWidth="1"/>
    <col min="12" max="12" width="8" hidden="1" customWidth="1"/>
    <col min="13" max="13" width="9.28515625" hidden="1" customWidth="1"/>
    <col min="14" max="14" width="0" hidden="1" customWidth="1"/>
    <col min="15" max="20" width="12.140625" hidden="1" customWidth="1"/>
    <col min="21" max="21" width="14" hidden="1" customWidth="1"/>
    <col min="22" max="22" width="10.5703125" hidden="1" customWidth="1"/>
    <col min="23" max="23" width="14" hidden="1" customWidth="1"/>
    <col min="24" max="24" width="10.5703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hidden="1" customWidth="1"/>
    <col min="30" max="30" width="12.85546875" hidden="1" customWidth="1"/>
    <col min="31" max="31" width="14" hidden="1" customWidth="1"/>
    <col min="32" max="79" width="0" hidden="1" customWidth="1"/>
  </cols>
  <sheetData>
    <row r="1" spans="1:65" s="634" customFormat="1" ht="6.95" customHeight="1">
      <c r="A1" s="630"/>
      <c r="B1" s="640"/>
      <c r="C1" s="641"/>
      <c r="D1" s="641"/>
      <c r="E1" s="641"/>
      <c r="F1" s="641"/>
      <c r="G1" s="641"/>
      <c r="H1" s="641"/>
      <c r="I1" s="641"/>
      <c r="J1" s="641"/>
      <c r="K1" s="641"/>
      <c r="L1" s="633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</row>
    <row r="2" spans="1:65" s="634" customFormat="1" ht="24.95" customHeight="1">
      <c r="A2" s="630"/>
      <c r="B2" s="631"/>
      <c r="C2" s="1110" t="s">
        <v>662</v>
      </c>
      <c r="D2" s="1110"/>
      <c r="E2" s="1110"/>
      <c r="F2" s="1110"/>
      <c r="G2" s="1110"/>
      <c r="H2" s="1110"/>
      <c r="I2" s="1110"/>
      <c r="J2" s="1110"/>
      <c r="K2" s="630"/>
      <c r="L2" s="633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</row>
    <row r="3" spans="1:65" s="634" customFormat="1" ht="6.95" customHeight="1">
      <c r="A3" s="630"/>
      <c r="B3" s="631"/>
      <c r="C3" s="630"/>
      <c r="D3" s="630"/>
      <c r="E3" s="630"/>
      <c r="F3" s="630"/>
      <c r="G3" s="630"/>
      <c r="H3" s="630"/>
      <c r="I3" s="630"/>
      <c r="J3" s="630"/>
      <c r="K3" s="630"/>
      <c r="L3" s="633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</row>
    <row r="4" spans="1:65" s="634" customFormat="1" ht="18" customHeight="1">
      <c r="A4" s="630"/>
      <c r="B4" s="631"/>
      <c r="C4" s="632" t="s">
        <v>504</v>
      </c>
      <c r="D4" s="630"/>
      <c r="E4" s="704" t="s">
        <v>1041</v>
      </c>
      <c r="F4" s="630"/>
      <c r="G4" s="630"/>
      <c r="H4" s="630"/>
      <c r="I4" s="630"/>
      <c r="J4" s="630"/>
      <c r="K4" s="630"/>
      <c r="L4" s="633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</row>
    <row r="5" spans="1:65" s="634" customFormat="1" ht="16.5" customHeight="1">
      <c r="A5" s="630"/>
      <c r="B5" s="631"/>
      <c r="C5" s="630" t="s">
        <v>65</v>
      </c>
      <c r="D5" s="630"/>
      <c r="E5" s="1118" t="s">
        <v>1103</v>
      </c>
      <c r="F5" s="1119"/>
      <c r="G5" s="1119"/>
      <c r="H5" s="1119"/>
      <c r="I5" s="630"/>
      <c r="J5" s="630"/>
      <c r="K5" s="630"/>
      <c r="L5" s="633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</row>
    <row r="6" spans="1:65" s="634" customFormat="1" ht="6.95" customHeight="1">
      <c r="A6" s="630"/>
      <c r="B6" s="631"/>
      <c r="C6" s="630"/>
      <c r="D6" s="630"/>
      <c r="E6" s="630"/>
      <c r="F6" s="630"/>
      <c r="G6" s="630"/>
      <c r="H6" s="630"/>
      <c r="I6" s="630"/>
      <c r="J6" s="630"/>
      <c r="K6" s="630"/>
      <c r="L6" s="633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</row>
    <row r="7" spans="1:65" s="634" customFormat="1" ht="15.2" customHeight="1">
      <c r="A7" s="630"/>
      <c r="B7" s="631"/>
      <c r="C7" s="632" t="s">
        <v>1045</v>
      </c>
      <c r="D7" s="630"/>
      <c r="E7" s="630"/>
      <c r="F7" s="635"/>
      <c r="G7" s="630"/>
      <c r="H7" s="630"/>
      <c r="I7" s="632" t="s">
        <v>1104</v>
      </c>
      <c r="J7" s="636">
        <v>44678</v>
      </c>
      <c r="K7" s="630"/>
      <c r="L7" s="633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</row>
    <row r="8" spans="1:65" s="634" customFormat="1" ht="15.2" customHeight="1">
      <c r="A8" s="630"/>
      <c r="B8" s="631"/>
      <c r="C8" s="632" t="s">
        <v>1046</v>
      </c>
      <c r="D8" s="630"/>
      <c r="E8" s="630"/>
      <c r="F8" s="635"/>
      <c r="G8" s="630"/>
      <c r="H8" s="630"/>
      <c r="I8" s="632" t="s">
        <v>1047</v>
      </c>
      <c r="J8" s="642"/>
      <c r="K8" s="630"/>
      <c r="L8" s="633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</row>
    <row r="9" spans="1:65" s="634" customFormat="1" ht="10.35" customHeight="1">
      <c r="A9" s="630"/>
      <c r="B9" s="631"/>
      <c r="C9" s="630"/>
      <c r="D9" s="630"/>
      <c r="E9" s="630"/>
      <c r="F9" s="630"/>
      <c r="G9" s="630"/>
      <c r="H9" s="630"/>
      <c r="I9" s="630"/>
      <c r="J9" s="630"/>
      <c r="K9" s="630"/>
      <c r="L9" s="633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</row>
    <row r="10" spans="1:65" s="653" customFormat="1" ht="29.25" customHeight="1">
      <c r="A10" s="643"/>
      <c r="B10" s="644"/>
      <c r="C10" s="645" t="s">
        <v>1051</v>
      </c>
      <c r="D10" s="646" t="s">
        <v>1052</v>
      </c>
      <c r="E10" s="646" t="s">
        <v>507</v>
      </c>
      <c r="F10" s="646" t="s">
        <v>777</v>
      </c>
      <c r="G10" s="646" t="s">
        <v>7</v>
      </c>
      <c r="H10" s="646" t="s">
        <v>1053</v>
      </c>
      <c r="I10" s="646" t="s">
        <v>1054</v>
      </c>
      <c r="J10" s="647" t="s">
        <v>1049</v>
      </c>
      <c r="K10" s="648" t="s">
        <v>1055</v>
      </c>
      <c r="L10" s="649"/>
      <c r="M10" s="650" t="s">
        <v>1043</v>
      </c>
      <c r="N10" s="651" t="s">
        <v>496</v>
      </c>
      <c r="O10" s="651" t="s">
        <v>1056</v>
      </c>
      <c r="P10" s="651" t="s">
        <v>1057</v>
      </c>
      <c r="Q10" s="651" t="s">
        <v>1058</v>
      </c>
      <c r="R10" s="651" t="s">
        <v>1059</v>
      </c>
      <c r="S10" s="651" t="s">
        <v>1060</v>
      </c>
      <c r="T10" s="652" t="s">
        <v>1061</v>
      </c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</row>
    <row r="11" spans="1:65" s="634" customFormat="1" ht="22.9" customHeight="1">
      <c r="A11" s="630"/>
      <c r="B11" s="631"/>
      <c r="C11" s="654" t="s">
        <v>1105</v>
      </c>
      <c r="D11" s="630"/>
      <c r="E11" s="630"/>
      <c r="F11" s="630"/>
      <c r="G11" s="630"/>
      <c r="H11" s="630"/>
      <c r="I11" s="630"/>
      <c r="J11" s="914">
        <f>J12+J93+J112+J87</f>
        <v>0</v>
      </c>
      <c r="K11" s="630"/>
      <c r="L11" s="631"/>
      <c r="M11" s="656"/>
      <c r="N11" s="657"/>
      <c r="O11" s="637"/>
      <c r="P11" s="658">
        <f>P12+P93+P112</f>
        <v>374.18099999999998</v>
      </c>
      <c r="Q11" s="637"/>
      <c r="R11" s="658">
        <f>R12+R93+R112</f>
        <v>1449.3635000000002</v>
      </c>
      <c r="S11" s="637"/>
      <c r="T11" s="659">
        <f>T12+T93+T112</f>
        <v>0</v>
      </c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T11" s="629" t="s">
        <v>491</v>
      </c>
      <c r="AU11" s="629" t="s">
        <v>1050</v>
      </c>
      <c r="BK11" s="660">
        <f>BK12+BK93+BK112</f>
        <v>0</v>
      </c>
    </row>
    <row r="12" spans="1:65" s="661" customFormat="1" ht="25.9" customHeight="1">
      <c r="B12" s="662"/>
      <c r="D12" s="663" t="s">
        <v>491</v>
      </c>
      <c r="E12" s="664" t="s">
        <v>22</v>
      </c>
      <c r="F12" s="664" t="s">
        <v>1062</v>
      </c>
      <c r="J12" s="912">
        <f>J13+J23+J51+J44</f>
        <v>0</v>
      </c>
      <c r="L12" s="662"/>
      <c r="M12" s="666"/>
      <c r="N12" s="667"/>
      <c r="O12" s="667"/>
      <c r="P12" s="668">
        <f>P13+P23+P51</f>
        <v>374.11500000000001</v>
      </c>
      <c r="Q12" s="667"/>
      <c r="R12" s="668">
        <f>R13+R23+R51</f>
        <v>1449.3635000000002</v>
      </c>
      <c r="S12" s="667"/>
      <c r="T12" s="669">
        <f>T13+T23+T51</f>
        <v>0</v>
      </c>
      <c r="AR12" s="663" t="s">
        <v>791</v>
      </c>
      <c r="AT12" s="670" t="s">
        <v>491</v>
      </c>
      <c r="AU12" s="670" t="s">
        <v>788</v>
      </c>
      <c r="AY12" s="663" t="s">
        <v>1063</v>
      </c>
      <c r="BK12" s="671">
        <f>BK13+BK23+BK51</f>
        <v>0</v>
      </c>
    </row>
    <row r="13" spans="1:65" s="661" customFormat="1" ht="22.9" customHeight="1">
      <c r="B13" s="662"/>
      <c r="D13" s="663" t="s">
        <v>491</v>
      </c>
      <c r="E13" s="672" t="s">
        <v>791</v>
      </c>
      <c r="F13" s="672" t="s">
        <v>30</v>
      </c>
      <c r="J13" s="913">
        <f>SUM(J14:J22)</f>
        <v>0</v>
      </c>
      <c r="L13" s="662"/>
      <c r="M13" s="666"/>
      <c r="N13" s="667"/>
      <c r="O13" s="667"/>
      <c r="P13" s="668">
        <f>SUM(P14:P15)</f>
        <v>0</v>
      </c>
      <c r="Q13" s="667"/>
      <c r="R13" s="668">
        <f>SUM(R14:R15)</f>
        <v>0</v>
      </c>
      <c r="S13" s="667"/>
      <c r="T13" s="669">
        <f>SUM(T14:T15)</f>
        <v>0</v>
      </c>
      <c r="AR13" s="663" t="s">
        <v>791</v>
      </c>
      <c r="AT13" s="670" t="s">
        <v>491</v>
      </c>
      <c r="AU13" s="670" t="s">
        <v>791</v>
      </c>
      <c r="AY13" s="663" t="s">
        <v>1063</v>
      </c>
      <c r="BK13" s="671">
        <f>SUM(BK14:BK15)</f>
        <v>0</v>
      </c>
    </row>
    <row r="14" spans="1:65" s="974" customFormat="1" ht="29.45" customHeight="1">
      <c r="A14" s="959"/>
      <c r="B14" s="960"/>
      <c r="C14" s="961">
        <v>1</v>
      </c>
      <c r="D14" s="961" t="s">
        <v>29</v>
      </c>
      <c r="E14" s="962" t="s">
        <v>1064</v>
      </c>
      <c r="F14" s="963" t="s">
        <v>2615</v>
      </c>
      <c r="G14" s="964" t="s">
        <v>12</v>
      </c>
      <c r="H14" s="965">
        <v>185.2</v>
      </c>
      <c r="I14" s="966"/>
      <c r="J14" s="967">
        <f>ROUND(I14*H14,2)</f>
        <v>0</v>
      </c>
      <c r="K14" s="968"/>
      <c r="L14" s="969"/>
      <c r="M14" s="970" t="s">
        <v>1043</v>
      </c>
      <c r="N14" s="971" t="s">
        <v>1048</v>
      </c>
      <c r="O14" s="972">
        <v>0</v>
      </c>
      <c r="P14" s="972">
        <f>O14*H14</f>
        <v>0</v>
      </c>
      <c r="Q14" s="972">
        <v>0</v>
      </c>
      <c r="R14" s="972">
        <f>Q14*H14</f>
        <v>0</v>
      </c>
      <c r="S14" s="972">
        <v>0</v>
      </c>
      <c r="T14" s="973">
        <f>S14*H14</f>
        <v>0</v>
      </c>
      <c r="U14" s="959"/>
      <c r="V14" s="959"/>
      <c r="W14" s="959"/>
      <c r="X14" s="959"/>
      <c r="Y14" s="959"/>
      <c r="Z14" s="959"/>
      <c r="AA14" s="959"/>
      <c r="AB14" s="959"/>
      <c r="AC14" s="959"/>
      <c r="AD14" s="959"/>
      <c r="AE14" s="959"/>
      <c r="AR14" s="975" t="s">
        <v>1065</v>
      </c>
      <c r="AT14" s="975" t="s">
        <v>29</v>
      </c>
      <c r="AU14" s="975" t="s">
        <v>795</v>
      </c>
      <c r="AY14" s="976" t="s">
        <v>1063</v>
      </c>
      <c r="BE14" s="977">
        <f>IF(N14="základní",J14,0)</f>
        <v>0</v>
      </c>
      <c r="BF14" s="977">
        <f>IF(N14="snížená",J14,0)</f>
        <v>0</v>
      </c>
      <c r="BG14" s="977">
        <f>IF(N14="zákl. přenesená",J14,0)</f>
        <v>0</v>
      </c>
      <c r="BH14" s="977">
        <f>IF(N14="sníž. přenesená",J14,0)</f>
        <v>0</v>
      </c>
      <c r="BI14" s="977">
        <f>IF(N14="nulová",J14,0)</f>
        <v>0</v>
      </c>
      <c r="BJ14" s="976" t="s">
        <v>791</v>
      </c>
      <c r="BK14" s="977">
        <f>ROUND(I14*H14,2)</f>
        <v>0</v>
      </c>
      <c r="BL14" s="976" t="s">
        <v>1065</v>
      </c>
      <c r="BM14" s="975" t="s">
        <v>1066</v>
      </c>
    </row>
    <row r="15" spans="1:65" s="974" customFormat="1">
      <c r="A15" s="959"/>
      <c r="B15" s="969"/>
      <c r="C15" s="959"/>
      <c r="D15" s="978" t="s">
        <v>1067</v>
      </c>
      <c r="E15" s="959"/>
      <c r="F15" s="979" t="s">
        <v>2614</v>
      </c>
      <c r="G15" s="959"/>
      <c r="H15" s="959"/>
      <c r="I15" s="959"/>
      <c r="J15" s="980"/>
      <c r="K15" s="959"/>
      <c r="L15" s="969"/>
      <c r="M15" s="981"/>
      <c r="N15" s="982"/>
      <c r="O15" s="983"/>
      <c r="P15" s="983"/>
      <c r="Q15" s="983"/>
      <c r="R15" s="983"/>
      <c r="S15" s="983"/>
      <c r="T15" s="984"/>
      <c r="U15" s="959"/>
      <c r="V15" s="959"/>
      <c r="W15" s="959"/>
      <c r="X15" s="959"/>
      <c r="Y15" s="959"/>
      <c r="Z15" s="959"/>
      <c r="AA15" s="959"/>
      <c r="AB15" s="959"/>
      <c r="AC15" s="959"/>
      <c r="AD15" s="959"/>
      <c r="AE15" s="959"/>
      <c r="AT15" s="976" t="s">
        <v>1067</v>
      </c>
      <c r="AU15" s="976" t="s">
        <v>795</v>
      </c>
    </row>
    <row r="16" spans="1:65" s="980" customFormat="1" ht="29.45" customHeight="1">
      <c r="B16" s="985"/>
      <c r="C16" s="986">
        <v>8</v>
      </c>
      <c r="D16" s="986" t="s">
        <v>29</v>
      </c>
      <c r="E16" s="987" t="s">
        <v>2553</v>
      </c>
      <c r="F16" s="988" t="s">
        <v>2554</v>
      </c>
      <c r="G16" s="989" t="s">
        <v>12</v>
      </c>
      <c r="H16" s="1098">
        <f>H22</f>
        <v>8.33</v>
      </c>
      <c r="I16" s="967"/>
      <c r="J16" s="967">
        <f>ROUND(I16*H16,2)</f>
        <v>0</v>
      </c>
      <c r="K16" s="991"/>
      <c r="L16" s="992"/>
      <c r="M16" s="993" t="s">
        <v>1043</v>
      </c>
      <c r="N16" s="994" t="s">
        <v>1048</v>
      </c>
      <c r="O16" s="995">
        <v>0</v>
      </c>
      <c r="P16" s="995">
        <f>O16*H16</f>
        <v>0</v>
      </c>
      <c r="Q16" s="995">
        <v>0</v>
      </c>
      <c r="R16" s="995">
        <f>Q16*H16</f>
        <v>0</v>
      </c>
      <c r="S16" s="995">
        <v>0</v>
      </c>
      <c r="T16" s="996">
        <f>S16*H16</f>
        <v>0</v>
      </c>
      <c r="AR16" s="997" t="s">
        <v>1065</v>
      </c>
      <c r="AT16" s="997" t="s">
        <v>29</v>
      </c>
      <c r="AU16" s="997" t="s">
        <v>795</v>
      </c>
      <c r="AY16" s="998" t="s">
        <v>1063</v>
      </c>
      <c r="BE16" s="999">
        <f>IF(N16="základní",J16,0)</f>
        <v>0</v>
      </c>
      <c r="BF16" s="999">
        <f>IF(N16="snížená",J16,0)</f>
        <v>0</v>
      </c>
      <c r="BG16" s="999">
        <f>IF(N16="zákl. přenesená",J16,0)</f>
        <v>0</v>
      </c>
      <c r="BH16" s="999">
        <f>IF(N16="sníž. přenesená",J16,0)</f>
        <v>0</v>
      </c>
      <c r="BI16" s="999">
        <f>IF(N16="nulová",J16,0)</f>
        <v>0</v>
      </c>
      <c r="BJ16" s="998" t="s">
        <v>791</v>
      </c>
      <c r="BK16" s="999">
        <f>ROUND(I16*H16,2)</f>
        <v>0</v>
      </c>
      <c r="BL16" s="998" t="s">
        <v>1065</v>
      </c>
      <c r="BM16" s="997" t="s">
        <v>1066</v>
      </c>
    </row>
    <row r="17" spans="1:65" s="22" customFormat="1" ht="14.25">
      <c r="A17" s="980"/>
      <c r="B17" s="992"/>
      <c r="C17" s="56"/>
      <c r="D17" s="3"/>
      <c r="E17" s="3"/>
      <c r="F17" s="59" t="s">
        <v>2555</v>
      </c>
      <c r="G17" s="77"/>
      <c r="H17" s="57">
        <f>ROUND(2*6*0.4*0.4*1.2,2)</f>
        <v>2.2999999999999998</v>
      </c>
      <c r="I17" s="3"/>
      <c r="J17" s="58"/>
      <c r="K17" s="43"/>
      <c r="L17" s="24"/>
      <c r="M17" s="54"/>
      <c r="N17" s="54"/>
    </row>
    <row r="18" spans="1:65" s="22" customFormat="1" ht="14.25">
      <c r="A18" s="980"/>
      <c r="B18" s="992"/>
      <c r="C18" s="56"/>
      <c r="D18" s="3"/>
      <c r="E18" s="3"/>
      <c r="F18" s="59" t="s">
        <v>2556</v>
      </c>
      <c r="G18" s="77"/>
      <c r="H18" s="57">
        <f>ROUND(2*8*0.4*0.4*1.2,2)</f>
        <v>3.07</v>
      </c>
      <c r="I18" s="3"/>
      <c r="J18" s="58"/>
      <c r="K18" s="43"/>
      <c r="L18" s="24"/>
      <c r="M18" s="54"/>
      <c r="N18" s="54"/>
    </row>
    <row r="19" spans="1:65" s="22" customFormat="1" ht="14.25">
      <c r="A19" s="980"/>
      <c r="B19" s="992"/>
      <c r="C19" s="56"/>
      <c r="D19" s="3"/>
      <c r="E19" s="3"/>
      <c r="F19" s="1059" t="s">
        <v>2723</v>
      </c>
      <c r="G19" s="1060"/>
      <c r="H19" s="1061">
        <f>ROUND( 2*0.5*0.5*1.12,2)</f>
        <v>0.56000000000000005</v>
      </c>
      <c r="I19" s="3"/>
      <c r="J19" s="58"/>
      <c r="K19" s="43"/>
      <c r="L19" s="24"/>
      <c r="M19" s="54"/>
      <c r="N19" s="54"/>
    </row>
    <row r="20" spans="1:65" s="22" customFormat="1" ht="14.25">
      <c r="A20" s="980"/>
      <c r="B20" s="992"/>
      <c r="C20" s="56"/>
      <c r="D20" s="3"/>
      <c r="E20" s="3"/>
      <c r="F20" s="1059" t="s">
        <v>2724</v>
      </c>
      <c r="G20" s="1060"/>
      <c r="H20" s="1061">
        <f>ROUND(2*0.7*0.7*1.12,2)</f>
        <v>1.1000000000000001</v>
      </c>
      <c r="I20" s="3"/>
      <c r="J20" s="58"/>
      <c r="K20" s="43"/>
      <c r="L20" s="24"/>
      <c r="M20" s="54"/>
      <c r="N20" s="54"/>
    </row>
    <row r="21" spans="1:65" s="22" customFormat="1" ht="14.25">
      <c r="A21" s="980"/>
      <c r="B21" s="992"/>
      <c r="C21" s="56"/>
      <c r="D21" s="3"/>
      <c r="E21" s="3"/>
      <c r="F21" s="1059" t="s">
        <v>2725</v>
      </c>
      <c r="G21" s="1060"/>
      <c r="H21" s="1061">
        <f>ROUND(2*2*0.6*0.6*0.9,2)</f>
        <v>1.3</v>
      </c>
      <c r="I21" s="3"/>
      <c r="J21" s="58"/>
      <c r="K21" s="43"/>
      <c r="L21" s="24"/>
      <c r="M21" s="54"/>
      <c r="N21" s="54"/>
    </row>
    <row r="22" spans="1:65" s="22" customFormat="1" ht="14.25">
      <c r="A22" s="980"/>
      <c r="B22" s="992"/>
      <c r="C22" s="56"/>
      <c r="D22" s="3"/>
      <c r="E22" s="3"/>
      <c r="F22" s="1099" t="s">
        <v>26</v>
      </c>
      <c r="G22" s="1100"/>
      <c r="H22" s="1101">
        <f>SUM(H17:H21)</f>
        <v>8.33</v>
      </c>
      <c r="I22" s="3"/>
      <c r="J22" s="58"/>
      <c r="K22" s="43"/>
      <c r="L22" s="24"/>
      <c r="M22" s="54"/>
      <c r="N22" s="54"/>
    </row>
    <row r="23" spans="1:65" s="1001" customFormat="1" ht="22.9" customHeight="1">
      <c r="B23" s="1002"/>
      <c r="D23" s="1003" t="s">
        <v>491</v>
      </c>
      <c r="E23" s="1004" t="s">
        <v>795</v>
      </c>
      <c r="F23" s="1004" t="s">
        <v>1068</v>
      </c>
      <c r="J23" s="1005">
        <f>SUM(J24:J43)</f>
        <v>0</v>
      </c>
      <c r="L23" s="1002"/>
      <c r="M23" s="1006"/>
      <c r="N23" s="1007"/>
      <c r="O23" s="1007"/>
      <c r="P23" s="1008">
        <f>SUM(P31:P32)</f>
        <v>0</v>
      </c>
      <c r="Q23" s="1007"/>
      <c r="R23" s="1008">
        <f>SUM(R31:R32)</f>
        <v>0</v>
      </c>
      <c r="S23" s="1007"/>
      <c r="T23" s="1009">
        <f>SUM(T31:T32)</f>
        <v>0</v>
      </c>
      <c r="AR23" s="1003" t="s">
        <v>791</v>
      </c>
      <c r="AT23" s="1010" t="s">
        <v>491</v>
      </c>
      <c r="AU23" s="1010" t="s">
        <v>791</v>
      </c>
      <c r="AY23" s="1003" t="s">
        <v>1063</v>
      </c>
      <c r="BK23" s="1011">
        <f>SUM(BK31:BK32)</f>
        <v>0</v>
      </c>
    </row>
    <row r="24" spans="1:65" s="22" customFormat="1" ht="14.25">
      <c r="A24" s="980"/>
      <c r="B24" s="992"/>
      <c r="C24" s="986">
        <v>9</v>
      </c>
      <c r="D24" s="986" t="s">
        <v>29</v>
      </c>
      <c r="E24" s="987">
        <v>275313612</v>
      </c>
      <c r="F24" s="988" t="s">
        <v>679</v>
      </c>
      <c r="G24" s="989" t="s">
        <v>19</v>
      </c>
      <c r="H24" s="1098">
        <f>SUM(H30)</f>
        <v>7.97</v>
      </c>
      <c r="I24" s="967"/>
      <c r="J24" s="967">
        <f>ROUND(H24*I24,2)</f>
        <v>0</v>
      </c>
      <c r="K24" s="43"/>
      <c r="L24" s="24"/>
      <c r="M24" s="54"/>
      <c r="N24" s="54"/>
    </row>
    <row r="25" spans="1:65" s="22" customFormat="1" ht="14.25">
      <c r="A25" s="980"/>
      <c r="B25" s="992"/>
      <c r="C25" s="56"/>
      <c r="D25" s="3"/>
      <c r="E25" s="3"/>
      <c r="F25" s="59" t="s">
        <v>2555</v>
      </c>
      <c r="G25" s="77"/>
      <c r="H25" s="57">
        <f>ROUND(2*6*0.4*0.4*1.2,2)</f>
        <v>2.2999999999999998</v>
      </c>
      <c r="I25" s="3"/>
      <c r="J25" s="58"/>
      <c r="K25" s="43"/>
      <c r="L25" s="24"/>
      <c r="M25" s="54"/>
      <c r="N25" s="54"/>
    </row>
    <row r="26" spans="1:65" s="22" customFormat="1" ht="14.25">
      <c r="A26" s="980"/>
      <c r="B26" s="992"/>
      <c r="C26" s="56"/>
      <c r="D26" s="3"/>
      <c r="E26" s="3"/>
      <c r="F26" s="59" t="s">
        <v>2556</v>
      </c>
      <c r="G26" s="77"/>
      <c r="H26" s="57">
        <f>ROUND(2*8*0.4*0.4*1.2,2)</f>
        <v>3.07</v>
      </c>
      <c r="I26" s="3"/>
      <c r="J26" s="58"/>
      <c r="K26" s="43"/>
      <c r="L26" s="24"/>
      <c r="M26" s="54"/>
      <c r="N26" s="54"/>
    </row>
    <row r="27" spans="1:65" s="22" customFormat="1" ht="14.25">
      <c r="A27" s="980"/>
      <c r="B27" s="992"/>
      <c r="C27" s="56"/>
      <c r="D27" s="3"/>
      <c r="E27" s="3"/>
      <c r="F27" s="1059" t="s">
        <v>2720</v>
      </c>
      <c r="G27" s="1060"/>
      <c r="H27" s="1061">
        <f>ROUND( 2*0.5*0.5*1,2)</f>
        <v>0.5</v>
      </c>
      <c r="I27" s="3"/>
      <c r="J27" s="58"/>
      <c r="K27" s="43"/>
      <c r="L27" s="24"/>
      <c r="M27" s="54"/>
      <c r="N27" s="54"/>
    </row>
    <row r="28" spans="1:65" s="22" customFormat="1" ht="14.25">
      <c r="A28" s="980"/>
      <c r="B28" s="992"/>
      <c r="C28" s="56"/>
      <c r="D28" s="3"/>
      <c r="E28" s="3"/>
      <c r="F28" s="1059" t="s">
        <v>2721</v>
      </c>
      <c r="G28" s="1060"/>
      <c r="H28" s="1061">
        <f>ROUND(2*0.7*0.7*1,2)</f>
        <v>0.98</v>
      </c>
      <c r="I28" s="3"/>
      <c r="J28" s="58"/>
      <c r="K28" s="43"/>
      <c r="L28" s="24"/>
      <c r="M28" s="54"/>
      <c r="N28" s="54"/>
    </row>
    <row r="29" spans="1:65" s="22" customFormat="1" ht="14.25">
      <c r="A29" s="980"/>
      <c r="B29" s="992"/>
      <c r="C29" s="56"/>
      <c r="D29" s="3"/>
      <c r="E29" s="3"/>
      <c r="F29" s="1059" t="s">
        <v>2722</v>
      </c>
      <c r="G29" s="1060"/>
      <c r="H29" s="1061">
        <f>ROUND(2*2*0.6*0.6*0.78,2)</f>
        <v>1.1200000000000001</v>
      </c>
      <c r="I29" s="3"/>
      <c r="J29" s="58"/>
      <c r="K29" s="43"/>
      <c r="L29" s="24"/>
      <c r="M29" s="54"/>
      <c r="N29" s="54"/>
    </row>
    <row r="30" spans="1:65" s="22" customFormat="1" ht="14.25">
      <c r="A30" s="980"/>
      <c r="B30" s="992"/>
      <c r="C30" s="56"/>
      <c r="D30" s="3"/>
      <c r="E30" s="3"/>
      <c r="F30" s="1095" t="s">
        <v>26</v>
      </c>
      <c r="G30" s="1096"/>
      <c r="H30" s="1097">
        <f>SUM(H25:H29)</f>
        <v>7.97</v>
      </c>
      <c r="I30" s="3"/>
      <c r="J30" s="58"/>
      <c r="K30" s="43"/>
      <c r="L30" s="24"/>
      <c r="M30" s="54"/>
      <c r="N30" s="54"/>
    </row>
    <row r="31" spans="1:65" s="974" customFormat="1" ht="14.45" customHeight="1">
      <c r="A31" s="959"/>
      <c r="B31" s="960"/>
      <c r="C31" s="1015">
        <v>2</v>
      </c>
      <c r="D31" s="1015" t="s">
        <v>83</v>
      </c>
      <c r="E31" s="1016" t="s">
        <v>1069</v>
      </c>
      <c r="F31" s="1017" t="s">
        <v>1070</v>
      </c>
      <c r="G31" s="1018" t="s">
        <v>13</v>
      </c>
      <c r="H31" s="1019">
        <f>H37</f>
        <v>2799.5</v>
      </c>
      <c r="I31" s="1020"/>
      <c r="J31" s="1021">
        <f>ROUND(I31*H31,2)</f>
        <v>0</v>
      </c>
      <c r="K31" s="1022"/>
      <c r="L31" s="1023"/>
      <c r="M31" s="1024" t="s">
        <v>1043</v>
      </c>
      <c r="N31" s="1025" t="s">
        <v>1048</v>
      </c>
      <c r="O31" s="972">
        <v>0</v>
      </c>
      <c r="P31" s="972">
        <f>O31*H31</f>
        <v>0</v>
      </c>
      <c r="Q31" s="972">
        <v>0</v>
      </c>
      <c r="R31" s="972">
        <f>Q31*H31</f>
        <v>0</v>
      </c>
      <c r="S31" s="972">
        <v>0</v>
      </c>
      <c r="T31" s="973">
        <f>S31*H31</f>
        <v>0</v>
      </c>
      <c r="U31" s="959"/>
      <c r="V31" s="959"/>
      <c r="W31" s="959"/>
      <c r="X31" s="959"/>
      <c r="Y31" s="959"/>
      <c r="Z31" s="959"/>
      <c r="AA31" s="959"/>
      <c r="AB31" s="959"/>
      <c r="AC31" s="959"/>
      <c r="AD31" s="959"/>
      <c r="AE31" s="959"/>
      <c r="AR31" s="975" t="s">
        <v>1071</v>
      </c>
      <c r="AT31" s="975" t="s">
        <v>83</v>
      </c>
      <c r="AU31" s="975" t="s">
        <v>795</v>
      </c>
      <c r="AY31" s="976" t="s">
        <v>1063</v>
      </c>
      <c r="BE31" s="977">
        <f>IF(N31="základní",J31,0)</f>
        <v>0</v>
      </c>
      <c r="BF31" s="977">
        <f>IF(N31="snížená",J31,0)</f>
        <v>0</v>
      </c>
      <c r="BG31" s="977">
        <f>IF(N31="zákl. přenesená",J31,0)</f>
        <v>0</v>
      </c>
      <c r="BH31" s="977">
        <f>IF(N31="sníž. přenesená",J31,0)</f>
        <v>0</v>
      </c>
      <c r="BI31" s="977">
        <f>IF(N31="nulová",J31,0)</f>
        <v>0</v>
      </c>
      <c r="BJ31" s="976" t="s">
        <v>791</v>
      </c>
      <c r="BK31" s="977">
        <f>ROUND(I31*H31,2)</f>
        <v>0</v>
      </c>
      <c r="BL31" s="976" t="s">
        <v>1065</v>
      </c>
      <c r="BM31" s="975" t="s">
        <v>1072</v>
      </c>
    </row>
    <row r="32" spans="1:65" s="974" customFormat="1">
      <c r="A32" s="959"/>
      <c r="B32" s="969"/>
      <c r="C32" s="959"/>
      <c r="D32" s="978" t="s">
        <v>1067</v>
      </c>
      <c r="E32" s="959"/>
      <c r="F32" s="979" t="s">
        <v>2613</v>
      </c>
      <c r="G32" s="959"/>
      <c r="H32" s="959"/>
      <c r="I32" s="959"/>
      <c r="J32" s="980"/>
      <c r="K32" s="959"/>
      <c r="L32" s="969"/>
      <c r="M32" s="981"/>
      <c r="N32" s="982"/>
      <c r="O32" s="983"/>
      <c r="P32" s="983"/>
      <c r="Q32" s="983"/>
      <c r="R32" s="983"/>
      <c r="S32" s="983"/>
      <c r="T32" s="984"/>
      <c r="U32" s="959"/>
      <c r="V32" s="959"/>
      <c r="W32" s="959"/>
      <c r="X32" s="959"/>
      <c r="Y32" s="959"/>
      <c r="Z32" s="959"/>
      <c r="AA32" s="959"/>
      <c r="AB32" s="959"/>
      <c r="AC32" s="959"/>
      <c r="AD32" s="959"/>
      <c r="AE32" s="959"/>
      <c r="AT32" s="976" t="s">
        <v>1067</v>
      </c>
      <c r="AU32" s="976" t="s">
        <v>795</v>
      </c>
    </row>
    <row r="33" spans="1:47" s="980" customFormat="1" ht="14.25">
      <c r="B33" s="992"/>
      <c r="D33" s="1026"/>
      <c r="F33" s="1027" t="s">
        <v>2532</v>
      </c>
      <c r="G33" s="1028"/>
      <c r="H33" s="1029">
        <v>550</v>
      </c>
      <c r="L33" s="992"/>
      <c r="M33" s="1030"/>
      <c r="N33" s="1031"/>
      <c r="O33" s="1031"/>
      <c r="P33" s="1031"/>
      <c r="Q33" s="1031"/>
      <c r="R33" s="1031"/>
      <c r="S33" s="1031"/>
      <c r="T33" s="1032"/>
      <c r="AT33" s="998"/>
      <c r="AU33" s="998"/>
    </row>
    <row r="34" spans="1:47" s="980" customFormat="1" ht="14.25">
      <c r="B34" s="992"/>
      <c r="D34" s="1026"/>
      <c r="F34" s="1027" t="s">
        <v>2533</v>
      </c>
      <c r="G34" s="1028"/>
      <c r="H34" s="1029">
        <f>695*1.1</f>
        <v>764.50000000000011</v>
      </c>
      <c r="L34" s="992"/>
      <c r="M34" s="1030"/>
      <c r="N34" s="1031"/>
      <c r="O34" s="1031"/>
      <c r="P34" s="1031"/>
      <c r="Q34" s="1031"/>
      <c r="R34" s="1031"/>
      <c r="S34" s="1031"/>
      <c r="T34" s="1032"/>
      <c r="AT34" s="998"/>
      <c r="AU34" s="998"/>
    </row>
    <row r="35" spans="1:47" s="980" customFormat="1" ht="14.25">
      <c r="B35" s="992"/>
      <c r="D35" s="1026"/>
      <c r="F35" s="1027" t="s">
        <v>2534</v>
      </c>
      <c r="G35" s="1028"/>
      <c r="H35" s="1029">
        <f>820*1.1</f>
        <v>902.00000000000011</v>
      </c>
      <c r="L35" s="992"/>
      <c r="M35" s="1030"/>
      <c r="N35" s="1031"/>
      <c r="O35" s="1031"/>
      <c r="P35" s="1031"/>
      <c r="Q35" s="1031"/>
      <c r="R35" s="1031"/>
      <c r="S35" s="1031"/>
      <c r="T35" s="1032"/>
      <c r="AT35" s="998"/>
      <c r="AU35" s="998"/>
    </row>
    <row r="36" spans="1:47" s="980" customFormat="1" ht="14.25">
      <c r="B36" s="992"/>
      <c r="D36" s="1026"/>
      <c r="F36" s="1027" t="s">
        <v>2535</v>
      </c>
      <c r="G36" s="1028"/>
      <c r="H36" s="1029">
        <f>530*1.1</f>
        <v>583</v>
      </c>
      <c r="L36" s="992"/>
      <c r="M36" s="1030"/>
      <c r="N36" s="1031"/>
      <c r="O36" s="1031"/>
      <c r="P36" s="1031"/>
      <c r="Q36" s="1031"/>
      <c r="R36" s="1031"/>
      <c r="S36" s="1031"/>
      <c r="T36" s="1032"/>
      <c r="AT36" s="998"/>
      <c r="AU36" s="998"/>
    </row>
    <row r="37" spans="1:47" s="980" customFormat="1" ht="14.25">
      <c r="B37" s="992"/>
      <c r="D37" s="1026"/>
      <c r="F37" s="1027" t="s">
        <v>2536</v>
      </c>
      <c r="G37" s="1028"/>
      <c r="H37" s="1029">
        <f>SUM(H33:H36)</f>
        <v>2799.5</v>
      </c>
      <c r="L37" s="992"/>
      <c r="M37" s="1030"/>
      <c r="N37" s="1031"/>
      <c r="O37" s="1031"/>
      <c r="P37" s="1031"/>
      <c r="Q37" s="1031"/>
      <c r="R37" s="1031"/>
      <c r="S37" s="1031"/>
      <c r="T37" s="1032"/>
      <c r="AT37" s="998"/>
      <c r="AU37" s="998"/>
    </row>
    <row r="38" spans="1:47" s="974" customFormat="1" ht="18" customHeight="1">
      <c r="A38" s="959"/>
      <c r="B38" s="969"/>
      <c r="C38" s="1015">
        <v>3</v>
      </c>
      <c r="D38" s="1015" t="s">
        <v>83</v>
      </c>
      <c r="E38" s="1016" t="s">
        <v>1073</v>
      </c>
      <c r="F38" s="1017" t="s">
        <v>2612</v>
      </c>
      <c r="G38" s="1018" t="s">
        <v>19</v>
      </c>
      <c r="H38" s="1019">
        <f>H43</f>
        <v>461</v>
      </c>
      <c r="I38" s="1020"/>
      <c r="J38" s="1021">
        <f>ROUND(I38*H38,2)</f>
        <v>0</v>
      </c>
      <c r="K38" s="959"/>
      <c r="L38" s="969"/>
      <c r="M38" s="981"/>
      <c r="N38" s="982"/>
      <c r="O38" s="983"/>
      <c r="P38" s="983"/>
      <c r="Q38" s="983"/>
      <c r="R38" s="983"/>
      <c r="S38" s="983"/>
      <c r="T38" s="984"/>
      <c r="U38" s="959"/>
      <c r="V38" s="959"/>
      <c r="W38" s="959"/>
      <c r="X38" s="959"/>
      <c r="Y38" s="959"/>
      <c r="Z38" s="959"/>
      <c r="AA38" s="959"/>
      <c r="AB38" s="959"/>
      <c r="AC38" s="959"/>
      <c r="AD38" s="959"/>
      <c r="AE38" s="959"/>
      <c r="AT38" s="976"/>
      <c r="AU38" s="976"/>
    </row>
    <row r="39" spans="1:47" s="974" customFormat="1">
      <c r="A39" s="959"/>
      <c r="B39" s="969"/>
      <c r="C39" s="959"/>
      <c r="D39" s="978" t="s">
        <v>1067</v>
      </c>
      <c r="E39" s="959"/>
      <c r="F39" s="979" t="s">
        <v>2612</v>
      </c>
      <c r="G39" s="959"/>
      <c r="H39" s="959"/>
      <c r="I39" s="959"/>
      <c r="J39" s="980"/>
      <c r="K39" s="959"/>
      <c r="L39" s="969"/>
      <c r="M39" s="981"/>
      <c r="N39" s="982"/>
      <c r="O39" s="983"/>
      <c r="P39" s="983"/>
      <c r="Q39" s="983"/>
      <c r="R39" s="983"/>
      <c r="S39" s="983"/>
      <c r="T39" s="984"/>
      <c r="U39" s="959"/>
      <c r="V39" s="959"/>
      <c r="W39" s="959"/>
      <c r="X39" s="959"/>
      <c r="Y39" s="959"/>
      <c r="Z39" s="959"/>
      <c r="AA39" s="959"/>
      <c r="AB39" s="959"/>
      <c r="AC39" s="959"/>
      <c r="AD39" s="959"/>
      <c r="AE39" s="959"/>
      <c r="AT39" s="976"/>
      <c r="AU39" s="976"/>
    </row>
    <row r="40" spans="1:47" s="980" customFormat="1" ht="14.25">
      <c r="B40" s="992"/>
      <c r="D40" s="1026"/>
      <c r="F40" s="1027" t="s">
        <v>2537</v>
      </c>
      <c r="G40" s="1028"/>
      <c r="H40" s="1029">
        <v>90</v>
      </c>
      <c r="L40" s="992"/>
      <c r="M40" s="1030"/>
      <c r="N40" s="1031"/>
      <c r="O40" s="1031"/>
      <c r="P40" s="1031"/>
      <c r="Q40" s="1031"/>
      <c r="R40" s="1031"/>
      <c r="S40" s="1031"/>
      <c r="T40" s="1032"/>
      <c r="AT40" s="998"/>
      <c r="AU40" s="998"/>
    </row>
    <row r="41" spans="1:47" s="980" customFormat="1" ht="14.25">
      <c r="B41" s="992"/>
      <c r="D41" s="1026"/>
      <c r="F41" s="1027" t="s">
        <v>2538</v>
      </c>
      <c r="G41" s="1028"/>
      <c r="H41" s="1029">
        <v>276</v>
      </c>
      <c r="L41" s="992"/>
      <c r="M41" s="1030"/>
      <c r="N41" s="1031"/>
      <c r="O41" s="1031"/>
      <c r="P41" s="1031"/>
      <c r="Q41" s="1031"/>
      <c r="R41" s="1031"/>
      <c r="S41" s="1031"/>
      <c r="T41" s="1032"/>
      <c r="AT41" s="998"/>
      <c r="AU41" s="998"/>
    </row>
    <row r="42" spans="1:47" s="980" customFormat="1" ht="14.25">
      <c r="B42" s="992"/>
      <c r="D42" s="1026"/>
      <c r="F42" s="1027" t="s">
        <v>2535</v>
      </c>
      <c r="G42" s="1028"/>
      <c r="H42" s="1029">
        <v>95</v>
      </c>
      <c r="L42" s="992"/>
      <c r="M42" s="1030"/>
      <c r="N42" s="1031"/>
      <c r="O42" s="1031"/>
      <c r="P42" s="1031"/>
      <c r="Q42" s="1031"/>
      <c r="R42" s="1031"/>
      <c r="S42" s="1031"/>
      <c r="T42" s="1032"/>
      <c r="AT42" s="998"/>
      <c r="AU42" s="998"/>
    </row>
    <row r="43" spans="1:47" s="980" customFormat="1" ht="14.25">
      <c r="B43" s="992"/>
      <c r="D43" s="1026"/>
      <c r="F43" s="1027" t="s">
        <v>2536</v>
      </c>
      <c r="G43" s="1028"/>
      <c r="H43" s="1029">
        <f>SUM(H40:H42)</f>
        <v>461</v>
      </c>
      <c r="L43" s="992"/>
      <c r="M43" s="1030"/>
      <c r="N43" s="1031"/>
      <c r="O43" s="1031"/>
      <c r="P43" s="1031"/>
      <c r="Q43" s="1031"/>
      <c r="R43" s="1031"/>
      <c r="S43" s="1031"/>
      <c r="T43" s="1032"/>
      <c r="AT43" s="998"/>
      <c r="AU43" s="998"/>
    </row>
    <row r="44" spans="1:47" s="22" customFormat="1" ht="21" customHeight="1">
      <c r="A44" s="980"/>
      <c r="B44" s="992"/>
      <c r="C44" s="4"/>
      <c r="D44" s="1033"/>
      <c r="E44" s="1034">
        <v>3</v>
      </c>
      <c r="F44" s="1034" t="s">
        <v>17</v>
      </c>
      <c r="G44" s="1035"/>
      <c r="H44" s="1035"/>
      <c r="I44" s="1035"/>
      <c r="J44" s="1005">
        <f>SUM(J45:J50)</f>
        <v>0</v>
      </c>
      <c r="K44" s="50"/>
      <c r="L44" s="24"/>
      <c r="M44" s="54"/>
      <c r="N44" s="54"/>
    </row>
    <row r="45" spans="1:47" s="22" customFormat="1" ht="24">
      <c r="A45" s="980"/>
      <c r="B45" s="992"/>
      <c r="C45" s="986">
        <v>8</v>
      </c>
      <c r="D45" s="986" t="s">
        <v>29</v>
      </c>
      <c r="E45" s="987" t="s">
        <v>2546</v>
      </c>
      <c r="F45" s="988" t="s">
        <v>2547</v>
      </c>
      <c r="G45" s="989" t="s">
        <v>19</v>
      </c>
      <c r="H45" s="990">
        <f>SUM(H50)</f>
        <v>48</v>
      </c>
      <c r="I45" s="967"/>
      <c r="J45" s="967">
        <f>ROUND(H45*I45,2)</f>
        <v>0</v>
      </c>
      <c r="K45" s="43"/>
      <c r="L45" s="24"/>
      <c r="M45" s="54"/>
      <c r="N45" s="54"/>
    </row>
    <row r="46" spans="1:47" s="22" customFormat="1" ht="14.25">
      <c r="A46" s="980"/>
      <c r="B46" s="992"/>
      <c r="C46" s="56"/>
      <c r="D46" s="3"/>
      <c r="E46" s="3"/>
      <c r="F46" s="59" t="s">
        <v>2550</v>
      </c>
      <c r="G46" s="77"/>
      <c r="H46" s="57">
        <v>12</v>
      </c>
      <c r="I46" s="3"/>
      <c r="J46" s="58"/>
      <c r="K46" s="43"/>
      <c r="L46" s="24"/>
      <c r="M46" s="54"/>
      <c r="N46" s="54"/>
    </row>
    <row r="47" spans="1:47" s="22" customFormat="1" ht="14.25">
      <c r="A47" s="980"/>
      <c r="B47" s="992"/>
      <c r="C47" s="56"/>
      <c r="D47" s="3"/>
      <c r="E47" s="3"/>
      <c r="F47" s="59" t="s">
        <v>2551</v>
      </c>
      <c r="G47" s="77"/>
      <c r="H47" s="57">
        <v>4</v>
      </c>
      <c r="I47" s="3"/>
      <c r="J47" s="58"/>
      <c r="K47" s="43"/>
      <c r="L47" s="24"/>
      <c r="M47" s="54"/>
      <c r="N47" s="54"/>
    </row>
    <row r="48" spans="1:47" s="22" customFormat="1" ht="14.25">
      <c r="A48" s="980"/>
      <c r="B48" s="992"/>
      <c r="C48" s="56"/>
      <c r="D48" s="3"/>
      <c r="E48" s="3"/>
      <c r="F48" s="59" t="s">
        <v>2548</v>
      </c>
      <c r="G48" s="77"/>
      <c r="H48" s="57">
        <v>16</v>
      </c>
      <c r="I48" s="3"/>
      <c r="J48" s="58"/>
      <c r="K48" s="43"/>
      <c r="L48" s="24"/>
      <c r="M48" s="54"/>
      <c r="N48" s="54"/>
    </row>
    <row r="49" spans="1:65" s="22" customFormat="1" ht="14.25">
      <c r="A49" s="980"/>
      <c r="B49" s="992"/>
      <c r="C49" s="56"/>
      <c r="D49" s="3"/>
      <c r="E49" s="3"/>
      <c r="F49" s="59" t="s">
        <v>2549</v>
      </c>
      <c r="G49" s="77"/>
      <c r="H49" s="57">
        <v>16</v>
      </c>
      <c r="I49" s="3"/>
      <c r="J49" s="58"/>
      <c r="K49" s="43"/>
      <c r="L49" s="24"/>
      <c r="M49" s="54"/>
      <c r="N49" s="54"/>
    </row>
    <row r="50" spans="1:65" s="22" customFormat="1" ht="14.25">
      <c r="A50" s="980"/>
      <c r="B50" s="992"/>
      <c r="C50" s="56"/>
      <c r="D50" s="3"/>
      <c r="E50" s="3"/>
      <c r="F50" s="1012" t="s">
        <v>26</v>
      </c>
      <c r="G50" s="1013"/>
      <c r="H50" s="1014">
        <f>SUM(H46:H49)</f>
        <v>48</v>
      </c>
      <c r="I50" s="3"/>
      <c r="J50" s="58"/>
      <c r="K50" s="43"/>
      <c r="L50" s="24"/>
      <c r="M50" s="54"/>
      <c r="N50" s="54"/>
    </row>
    <row r="51" spans="1:65" s="1001" customFormat="1" ht="22.9" customHeight="1">
      <c r="B51" s="1002"/>
      <c r="D51" s="1003" t="s">
        <v>491</v>
      </c>
      <c r="E51" s="1004" t="s">
        <v>1074</v>
      </c>
      <c r="F51" s="1004" t="s">
        <v>1075</v>
      </c>
      <c r="J51" s="1005">
        <f>SUM(J52:J86)</f>
        <v>0</v>
      </c>
      <c r="L51" s="1002"/>
      <c r="M51" s="1006"/>
      <c r="N51" s="1007"/>
      <c r="O51" s="1007"/>
      <c r="P51" s="1008">
        <f>SUM(P52:P76)</f>
        <v>374.11500000000001</v>
      </c>
      <c r="Q51" s="1007"/>
      <c r="R51" s="1008">
        <f>SUM(R52:R76)</f>
        <v>1449.3635000000002</v>
      </c>
      <c r="S51" s="1007"/>
      <c r="T51" s="1009">
        <f>SUM(T52:T76)</f>
        <v>0</v>
      </c>
      <c r="AR51" s="1003" t="s">
        <v>791</v>
      </c>
      <c r="AT51" s="1010" t="s">
        <v>491</v>
      </c>
      <c r="AU51" s="1010" t="s">
        <v>791</v>
      </c>
      <c r="AY51" s="1003" t="s">
        <v>1063</v>
      </c>
      <c r="BK51" s="1011">
        <f>SUM(BK52:BK76)</f>
        <v>0</v>
      </c>
    </row>
    <row r="52" spans="1:65" s="974" customFormat="1" ht="14.45" customHeight="1">
      <c r="A52" s="959"/>
      <c r="B52" s="960"/>
      <c r="C52" s="961">
        <v>4</v>
      </c>
      <c r="D52" s="961" t="s">
        <v>29</v>
      </c>
      <c r="E52" s="962" t="s">
        <v>1076</v>
      </c>
      <c r="F52" s="963" t="s">
        <v>2610</v>
      </c>
      <c r="G52" s="964" t="s">
        <v>13</v>
      </c>
      <c r="H52" s="965">
        <f>H58</f>
        <v>2545</v>
      </c>
      <c r="I52" s="966"/>
      <c r="J52" s="967">
        <f>ROUND(I52*H52,2)</f>
        <v>0</v>
      </c>
      <c r="K52" s="968"/>
      <c r="L52" s="969"/>
      <c r="M52" s="970" t="s">
        <v>1043</v>
      </c>
      <c r="N52" s="971" t="s">
        <v>1048</v>
      </c>
      <c r="O52" s="972">
        <v>0</v>
      </c>
      <c r="P52" s="972">
        <f>O52*H52</f>
        <v>0</v>
      </c>
      <c r="Q52" s="972">
        <v>8.1100000000000005E-2</v>
      </c>
      <c r="R52" s="972">
        <f>Q52*H52</f>
        <v>206.39950000000002</v>
      </c>
      <c r="S52" s="972">
        <v>0</v>
      </c>
      <c r="T52" s="973">
        <f>S52*H52</f>
        <v>0</v>
      </c>
      <c r="U52" s="959"/>
      <c r="V52" s="959"/>
      <c r="W52" s="959"/>
      <c r="X52" s="959"/>
      <c r="Y52" s="959"/>
      <c r="Z52" s="959"/>
      <c r="AA52" s="959"/>
      <c r="AB52" s="959"/>
      <c r="AC52" s="959"/>
      <c r="AD52" s="959"/>
      <c r="AE52" s="959"/>
      <c r="AR52" s="975" t="s">
        <v>1065</v>
      </c>
      <c r="AT52" s="975" t="s">
        <v>29</v>
      </c>
      <c r="AU52" s="975" t="s">
        <v>795</v>
      </c>
      <c r="AY52" s="976" t="s">
        <v>1063</v>
      </c>
      <c r="BE52" s="977">
        <f>IF(N52="základní",J52,0)</f>
        <v>0</v>
      </c>
      <c r="BF52" s="977">
        <f>IF(N52="snížená",J52,0)</f>
        <v>0</v>
      </c>
      <c r="BG52" s="977">
        <f>IF(N52="zákl. přenesená",J52,0)</f>
        <v>0</v>
      </c>
      <c r="BH52" s="977">
        <f>IF(N52="sníž. přenesená",J52,0)</f>
        <v>0</v>
      </c>
      <c r="BI52" s="977">
        <f>IF(N52="nulová",J52,0)</f>
        <v>0</v>
      </c>
      <c r="BJ52" s="976" t="s">
        <v>791</v>
      </c>
      <c r="BK52" s="977">
        <f>ROUND(I52*H52,2)</f>
        <v>0</v>
      </c>
      <c r="BL52" s="976" t="s">
        <v>1065</v>
      </c>
      <c r="BM52" s="975" t="s">
        <v>1077</v>
      </c>
    </row>
    <row r="53" spans="1:65" s="974" customFormat="1">
      <c r="A53" s="959"/>
      <c r="B53" s="969"/>
      <c r="C53" s="959"/>
      <c r="D53" s="978" t="s">
        <v>1067</v>
      </c>
      <c r="E53" s="959"/>
      <c r="F53" s="979" t="s">
        <v>2611</v>
      </c>
      <c r="G53" s="959"/>
      <c r="H53" s="959"/>
      <c r="I53" s="959"/>
      <c r="J53" s="980"/>
      <c r="K53" s="959"/>
      <c r="L53" s="969"/>
      <c r="M53" s="981"/>
      <c r="N53" s="982"/>
      <c r="O53" s="983"/>
      <c r="P53" s="983"/>
      <c r="Q53" s="983"/>
      <c r="R53" s="983"/>
      <c r="S53" s="983"/>
      <c r="T53" s="984"/>
      <c r="U53" s="959"/>
      <c r="V53" s="959"/>
      <c r="W53" s="959"/>
      <c r="X53" s="959"/>
      <c r="Y53" s="959"/>
      <c r="Z53" s="959"/>
      <c r="AA53" s="959"/>
      <c r="AB53" s="959"/>
      <c r="AC53" s="959"/>
      <c r="AD53" s="959"/>
      <c r="AE53" s="959"/>
      <c r="AT53" s="976" t="s">
        <v>1067</v>
      </c>
      <c r="AU53" s="976" t="s">
        <v>795</v>
      </c>
    </row>
    <row r="54" spans="1:65" s="980" customFormat="1" ht="14.25">
      <c r="B54" s="992"/>
      <c r="D54" s="1026"/>
      <c r="F54" s="1036" t="s">
        <v>2532</v>
      </c>
      <c r="H54" s="1037">
        <v>500</v>
      </c>
      <c r="L54" s="992"/>
      <c r="M54" s="1030"/>
      <c r="N54" s="1031"/>
      <c r="O54" s="1031"/>
      <c r="P54" s="1031"/>
      <c r="Q54" s="1031"/>
      <c r="R54" s="1031"/>
      <c r="S54" s="1031"/>
      <c r="T54" s="1032"/>
      <c r="AT54" s="998"/>
      <c r="AU54" s="998"/>
    </row>
    <row r="55" spans="1:65" s="980" customFormat="1" ht="14.25">
      <c r="B55" s="992"/>
      <c r="D55" s="1026"/>
      <c r="F55" s="1036" t="s">
        <v>2533</v>
      </c>
      <c r="H55" s="1037">
        <v>695</v>
      </c>
      <c r="L55" s="992"/>
      <c r="M55" s="1030"/>
      <c r="N55" s="1031"/>
      <c r="O55" s="1031"/>
      <c r="P55" s="1031"/>
      <c r="Q55" s="1031"/>
      <c r="R55" s="1031"/>
      <c r="S55" s="1031"/>
      <c r="T55" s="1032"/>
      <c r="AT55" s="998"/>
      <c r="AU55" s="998"/>
    </row>
    <row r="56" spans="1:65" s="980" customFormat="1" ht="14.25">
      <c r="B56" s="992"/>
      <c r="D56" s="1026"/>
      <c r="F56" s="1036" t="s">
        <v>2534</v>
      </c>
      <c r="H56" s="1037">
        <v>820</v>
      </c>
      <c r="L56" s="992"/>
      <c r="M56" s="1030"/>
      <c r="N56" s="1031"/>
      <c r="O56" s="1031"/>
      <c r="P56" s="1031"/>
      <c r="Q56" s="1031"/>
      <c r="R56" s="1031"/>
      <c r="S56" s="1031"/>
      <c r="T56" s="1032"/>
      <c r="AT56" s="998"/>
      <c r="AU56" s="998"/>
    </row>
    <row r="57" spans="1:65" s="980" customFormat="1" ht="14.25">
      <c r="B57" s="992"/>
      <c r="D57" s="1026"/>
      <c r="F57" s="1036" t="s">
        <v>2535</v>
      </c>
      <c r="H57" s="1037">
        <v>530</v>
      </c>
      <c r="L57" s="992"/>
      <c r="M57" s="1030"/>
      <c r="N57" s="1031"/>
      <c r="O57" s="1031"/>
      <c r="P57" s="1031"/>
      <c r="Q57" s="1031"/>
      <c r="R57" s="1031"/>
      <c r="S57" s="1031"/>
      <c r="T57" s="1032"/>
      <c r="AT57" s="998"/>
      <c r="AU57" s="998"/>
    </row>
    <row r="58" spans="1:65" s="980" customFormat="1" ht="14.25">
      <c r="B58" s="992"/>
      <c r="D58" s="1026"/>
      <c r="F58" s="1036" t="s">
        <v>2536</v>
      </c>
      <c r="H58" s="1037">
        <f>SUM(H54:H57)</f>
        <v>2545</v>
      </c>
      <c r="L58" s="992"/>
      <c r="M58" s="1030"/>
      <c r="N58" s="1031"/>
      <c r="O58" s="1031"/>
      <c r="P58" s="1031"/>
      <c r="Q58" s="1031"/>
      <c r="R58" s="1031"/>
      <c r="S58" s="1031"/>
      <c r="T58" s="1032"/>
      <c r="AT58" s="998"/>
      <c r="AU58" s="998"/>
    </row>
    <row r="59" spans="1:65" s="974" customFormat="1" ht="24.2" customHeight="1">
      <c r="A59" s="959"/>
      <c r="B59" s="960"/>
      <c r="C59" s="961">
        <v>5</v>
      </c>
      <c r="D59" s="961" t="s">
        <v>29</v>
      </c>
      <c r="E59" s="962" t="s">
        <v>1078</v>
      </c>
      <c r="F59" s="1102" t="s">
        <v>2731</v>
      </c>
      <c r="G59" s="964" t="s">
        <v>13</v>
      </c>
      <c r="H59" s="965">
        <f>H65</f>
        <v>2545</v>
      </c>
      <c r="I59" s="966"/>
      <c r="J59" s="967">
        <f>ROUND(I59*H59,2)</f>
        <v>0</v>
      </c>
      <c r="K59" s="968"/>
      <c r="L59" s="969"/>
      <c r="M59" s="970" t="s">
        <v>1043</v>
      </c>
      <c r="N59" s="971" t="s">
        <v>1048</v>
      </c>
      <c r="O59" s="972">
        <v>2.8000000000000001E-2</v>
      </c>
      <c r="P59" s="972">
        <f>O59*H59</f>
        <v>71.260000000000005</v>
      </c>
      <c r="Q59" s="972">
        <v>0</v>
      </c>
      <c r="R59" s="972">
        <f>Q59*H59</f>
        <v>0</v>
      </c>
      <c r="S59" s="972">
        <v>0</v>
      </c>
      <c r="T59" s="973">
        <f>S59*H59</f>
        <v>0</v>
      </c>
      <c r="U59" s="959"/>
      <c r="V59" s="959"/>
      <c r="W59" s="959"/>
      <c r="X59" s="959"/>
      <c r="Y59" s="959"/>
      <c r="Z59" s="959"/>
      <c r="AA59" s="959"/>
      <c r="AB59" s="959"/>
      <c r="AC59" s="959"/>
      <c r="AD59" s="959"/>
      <c r="AE59" s="959"/>
      <c r="AR59" s="975" t="s">
        <v>1065</v>
      </c>
      <c r="AT59" s="975" t="s">
        <v>29</v>
      </c>
      <c r="AU59" s="975" t="s">
        <v>795</v>
      </c>
      <c r="AY59" s="976" t="s">
        <v>1063</v>
      </c>
      <c r="BE59" s="977">
        <f>IF(N59="základní",J59,0)</f>
        <v>0</v>
      </c>
      <c r="BF59" s="977">
        <f>IF(N59="snížená",J59,0)</f>
        <v>0</v>
      </c>
      <c r="BG59" s="977">
        <f>IF(N59="zákl. přenesená",J59,0)</f>
        <v>0</v>
      </c>
      <c r="BH59" s="977">
        <f>IF(N59="sníž. přenesená",J59,0)</f>
        <v>0</v>
      </c>
      <c r="BI59" s="977">
        <f>IF(N59="nulová",J59,0)</f>
        <v>0</v>
      </c>
      <c r="BJ59" s="976" t="s">
        <v>791</v>
      </c>
      <c r="BK59" s="977">
        <f>ROUND(I59*H59,2)</f>
        <v>0</v>
      </c>
      <c r="BL59" s="976" t="s">
        <v>1065</v>
      </c>
      <c r="BM59" s="975" t="s">
        <v>1079</v>
      </c>
    </row>
    <row r="60" spans="1:65" s="974" customFormat="1" ht="19.5">
      <c r="A60" s="959"/>
      <c r="B60" s="969"/>
      <c r="C60" s="959"/>
      <c r="D60" s="978" t="s">
        <v>1067</v>
      </c>
      <c r="E60" s="959"/>
      <c r="F60" s="979" t="s">
        <v>2609</v>
      </c>
      <c r="G60" s="959"/>
      <c r="H60" s="959"/>
      <c r="I60" s="959"/>
      <c r="J60" s="980"/>
      <c r="K60" s="959"/>
      <c r="L60" s="969"/>
      <c r="M60" s="981"/>
      <c r="N60" s="982"/>
      <c r="O60" s="983"/>
      <c r="P60" s="983"/>
      <c r="Q60" s="983"/>
      <c r="R60" s="983"/>
      <c r="S60" s="983"/>
      <c r="T60" s="984"/>
      <c r="U60" s="959"/>
      <c r="V60" s="959"/>
      <c r="W60" s="959"/>
      <c r="X60" s="959"/>
      <c r="Y60" s="959"/>
      <c r="Z60" s="959"/>
      <c r="AA60" s="959"/>
      <c r="AB60" s="959"/>
      <c r="AC60" s="959"/>
      <c r="AD60" s="959"/>
      <c r="AE60" s="959"/>
      <c r="AT60" s="976" t="s">
        <v>1067</v>
      </c>
      <c r="AU60" s="976" t="s">
        <v>795</v>
      </c>
    </row>
    <row r="61" spans="1:65" s="980" customFormat="1" ht="14.25">
      <c r="B61" s="992"/>
      <c r="D61" s="1026"/>
      <c r="F61" s="1036" t="s">
        <v>2532</v>
      </c>
      <c r="H61" s="1037">
        <v>500</v>
      </c>
      <c r="L61" s="992"/>
      <c r="M61" s="1030"/>
      <c r="N61" s="1031"/>
      <c r="O61" s="1031"/>
      <c r="P61" s="1031"/>
      <c r="Q61" s="1031"/>
      <c r="R61" s="1031"/>
      <c r="S61" s="1031"/>
      <c r="T61" s="1032"/>
      <c r="AT61" s="998"/>
      <c r="AU61" s="998"/>
    </row>
    <row r="62" spans="1:65" s="980" customFormat="1" ht="14.25">
      <c r="B62" s="992"/>
      <c r="D62" s="1026"/>
      <c r="F62" s="1036" t="s">
        <v>2533</v>
      </c>
      <c r="H62" s="1037">
        <v>695</v>
      </c>
      <c r="L62" s="992"/>
      <c r="M62" s="1030"/>
      <c r="N62" s="1031"/>
      <c r="O62" s="1031"/>
      <c r="P62" s="1031"/>
      <c r="Q62" s="1031"/>
      <c r="R62" s="1031"/>
      <c r="S62" s="1031"/>
      <c r="T62" s="1032"/>
      <c r="AT62" s="998"/>
      <c r="AU62" s="998"/>
    </row>
    <row r="63" spans="1:65" s="980" customFormat="1" ht="14.25">
      <c r="B63" s="992"/>
      <c r="D63" s="1026"/>
      <c r="F63" s="1036" t="s">
        <v>2534</v>
      </c>
      <c r="H63" s="1037">
        <v>820</v>
      </c>
      <c r="L63" s="992"/>
      <c r="M63" s="1030"/>
      <c r="N63" s="1031"/>
      <c r="O63" s="1031"/>
      <c r="P63" s="1031"/>
      <c r="Q63" s="1031"/>
      <c r="R63" s="1031"/>
      <c r="S63" s="1031"/>
      <c r="T63" s="1032"/>
      <c r="AT63" s="998"/>
      <c r="AU63" s="998"/>
    </row>
    <row r="64" spans="1:65" s="980" customFormat="1" ht="14.25">
      <c r="B64" s="992"/>
      <c r="D64" s="1026"/>
      <c r="F64" s="1036" t="s">
        <v>2535</v>
      </c>
      <c r="H64" s="1037">
        <v>530</v>
      </c>
      <c r="L64" s="992"/>
      <c r="M64" s="1030"/>
      <c r="N64" s="1031"/>
      <c r="O64" s="1031"/>
      <c r="P64" s="1031"/>
      <c r="Q64" s="1031"/>
      <c r="R64" s="1031"/>
      <c r="S64" s="1031"/>
      <c r="T64" s="1032"/>
      <c r="AT64" s="998"/>
      <c r="AU64" s="998"/>
    </row>
    <row r="65" spans="1:65" s="980" customFormat="1" ht="14.25">
      <c r="B65" s="992"/>
      <c r="D65" s="1026"/>
      <c r="F65" s="1036" t="s">
        <v>2536</v>
      </c>
      <c r="H65" s="1037">
        <f>SUM(H61:H64)</f>
        <v>2545</v>
      </c>
      <c r="L65" s="992"/>
      <c r="M65" s="1030"/>
      <c r="N65" s="1031"/>
      <c r="O65" s="1031"/>
      <c r="P65" s="1031"/>
      <c r="Q65" s="1031"/>
      <c r="R65" s="1031"/>
      <c r="S65" s="1031"/>
      <c r="T65" s="1032"/>
      <c r="AT65" s="998"/>
      <c r="AU65" s="998"/>
    </row>
    <row r="66" spans="1:65" s="974" customFormat="1" ht="14.45" customHeight="1">
      <c r="A66" s="959"/>
      <c r="B66" s="960"/>
      <c r="C66" s="961">
        <v>6</v>
      </c>
      <c r="D66" s="961" t="s">
        <v>29</v>
      </c>
      <c r="E66" s="962" t="s">
        <v>1080</v>
      </c>
      <c r="F66" s="1102" t="s">
        <v>2696</v>
      </c>
      <c r="G66" s="964" t="s">
        <v>13</v>
      </c>
      <c r="H66" s="1086">
        <f>H69</f>
        <v>500</v>
      </c>
      <c r="I66" s="966"/>
      <c r="J66" s="967">
        <f>ROUND(I66*H66,2)</f>
        <v>0</v>
      </c>
      <c r="K66" s="968"/>
      <c r="L66" s="969"/>
      <c r="M66" s="970" t="s">
        <v>1043</v>
      </c>
      <c r="N66" s="971" t="s">
        <v>1048</v>
      </c>
      <c r="O66" s="972">
        <v>0.11899999999999999</v>
      </c>
      <c r="P66" s="972">
        <f>O66*H66</f>
        <v>59.5</v>
      </c>
      <c r="Q66" s="972">
        <v>0.47720000000000001</v>
      </c>
      <c r="R66" s="972">
        <f>Q66*H66</f>
        <v>238.6</v>
      </c>
      <c r="S66" s="972">
        <v>0</v>
      </c>
      <c r="T66" s="973">
        <f>S66*H66</f>
        <v>0</v>
      </c>
      <c r="U66" s="959"/>
      <c r="V66" s="959"/>
      <c r="W66" s="959"/>
      <c r="X66" s="959"/>
      <c r="Y66" s="959"/>
      <c r="Z66" s="959"/>
      <c r="AA66" s="959"/>
      <c r="AB66" s="959"/>
      <c r="AC66" s="959"/>
      <c r="AD66" s="959"/>
      <c r="AE66" s="959"/>
      <c r="AR66" s="975" t="s">
        <v>1065</v>
      </c>
      <c r="AT66" s="975" t="s">
        <v>29</v>
      </c>
      <c r="AU66" s="975" t="s">
        <v>795</v>
      </c>
      <c r="AY66" s="976" t="s">
        <v>1063</v>
      </c>
      <c r="BE66" s="977">
        <f>IF(N66="základní",J66,0)</f>
        <v>0</v>
      </c>
      <c r="BF66" s="977">
        <f>IF(N66="snížená",J66,0)</f>
        <v>0</v>
      </c>
      <c r="BG66" s="977">
        <f>IF(N66="zákl. přenesená",J66,0)</f>
        <v>0</v>
      </c>
      <c r="BH66" s="977">
        <f>IF(N66="sníž. přenesená",J66,0)</f>
        <v>0</v>
      </c>
      <c r="BI66" s="977">
        <f>IF(N66="nulová",J66,0)</f>
        <v>0</v>
      </c>
      <c r="BJ66" s="976" t="s">
        <v>791</v>
      </c>
      <c r="BK66" s="977">
        <f>ROUND(I66*H66,2)</f>
        <v>0</v>
      </c>
      <c r="BL66" s="976" t="s">
        <v>1065</v>
      </c>
      <c r="BM66" s="975" t="s">
        <v>1081</v>
      </c>
    </row>
    <row r="67" spans="1:65" s="974" customFormat="1">
      <c r="A67" s="959"/>
      <c r="B67" s="969"/>
      <c r="C67" s="959"/>
      <c r="D67" s="978" t="s">
        <v>1067</v>
      </c>
      <c r="E67" s="959"/>
      <c r="F67" s="1103" t="s">
        <v>2730</v>
      </c>
      <c r="G67" s="959"/>
      <c r="H67" s="959"/>
      <c r="I67" s="959"/>
      <c r="J67" s="980"/>
      <c r="K67" s="959"/>
      <c r="L67" s="969"/>
      <c r="M67" s="981"/>
      <c r="N67" s="982"/>
      <c r="O67" s="983"/>
      <c r="P67" s="983"/>
      <c r="Q67" s="983"/>
      <c r="R67" s="983"/>
      <c r="S67" s="983"/>
      <c r="T67" s="984"/>
      <c r="U67" s="959"/>
      <c r="V67" s="959"/>
      <c r="W67" s="959"/>
      <c r="X67" s="959"/>
      <c r="Y67" s="959"/>
      <c r="Z67" s="959"/>
      <c r="AA67" s="959"/>
      <c r="AB67" s="959"/>
      <c r="AC67" s="959"/>
      <c r="AD67" s="959"/>
      <c r="AE67" s="959"/>
      <c r="AT67" s="976" t="s">
        <v>1067</v>
      </c>
      <c r="AU67" s="976" t="s">
        <v>795</v>
      </c>
    </row>
    <row r="68" spans="1:65" s="980" customFormat="1" ht="14.25">
      <c r="B68" s="992"/>
      <c r="D68" s="1026"/>
      <c r="F68" s="1036" t="s">
        <v>2532</v>
      </c>
      <c r="H68" s="1037">
        <v>500</v>
      </c>
      <c r="L68" s="992"/>
      <c r="M68" s="1030"/>
      <c r="N68" s="1031"/>
      <c r="O68" s="1031"/>
      <c r="P68" s="1031"/>
      <c r="Q68" s="1031"/>
      <c r="R68" s="1031"/>
      <c r="S68" s="1031"/>
      <c r="T68" s="1032"/>
      <c r="AT68" s="998"/>
      <c r="AU68" s="998"/>
    </row>
    <row r="69" spans="1:65" s="980" customFormat="1" ht="14.25">
      <c r="B69" s="992"/>
      <c r="D69" s="1026"/>
      <c r="F69" s="1036" t="s">
        <v>2536</v>
      </c>
      <c r="H69" s="1037">
        <f>SUM(H68:H68)</f>
        <v>500</v>
      </c>
      <c r="L69" s="992"/>
      <c r="M69" s="1030"/>
      <c r="N69" s="1031"/>
      <c r="O69" s="1031"/>
      <c r="P69" s="1031"/>
      <c r="Q69" s="1031"/>
      <c r="R69" s="1031"/>
      <c r="S69" s="1031"/>
      <c r="T69" s="1032"/>
      <c r="AT69" s="998"/>
      <c r="AU69" s="998"/>
    </row>
    <row r="70" spans="1:65" s="974" customFormat="1" ht="24">
      <c r="A70" s="959"/>
      <c r="B70" s="960"/>
      <c r="C70" s="1088" t="s">
        <v>131</v>
      </c>
      <c r="D70" s="1083" t="s">
        <v>29</v>
      </c>
      <c r="E70" s="1084" t="s">
        <v>1080</v>
      </c>
      <c r="F70" s="1066" t="s">
        <v>2726</v>
      </c>
      <c r="G70" s="1085" t="s">
        <v>13</v>
      </c>
      <c r="H70" s="1086">
        <f>H75</f>
        <v>2045</v>
      </c>
      <c r="I70" s="1087"/>
      <c r="J70" s="1093">
        <f>ROUND(I70*H70,2)</f>
        <v>0</v>
      </c>
      <c r="K70" s="968"/>
      <c r="L70" s="969"/>
      <c r="M70" s="970" t="s">
        <v>1043</v>
      </c>
      <c r="N70" s="971" t="s">
        <v>1048</v>
      </c>
      <c r="O70" s="972">
        <v>0.11899999999999999</v>
      </c>
      <c r="P70" s="972">
        <f>O70*H70</f>
        <v>243.35499999999999</v>
      </c>
      <c r="Q70" s="972">
        <v>0.47720000000000001</v>
      </c>
      <c r="R70" s="972">
        <f>Q70*H70</f>
        <v>975.87400000000002</v>
      </c>
      <c r="S70" s="972">
        <v>0</v>
      </c>
      <c r="T70" s="973">
        <f>S70*H70</f>
        <v>0</v>
      </c>
      <c r="U70" s="959"/>
      <c r="V70" s="959"/>
      <c r="W70" s="959"/>
      <c r="X70" s="959"/>
      <c r="Y70" s="959"/>
      <c r="Z70" s="959"/>
      <c r="AA70" s="959"/>
      <c r="AB70" s="959"/>
      <c r="AC70" s="959"/>
      <c r="AD70" s="959"/>
      <c r="AE70" s="959"/>
      <c r="AR70" s="975" t="s">
        <v>1065</v>
      </c>
      <c r="AT70" s="975" t="s">
        <v>29</v>
      </c>
      <c r="AU70" s="975" t="s">
        <v>795</v>
      </c>
      <c r="AY70" s="976" t="s">
        <v>1063</v>
      </c>
      <c r="BE70" s="977">
        <f>IF(N70="základní",J70,0)</f>
        <v>0</v>
      </c>
      <c r="BF70" s="977">
        <f>IF(N70="snížená",J70,0)</f>
        <v>0</v>
      </c>
      <c r="BG70" s="977">
        <f>IF(N70="zákl. přenesená",J70,0)</f>
        <v>0</v>
      </c>
      <c r="BH70" s="977">
        <f>IF(N70="sníž. přenesená",J70,0)</f>
        <v>0</v>
      </c>
      <c r="BI70" s="977">
        <f>IF(N70="nulová",J70,0)</f>
        <v>0</v>
      </c>
      <c r="BJ70" s="976" t="s">
        <v>791</v>
      </c>
      <c r="BK70" s="977">
        <f>ROUND(I70*H70,2)</f>
        <v>0</v>
      </c>
      <c r="BL70" s="976" t="s">
        <v>1065</v>
      </c>
      <c r="BM70" s="975" t="s">
        <v>1081</v>
      </c>
    </row>
    <row r="71" spans="1:65" s="974" customFormat="1">
      <c r="A71" s="959"/>
      <c r="B71" s="969"/>
      <c r="C71" s="959"/>
      <c r="D71" s="978" t="s">
        <v>1067</v>
      </c>
      <c r="E71" s="959"/>
      <c r="F71" s="1103" t="s">
        <v>2727</v>
      </c>
      <c r="G71" s="959"/>
      <c r="H71" s="959"/>
      <c r="I71" s="959"/>
      <c r="J71" s="980"/>
      <c r="K71" s="959"/>
      <c r="L71" s="969"/>
      <c r="M71" s="981"/>
      <c r="N71" s="982"/>
      <c r="O71" s="983"/>
      <c r="P71" s="983"/>
      <c r="Q71" s="983"/>
      <c r="R71" s="983"/>
      <c r="S71" s="983"/>
      <c r="T71" s="984"/>
      <c r="U71" s="959"/>
      <c r="V71" s="959"/>
      <c r="W71" s="959"/>
      <c r="X71" s="959"/>
      <c r="Y71" s="959"/>
      <c r="Z71" s="959"/>
      <c r="AA71" s="959"/>
      <c r="AB71" s="959"/>
      <c r="AC71" s="959"/>
      <c r="AD71" s="959"/>
      <c r="AE71" s="959"/>
      <c r="AT71" s="976" t="s">
        <v>1067</v>
      </c>
      <c r="AU71" s="976" t="s">
        <v>795</v>
      </c>
    </row>
    <row r="72" spans="1:65" s="980" customFormat="1" ht="14.25">
      <c r="B72" s="992"/>
      <c r="D72" s="1026"/>
      <c r="F72" s="1036" t="s">
        <v>2533</v>
      </c>
      <c r="H72" s="1037">
        <v>695</v>
      </c>
      <c r="L72" s="992"/>
      <c r="M72" s="1030"/>
      <c r="N72" s="1031"/>
      <c r="O72" s="1031"/>
      <c r="P72" s="1031"/>
      <c r="Q72" s="1031"/>
      <c r="R72" s="1031"/>
      <c r="S72" s="1031"/>
      <c r="T72" s="1032"/>
      <c r="AT72" s="998"/>
      <c r="AU72" s="998"/>
    </row>
    <row r="73" spans="1:65" s="980" customFormat="1" ht="14.25">
      <c r="B73" s="992"/>
      <c r="D73" s="1026"/>
      <c r="F73" s="1036" t="s">
        <v>2534</v>
      </c>
      <c r="H73" s="1037">
        <v>820</v>
      </c>
      <c r="L73" s="992"/>
      <c r="M73" s="1030"/>
      <c r="N73" s="1031"/>
      <c r="O73" s="1031"/>
      <c r="P73" s="1031"/>
      <c r="Q73" s="1031"/>
      <c r="R73" s="1031"/>
      <c r="S73" s="1031"/>
      <c r="T73" s="1032"/>
      <c r="AT73" s="998"/>
      <c r="AU73" s="998"/>
    </row>
    <row r="74" spans="1:65" s="980" customFormat="1" ht="14.25">
      <c r="B74" s="992"/>
      <c r="D74" s="1026"/>
      <c r="F74" s="1036" t="s">
        <v>2535</v>
      </c>
      <c r="H74" s="1037">
        <v>530</v>
      </c>
      <c r="L74" s="992"/>
      <c r="M74" s="1030"/>
      <c r="N74" s="1031"/>
      <c r="O74" s="1031"/>
      <c r="P74" s="1031"/>
      <c r="Q74" s="1031"/>
      <c r="R74" s="1031"/>
      <c r="S74" s="1031"/>
      <c r="T74" s="1032"/>
      <c r="AT74" s="998"/>
      <c r="AU74" s="998"/>
    </row>
    <row r="75" spans="1:65" s="980" customFormat="1" ht="14.25">
      <c r="B75" s="992"/>
      <c r="D75" s="1026"/>
      <c r="F75" s="1036" t="s">
        <v>2536</v>
      </c>
      <c r="H75" s="1037">
        <f>SUM(H72:H74)</f>
        <v>2045</v>
      </c>
      <c r="L75" s="992"/>
      <c r="M75" s="1030"/>
      <c r="N75" s="1031"/>
      <c r="O75" s="1031"/>
      <c r="P75" s="1031"/>
      <c r="Q75" s="1031"/>
      <c r="R75" s="1031"/>
      <c r="S75" s="1031"/>
      <c r="T75" s="1032"/>
      <c r="AT75" s="998"/>
      <c r="AU75" s="998"/>
    </row>
    <row r="76" spans="1:65" s="974" customFormat="1" ht="24.2" customHeight="1">
      <c r="A76" s="959"/>
      <c r="B76" s="960"/>
      <c r="C76" s="961">
        <v>7</v>
      </c>
      <c r="D76" s="961" t="s">
        <v>29</v>
      </c>
      <c r="E76" s="962" t="s">
        <v>1082</v>
      </c>
      <c r="F76" s="1066" t="s">
        <v>2728</v>
      </c>
      <c r="G76" s="964" t="s">
        <v>13</v>
      </c>
      <c r="H76" s="1086">
        <f>H80</f>
        <v>1850</v>
      </c>
      <c r="I76" s="966"/>
      <c r="J76" s="967">
        <f>ROUND(I76*H76,2)</f>
        <v>0</v>
      </c>
      <c r="K76" s="968"/>
      <c r="L76" s="969"/>
      <c r="M76" s="970" t="s">
        <v>1043</v>
      </c>
      <c r="N76" s="971" t="s">
        <v>1048</v>
      </c>
      <c r="O76" s="972">
        <v>0</v>
      </c>
      <c r="P76" s="972">
        <f>O76*H76</f>
        <v>0</v>
      </c>
      <c r="Q76" s="972">
        <v>1.54E-2</v>
      </c>
      <c r="R76" s="972">
        <f>Q76*H76</f>
        <v>28.490000000000002</v>
      </c>
      <c r="S76" s="972">
        <v>0</v>
      </c>
      <c r="T76" s="973">
        <f>S76*H76</f>
        <v>0</v>
      </c>
      <c r="U76" s="959"/>
      <c r="V76" s="959"/>
      <c r="W76" s="959"/>
      <c r="X76" s="959"/>
      <c r="Y76" s="959"/>
      <c r="Z76" s="959"/>
      <c r="AA76" s="959"/>
      <c r="AB76" s="959"/>
      <c r="AC76" s="959"/>
      <c r="AD76" s="959"/>
      <c r="AE76" s="959"/>
      <c r="AR76" s="975" t="s">
        <v>1065</v>
      </c>
      <c r="AT76" s="975" t="s">
        <v>29</v>
      </c>
      <c r="AU76" s="975" t="s">
        <v>795</v>
      </c>
      <c r="AY76" s="976" t="s">
        <v>1063</v>
      </c>
      <c r="BE76" s="977">
        <f>IF(N76="základní",J76,0)</f>
        <v>0</v>
      </c>
      <c r="BF76" s="977">
        <f>IF(N76="snížená",J76,0)</f>
        <v>0</v>
      </c>
      <c r="BG76" s="977">
        <f>IF(N76="zákl. přenesená",J76,0)</f>
        <v>0</v>
      </c>
      <c r="BH76" s="977">
        <f>IF(N76="sníž. přenesená",J76,0)</f>
        <v>0</v>
      </c>
      <c r="BI76" s="977">
        <f>IF(N76="nulová",J76,0)</f>
        <v>0</v>
      </c>
      <c r="BJ76" s="976" t="s">
        <v>791</v>
      </c>
      <c r="BK76" s="977">
        <f>ROUND(I76*H76,2)</f>
        <v>0</v>
      </c>
      <c r="BL76" s="976" t="s">
        <v>1065</v>
      </c>
      <c r="BM76" s="975" t="s">
        <v>1083</v>
      </c>
    </row>
    <row r="77" spans="1:65" s="980" customFormat="1" ht="14.25">
      <c r="B77" s="992"/>
      <c r="D77" s="978" t="s">
        <v>1067</v>
      </c>
      <c r="F77" s="1036" t="s">
        <v>2532</v>
      </c>
      <c r="H77" s="1037">
        <v>500</v>
      </c>
      <c r="L77" s="992"/>
      <c r="M77" s="1030"/>
      <c r="N77" s="1031"/>
      <c r="O77" s="1031"/>
      <c r="P77" s="1031"/>
      <c r="Q77" s="1031"/>
      <c r="R77" s="1031"/>
      <c r="S77" s="1031"/>
      <c r="T77" s="1032"/>
      <c r="AT77" s="998"/>
      <c r="AU77" s="998"/>
    </row>
    <row r="78" spans="1:65" s="980" customFormat="1" ht="14.25">
      <c r="B78" s="992"/>
      <c r="D78" s="1026"/>
      <c r="F78" s="1036" t="s">
        <v>2534</v>
      </c>
      <c r="H78" s="1037">
        <v>820</v>
      </c>
      <c r="L78" s="992"/>
      <c r="M78" s="1030"/>
      <c r="N78" s="1031"/>
      <c r="O78" s="1031"/>
      <c r="P78" s="1031"/>
      <c r="Q78" s="1031"/>
      <c r="R78" s="1031"/>
      <c r="S78" s="1031"/>
      <c r="T78" s="1032"/>
      <c r="AT78" s="998"/>
      <c r="AU78" s="998"/>
    </row>
    <row r="79" spans="1:65" s="980" customFormat="1" ht="14.25">
      <c r="B79" s="992"/>
      <c r="D79" s="1026"/>
      <c r="F79" s="1036" t="s">
        <v>2535</v>
      </c>
      <c r="H79" s="1037">
        <v>530</v>
      </c>
      <c r="L79" s="992"/>
      <c r="M79" s="1030"/>
      <c r="N79" s="1031"/>
      <c r="O79" s="1031"/>
      <c r="P79" s="1031"/>
      <c r="Q79" s="1031"/>
      <c r="R79" s="1031"/>
      <c r="S79" s="1031"/>
      <c r="T79" s="1032"/>
      <c r="AT79" s="998"/>
      <c r="AU79" s="998"/>
    </row>
    <row r="80" spans="1:65" s="980" customFormat="1" ht="14.25">
      <c r="B80" s="992"/>
      <c r="D80" s="1026"/>
      <c r="F80" s="1036" t="s">
        <v>2536</v>
      </c>
      <c r="H80" s="1037">
        <f>SUM(H77:H79)</f>
        <v>1850</v>
      </c>
      <c r="L80" s="992"/>
      <c r="M80" s="1030"/>
      <c r="N80" s="1031"/>
      <c r="O80" s="1031"/>
      <c r="P80" s="1031"/>
      <c r="Q80" s="1031"/>
      <c r="R80" s="1031"/>
      <c r="S80" s="1031"/>
      <c r="T80" s="1032"/>
      <c r="AT80" s="998"/>
      <c r="AU80" s="998"/>
    </row>
    <row r="81" spans="1:65" s="974" customFormat="1" ht="36">
      <c r="A81" s="959"/>
      <c r="B81" s="960"/>
      <c r="C81" s="1088" t="s">
        <v>135</v>
      </c>
      <c r="D81" s="1083" t="s">
        <v>29</v>
      </c>
      <c r="E81" s="1084" t="s">
        <v>1082</v>
      </c>
      <c r="F81" s="1066" t="s">
        <v>2729</v>
      </c>
      <c r="G81" s="1085" t="s">
        <v>13</v>
      </c>
      <c r="H81" s="1086">
        <f>SUM(H83)</f>
        <v>695</v>
      </c>
      <c r="I81" s="1087"/>
      <c r="J81" s="1093">
        <f>ROUND(I81*H81,2)</f>
        <v>0</v>
      </c>
      <c r="K81" s="968"/>
      <c r="L81" s="969"/>
      <c r="M81" s="970" t="s">
        <v>1043</v>
      </c>
      <c r="N81" s="971" t="s">
        <v>1048</v>
      </c>
      <c r="O81" s="972">
        <v>0</v>
      </c>
      <c r="P81" s="972">
        <f>O81*H81</f>
        <v>0</v>
      </c>
      <c r="Q81" s="972">
        <v>1.54E-2</v>
      </c>
      <c r="R81" s="972">
        <f>Q81*H81</f>
        <v>10.703000000000001</v>
      </c>
      <c r="S81" s="972">
        <v>0</v>
      </c>
      <c r="T81" s="973">
        <f>S81*H81</f>
        <v>0</v>
      </c>
      <c r="U81" s="959"/>
      <c r="V81" s="959"/>
      <c r="W81" s="959"/>
      <c r="X81" s="959"/>
      <c r="Y81" s="959"/>
      <c r="Z81" s="959"/>
      <c r="AA81" s="959"/>
      <c r="AB81" s="959"/>
      <c r="AC81" s="959"/>
      <c r="AD81" s="959"/>
      <c r="AE81" s="959"/>
      <c r="AR81" s="975" t="s">
        <v>1065</v>
      </c>
      <c r="AT81" s="975" t="s">
        <v>29</v>
      </c>
      <c r="AU81" s="975" t="s">
        <v>795</v>
      </c>
      <c r="AY81" s="976" t="s">
        <v>1063</v>
      </c>
      <c r="BE81" s="977">
        <f>IF(N81="základní",J81,0)</f>
        <v>0</v>
      </c>
      <c r="BF81" s="977">
        <f>IF(N81="snížená",J81,0)</f>
        <v>0</v>
      </c>
      <c r="BG81" s="977">
        <f>IF(N81="zákl. přenesená",J81,0)</f>
        <v>0</v>
      </c>
      <c r="BH81" s="977">
        <f>IF(N81="sníž. přenesená",J81,0)</f>
        <v>0</v>
      </c>
      <c r="BI81" s="977">
        <f>IF(N81="nulová",J81,0)</f>
        <v>0</v>
      </c>
      <c r="BJ81" s="976" t="s">
        <v>791</v>
      </c>
      <c r="BK81" s="977">
        <f>ROUND(I81*H81,2)</f>
        <v>0</v>
      </c>
      <c r="BL81" s="976" t="s">
        <v>1065</v>
      </c>
      <c r="BM81" s="975" t="s">
        <v>1083</v>
      </c>
    </row>
    <row r="82" spans="1:65" s="974" customFormat="1">
      <c r="A82" s="959"/>
      <c r="B82" s="969"/>
      <c r="C82" s="959"/>
      <c r="D82" s="978" t="s">
        <v>1067</v>
      </c>
      <c r="E82" s="959"/>
      <c r="F82" s="1036" t="s">
        <v>2533</v>
      </c>
      <c r="G82" s="980"/>
      <c r="H82" s="1037">
        <v>695</v>
      </c>
      <c r="I82" s="959"/>
      <c r="J82" s="980"/>
      <c r="K82" s="959"/>
      <c r="L82" s="969"/>
      <c r="M82" s="981"/>
      <c r="N82" s="982"/>
      <c r="O82" s="983"/>
      <c r="P82" s="983"/>
      <c r="Q82" s="983"/>
      <c r="R82" s="983"/>
      <c r="S82" s="983"/>
      <c r="T82" s="984"/>
      <c r="U82" s="959"/>
      <c r="V82" s="959"/>
      <c r="W82" s="959"/>
      <c r="X82" s="959"/>
      <c r="Y82" s="959"/>
      <c r="Z82" s="959"/>
      <c r="AA82" s="959"/>
      <c r="AB82" s="959"/>
      <c r="AC82" s="959"/>
      <c r="AD82" s="959"/>
      <c r="AE82" s="959"/>
      <c r="AT82" s="976" t="s">
        <v>1067</v>
      </c>
      <c r="AU82" s="976" t="s">
        <v>795</v>
      </c>
    </row>
    <row r="83" spans="1:65" s="980" customFormat="1" ht="14.25">
      <c r="B83" s="992"/>
      <c r="D83" s="1026"/>
      <c r="F83" s="1036" t="s">
        <v>2536</v>
      </c>
      <c r="H83" s="1037">
        <f>SUM(H82:H82)</f>
        <v>695</v>
      </c>
      <c r="L83" s="992"/>
      <c r="M83" s="1030"/>
      <c r="N83" s="1031"/>
      <c r="O83" s="1031"/>
      <c r="P83" s="1031"/>
      <c r="Q83" s="1031"/>
      <c r="R83" s="1031"/>
      <c r="S83" s="1031"/>
      <c r="T83" s="1032"/>
      <c r="AT83" s="998"/>
      <c r="AU83" s="998"/>
    </row>
    <row r="84" spans="1:65" s="980" customFormat="1" ht="24.2" customHeight="1">
      <c r="B84" s="985"/>
      <c r="C84" s="986">
        <v>9</v>
      </c>
      <c r="D84" s="986" t="s">
        <v>29</v>
      </c>
      <c r="E84" s="987" t="s">
        <v>2557</v>
      </c>
      <c r="F84" s="988" t="s">
        <v>2540</v>
      </c>
      <c r="G84" s="989" t="s">
        <v>14</v>
      </c>
      <c r="H84" s="990">
        <f>H86</f>
        <v>118</v>
      </c>
      <c r="I84" s="967"/>
      <c r="J84" s="967">
        <f>ROUND(I84*H84,2)</f>
        <v>0</v>
      </c>
      <c r="K84" s="991"/>
      <c r="L84" s="992"/>
      <c r="M84" s="993" t="s">
        <v>1043</v>
      </c>
      <c r="N84" s="994" t="s">
        <v>1048</v>
      </c>
      <c r="O84" s="995">
        <v>0</v>
      </c>
      <c r="P84" s="995">
        <f>O84*H84</f>
        <v>0</v>
      </c>
      <c r="Q84" s="995">
        <v>1.54E-2</v>
      </c>
      <c r="R84" s="995">
        <f>Q84*H84</f>
        <v>1.8172000000000001</v>
      </c>
      <c r="S84" s="995">
        <v>0</v>
      </c>
      <c r="T84" s="996">
        <f>S84*H84</f>
        <v>0</v>
      </c>
      <c r="AR84" s="997" t="s">
        <v>1065</v>
      </c>
      <c r="AT84" s="997" t="s">
        <v>29</v>
      </c>
      <c r="AU84" s="997" t="s">
        <v>795</v>
      </c>
      <c r="AY84" s="998" t="s">
        <v>1063</v>
      </c>
      <c r="BE84" s="999">
        <f>IF(N84="základní",J84,0)</f>
        <v>0</v>
      </c>
      <c r="BF84" s="999">
        <f>IF(N84="snížená",J84,0)</f>
        <v>0</v>
      </c>
      <c r="BG84" s="999">
        <f>IF(N84="zákl. přenesená",J84,0)</f>
        <v>0</v>
      </c>
      <c r="BH84" s="999">
        <f>IF(N84="sníž. přenesená",J84,0)</f>
        <v>0</v>
      </c>
      <c r="BI84" s="999">
        <f>IF(N84="nulová",J84,0)</f>
        <v>0</v>
      </c>
      <c r="BJ84" s="998" t="s">
        <v>791</v>
      </c>
      <c r="BK84" s="999">
        <f>ROUND(I84*H84,2)</f>
        <v>0</v>
      </c>
      <c r="BL84" s="998" t="s">
        <v>1065</v>
      </c>
      <c r="BM84" s="997" t="s">
        <v>1083</v>
      </c>
    </row>
    <row r="85" spans="1:65" s="980" customFormat="1" ht="14.25">
      <c r="B85" s="992"/>
      <c r="D85" s="1026"/>
      <c r="F85" s="1036" t="s">
        <v>2539</v>
      </c>
      <c r="H85" s="1037">
        <v>118</v>
      </c>
      <c r="L85" s="992"/>
      <c r="M85" s="1030"/>
      <c r="N85" s="1031"/>
      <c r="O85" s="1031"/>
      <c r="P85" s="1031"/>
      <c r="Q85" s="1031"/>
      <c r="R85" s="1031"/>
      <c r="S85" s="1031"/>
      <c r="T85" s="1032"/>
      <c r="AT85" s="998"/>
      <c r="AU85" s="998"/>
    </row>
    <row r="86" spans="1:65" s="980" customFormat="1" ht="14.25">
      <c r="B86" s="992"/>
      <c r="D86" s="1026"/>
      <c r="F86" s="1036" t="s">
        <v>2536</v>
      </c>
      <c r="H86" s="1037">
        <f>SUM(H85:H85)</f>
        <v>118</v>
      </c>
      <c r="L86" s="992"/>
      <c r="M86" s="1030"/>
      <c r="N86" s="1031"/>
      <c r="O86" s="1031"/>
      <c r="P86" s="1031"/>
      <c r="Q86" s="1031"/>
      <c r="R86" s="1031"/>
      <c r="S86" s="1031"/>
      <c r="T86" s="1032"/>
      <c r="AT86" s="998"/>
      <c r="AU86" s="998"/>
    </row>
    <row r="87" spans="1:65" s="1035" customFormat="1" ht="25.9" customHeight="1">
      <c r="B87" s="1038"/>
      <c r="D87" s="1033" t="s">
        <v>491</v>
      </c>
      <c r="E87" s="1039" t="s">
        <v>24</v>
      </c>
      <c r="F87" s="1039" t="s">
        <v>2541</v>
      </c>
      <c r="J87" s="1040">
        <f>J88</f>
        <v>0</v>
      </c>
      <c r="L87" s="1038"/>
      <c r="M87" s="1041"/>
      <c r="N87" s="1042"/>
      <c r="O87" s="1042"/>
      <c r="P87" s="1043">
        <f>P88+P94+P115</f>
        <v>0</v>
      </c>
      <c r="Q87" s="1042"/>
      <c r="R87" s="1043">
        <f>R88+R94+R115</f>
        <v>0</v>
      </c>
      <c r="S87" s="1042"/>
      <c r="T87" s="1044">
        <f>T88+T94+T115</f>
        <v>0</v>
      </c>
      <c r="AR87" s="1033" t="s">
        <v>791</v>
      </c>
      <c r="AT87" s="1045" t="s">
        <v>491</v>
      </c>
      <c r="AU87" s="1045" t="s">
        <v>788</v>
      </c>
      <c r="AY87" s="1033" t="s">
        <v>1063</v>
      </c>
      <c r="BK87" s="1046">
        <f>BK88+BK94+BK115</f>
        <v>0</v>
      </c>
    </row>
    <row r="88" spans="1:65" s="1035" customFormat="1" ht="22.9" customHeight="1">
      <c r="B88" s="1038"/>
      <c r="D88" s="1033" t="s">
        <v>491</v>
      </c>
      <c r="E88" s="1034">
        <v>767</v>
      </c>
      <c r="F88" s="1034" t="s">
        <v>2552</v>
      </c>
      <c r="J88" s="1005">
        <f>J89</f>
        <v>0</v>
      </c>
      <c r="L88" s="1038"/>
      <c r="M88" s="1041"/>
      <c r="N88" s="1042"/>
      <c r="O88" s="1042"/>
      <c r="P88" s="1043">
        <f>SUM(P89:P93)</f>
        <v>0</v>
      </c>
      <c r="Q88" s="1042"/>
      <c r="R88" s="1043">
        <f>SUM(R89:R93)</f>
        <v>0</v>
      </c>
      <c r="S88" s="1042"/>
      <c r="T88" s="1044">
        <f>SUM(T89:T93)</f>
        <v>0</v>
      </c>
      <c r="AR88" s="1033" t="s">
        <v>791</v>
      </c>
      <c r="AT88" s="1045" t="s">
        <v>491</v>
      </c>
      <c r="AU88" s="1045" t="s">
        <v>791</v>
      </c>
      <c r="AY88" s="1033" t="s">
        <v>1063</v>
      </c>
      <c r="BK88" s="1046">
        <f>SUM(BK89:BK93)</f>
        <v>0</v>
      </c>
    </row>
    <row r="89" spans="1:65" s="980" customFormat="1" ht="29.45" customHeight="1">
      <c r="B89" s="985"/>
      <c r="C89" s="986">
        <v>10</v>
      </c>
      <c r="D89" s="986"/>
      <c r="E89" s="987" t="s">
        <v>2542</v>
      </c>
      <c r="F89" s="988" t="s">
        <v>2543</v>
      </c>
      <c r="G89" s="989" t="s">
        <v>13</v>
      </c>
      <c r="H89" s="990">
        <f>H92</f>
        <v>330</v>
      </c>
      <c r="I89" s="967"/>
      <c r="J89" s="967">
        <f>ROUND(I89*H89,2)</f>
        <v>0</v>
      </c>
      <c r="K89" s="991"/>
      <c r="L89" s="992"/>
      <c r="M89" s="993" t="s">
        <v>1043</v>
      </c>
      <c r="N89" s="994" t="s">
        <v>1048</v>
      </c>
      <c r="O89" s="995">
        <v>0</v>
      </c>
      <c r="P89" s="995">
        <f>O89*H89</f>
        <v>0</v>
      </c>
      <c r="Q89" s="995">
        <v>0</v>
      </c>
      <c r="R89" s="995">
        <f>Q89*H89</f>
        <v>0</v>
      </c>
      <c r="S89" s="995">
        <v>0</v>
      </c>
      <c r="T89" s="996">
        <f>S89*H89</f>
        <v>0</v>
      </c>
      <c r="AR89" s="997" t="s">
        <v>1065</v>
      </c>
      <c r="AT89" s="997" t="s">
        <v>29</v>
      </c>
      <c r="AU89" s="997" t="s">
        <v>795</v>
      </c>
      <c r="AY89" s="998" t="s">
        <v>1063</v>
      </c>
      <c r="BE89" s="999">
        <f>IF(N89="základní",J89,0)</f>
        <v>0</v>
      </c>
      <c r="BF89" s="999">
        <f>IF(N89="snížená",J89,0)</f>
        <v>0</v>
      </c>
      <c r="BG89" s="999">
        <f>IF(N89="zákl. přenesená",J89,0)</f>
        <v>0</v>
      </c>
      <c r="BH89" s="999">
        <f>IF(N89="sníž. přenesená",J89,0)</f>
        <v>0</v>
      </c>
      <c r="BI89" s="999">
        <f>IF(N89="nulová",J89,0)</f>
        <v>0</v>
      </c>
      <c r="BJ89" s="998" t="s">
        <v>791</v>
      </c>
      <c r="BK89" s="999">
        <f>ROUND(I89*H89,2)</f>
        <v>0</v>
      </c>
      <c r="BL89" s="998" t="s">
        <v>1065</v>
      </c>
      <c r="BM89" s="997" t="s">
        <v>1066</v>
      </c>
    </row>
    <row r="90" spans="1:65" s="22" customFormat="1" ht="14.25">
      <c r="A90" s="980"/>
      <c r="B90" s="992"/>
      <c r="C90" s="56"/>
      <c r="D90" s="3"/>
      <c r="E90" s="3"/>
      <c r="F90" s="59" t="s">
        <v>2544</v>
      </c>
      <c r="G90" s="77"/>
      <c r="H90" s="57">
        <f>2*15*4</f>
        <v>120</v>
      </c>
      <c r="I90" s="3"/>
      <c r="J90" s="58"/>
      <c r="K90" s="43"/>
      <c r="L90" s="24"/>
      <c r="M90" s="54"/>
      <c r="N90" s="54"/>
    </row>
    <row r="91" spans="1:65" s="22" customFormat="1" ht="14.25">
      <c r="A91" s="980"/>
      <c r="B91" s="992"/>
      <c r="C91" s="56"/>
      <c r="D91" s="3"/>
      <c r="E91" s="3"/>
      <c r="F91" s="59" t="s">
        <v>2545</v>
      </c>
      <c r="G91" s="77"/>
      <c r="H91" s="57">
        <f>2*21*5</f>
        <v>210</v>
      </c>
      <c r="I91" s="3"/>
      <c r="J91" s="58"/>
      <c r="K91" s="43"/>
      <c r="L91" s="24"/>
      <c r="M91" s="54"/>
      <c r="N91" s="54"/>
    </row>
    <row r="92" spans="1:65" s="22" customFormat="1" ht="14.25">
      <c r="A92" s="980"/>
      <c r="B92" s="992"/>
      <c r="C92" s="56"/>
      <c r="D92" s="3"/>
      <c r="E92" s="3"/>
      <c r="F92" s="1000" t="s">
        <v>26</v>
      </c>
      <c r="G92" s="153"/>
      <c r="H92" s="154">
        <f>SUM(H90:H91)</f>
        <v>330</v>
      </c>
      <c r="I92" s="3"/>
      <c r="J92" s="58"/>
      <c r="K92" s="43"/>
      <c r="L92" s="24"/>
      <c r="M92" s="54"/>
      <c r="N92" s="54"/>
    </row>
    <row r="93" spans="1:65" s="1001" customFormat="1" ht="25.9" customHeight="1">
      <c r="B93" s="1002"/>
      <c r="D93" s="1003" t="s">
        <v>491</v>
      </c>
      <c r="E93" s="1047" t="s">
        <v>83</v>
      </c>
      <c r="F93" s="1047" t="s">
        <v>787</v>
      </c>
      <c r="J93" s="1040">
        <f>SUM(J94:J111)</f>
        <v>0</v>
      </c>
      <c r="L93" s="1002"/>
      <c r="M93" s="1006"/>
      <c r="N93" s="1007"/>
      <c r="O93" s="1007"/>
      <c r="P93" s="1008">
        <f>SUM(P94:P106)</f>
        <v>0</v>
      </c>
      <c r="Q93" s="1007"/>
      <c r="R93" s="1008">
        <f>SUM(R94:R106)</f>
        <v>0</v>
      </c>
      <c r="S93" s="1007"/>
      <c r="T93" s="1009">
        <f>SUM(T94:T106)</f>
        <v>0</v>
      </c>
      <c r="AR93" s="1003" t="s">
        <v>987</v>
      </c>
      <c r="AT93" s="1010" t="s">
        <v>491</v>
      </c>
      <c r="AU93" s="1010" t="s">
        <v>788</v>
      </c>
      <c r="AY93" s="1003" t="s">
        <v>1063</v>
      </c>
      <c r="BK93" s="1011">
        <f>SUM(BK94:BK106)</f>
        <v>0</v>
      </c>
    </row>
    <row r="94" spans="1:65" s="974" customFormat="1" ht="14.45" customHeight="1">
      <c r="A94" s="959"/>
      <c r="B94" s="960"/>
      <c r="C94" s="961">
        <v>15</v>
      </c>
      <c r="D94" s="961" t="s">
        <v>29</v>
      </c>
      <c r="E94" s="962" t="s">
        <v>791</v>
      </c>
      <c r="F94" s="963" t="s">
        <v>2607</v>
      </c>
      <c r="G94" s="964" t="s">
        <v>850</v>
      </c>
      <c r="H94" s="965">
        <v>1</v>
      </c>
      <c r="I94" s="966"/>
      <c r="J94" s="967">
        <f t="shared" ref="J94:J111" si="0">ROUND(I94*H94,2)</f>
        <v>0</v>
      </c>
      <c r="K94" s="968"/>
      <c r="L94" s="969"/>
      <c r="M94" s="970" t="s">
        <v>1043</v>
      </c>
      <c r="N94" s="971" t="s">
        <v>1048</v>
      </c>
      <c r="O94" s="972">
        <v>0</v>
      </c>
      <c r="P94" s="972">
        <f>O94*H94</f>
        <v>0</v>
      </c>
      <c r="Q94" s="972">
        <v>0</v>
      </c>
      <c r="R94" s="972">
        <f>Q94*H94</f>
        <v>0</v>
      </c>
      <c r="S94" s="972">
        <v>0</v>
      </c>
      <c r="T94" s="973">
        <f>S94*H94</f>
        <v>0</v>
      </c>
      <c r="U94" s="959"/>
      <c r="V94" s="959"/>
      <c r="W94" s="959"/>
      <c r="X94" s="959"/>
      <c r="Y94" s="959"/>
      <c r="Z94" s="959"/>
      <c r="AA94" s="959"/>
      <c r="AB94" s="959"/>
      <c r="AC94" s="959"/>
      <c r="AD94" s="959"/>
      <c r="AE94" s="959"/>
      <c r="AR94" s="975" t="s">
        <v>1065</v>
      </c>
      <c r="AT94" s="975" t="s">
        <v>29</v>
      </c>
      <c r="AU94" s="975" t="s">
        <v>791</v>
      </c>
      <c r="AY94" s="976" t="s">
        <v>1063</v>
      </c>
      <c r="BE94" s="977">
        <f>IF(N94="základní",J94,0)</f>
        <v>0</v>
      </c>
      <c r="BF94" s="977">
        <f>IF(N94="snížená",J94,0)</f>
        <v>0</v>
      </c>
      <c r="BG94" s="977">
        <f>IF(N94="zákl. přenesená",J94,0)</f>
        <v>0</v>
      </c>
      <c r="BH94" s="977">
        <f>IF(N94="sníž. přenesená",J94,0)</f>
        <v>0</v>
      </c>
      <c r="BI94" s="977">
        <f>IF(N94="nulová",J94,0)</f>
        <v>0</v>
      </c>
      <c r="BJ94" s="976" t="s">
        <v>791</v>
      </c>
      <c r="BK94" s="977">
        <f>ROUND(I94*H94,2)</f>
        <v>0</v>
      </c>
      <c r="BL94" s="976" t="s">
        <v>1065</v>
      </c>
      <c r="BM94" s="975" t="s">
        <v>1084</v>
      </c>
    </row>
    <row r="95" spans="1:65" s="974" customFormat="1" ht="14.45" customHeight="1">
      <c r="A95" s="959"/>
      <c r="B95" s="960"/>
      <c r="C95" s="961">
        <v>16</v>
      </c>
      <c r="D95" s="961" t="s">
        <v>29</v>
      </c>
      <c r="E95" s="962" t="s">
        <v>795</v>
      </c>
      <c r="F95" s="963" t="s">
        <v>2628</v>
      </c>
      <c r="G95" s="964" t="s">
        <v>850</v>
      </c>
      <c r="H95" s="965">
        <v>1</v>
      </c>
      <c r="I95" s="966"/>
      <c r="J95" s="967">
        <f t="shared" si="0"/>
        <v>0</v>
      </c>
      <c r="K95" s="968"/>
      <c r="L95" s="969"/>
      <c r="M95" s="970" t="s">
        <v>1043</v>
      </c>
      <c r="N95" s="971" t="s">
        <v>1048</v>
      </c>
      <c r="O95" s="972">
        <v>0</v>
      </c>
      <c r="P95" s="972">
        <f>O95*H95</f>
        <v>0</v>
      </c>
      <c r="Q95" s="972">
        <v>0</v>
      </c>
      <c r="R95" s="972">
        <f>Q95*H95</f>
        <v>0</v>
      </c>
      <c r="S95" s="972">
        <v>0</v>
      </c>
      <c r="T95" s="973">
        <f>S95*H95</f>
        <v>0</v>
      </c>
      <c r="U95" s="959"/>
      <c r="V95" s="959"/>
      <c r="W95" s="959"/>
      <c r="X95" s="959"/>
      <c r="Y95" s="959"/>
      <c r="Z95" s="959"/>
      <c r="AA95" s="959"/>
      <c r="AB95" s="959"/>
      <c r="AC95" s="959"/>
      <c r="AD95" s="959"/>
      <c r="AE95" s="959"/>
      <c r="AR95" s="975" t="s">
        <v>1065</v>
      </c>
      <c r="AT95" s="975" t="s">
        <v>29</v>
      </c>
      <c r="AU95" s="975" t="s">
        <v>791</v>
      </c>
      <c r="AY95" s="976" t="s">
        <v>1063</v>
      </c>
      <c r="BE95" s="977">
        <f>IF(N95="základní",J95,0)</f>
        <v>0</v>
      </c>
      <c r="BF95" s="977">
        <f>IF(N95="snížená",J95,0)</f>
        <v>0</v>
      </c>
      <c r="BG95" s="977">
        <f>IF(N95="zákl. přenesená",J95,0)</f>
        <v>0</v>
      </c>
      <c r="BH95" s="977">
        <f>IF(N95="sníž. přenesená",J95,0)</f>
        <v>0</v>
      </c>
      <c r="BI95" s="977">
        <f>IF(N95="nulová",J95,0)</f>
        <v>0</v>
      </c>
      <c r="BJ95" s="976" t="s">
        <v>791</v>
      </c>
      <c r="BK95" s="977">
        <f>ROUND(I95*H95,2)</f>
        <v>0</v>
      </c>
      <c r="BL95" s="976" t="s">
        <v>1065</v>
      </c>
      <c r="BM95" s="975" t="s">
        <v>1085</v>
      </c>
    </row>
    <row r="96" spans="1:65" s="974" customFormat="1" ht="11.45" customHeight="1">
      <c r="A96" s="959"/>
      <c r="B96" s="960"/>
      <c r="C96" s="961">
        <v>17</v>
      </c>
      <c r="D96" s="961" t="s">
        <v>29</v>
      </c>
      <c r="E96" s="962" t="s">
        <v>1086</v>
      </c>
      <c r="F96" s="963" t="s">
        <v>2668</v>
      </c>
      <c r="G96" s="964" t="s">
        <v>19</v>
      </c>
      <c r="H96" s="965">
        <v>1</v>
      </c>
      <c r="I96" s="966"/>
      <c r="J96" s="967">
        <f t="shared" si="0"/>
        <v>0</v>
      </c>
      <c r="K96" s="968"/>
      <c r="L96" s="969"/>
      <c r="M96" s="970" t="s">
        <v>1043</v>
      </c>
      <c r="N96" s="971" t="s">
        <v>1048</v>
      </c>
      <c r="O96" s="972">
        <v>0</v>
      </c>
      <c r="P96" s="972">
        <f>O96*H96</f>
        <v>0</v>
      </c>
      <c r="Q96" s="972">
        <v>0</v>
      </c>
      <c r="R96" s="972">
        <f>Q96*H96</f>
        <v>0</v>
      </c>
      <c r="S96" s="972">
        <v>0</v>
      </c>
      <c r="T96" s="973">
        <f>S96*H96</f>
        <v>0</v>
      </c>
      <c r="U96" s="959"/>
      <c r="V96" s="959"/>
      <c r="W96" s="959"/>
      <c r="X96" s="959"/>
      <c r="Y96" s="959"/>
      <c r="Z96" s="959"/>
      <c r="AA96" s="959"/>
      <c r="AB96" s="959"/>
      <c r="AC96" s="959"/>
      <c r="AD96" s="959"/>
      <c r="AE96" s="959"/>
      <c r="AR96" s="975" t="s">
        <v>1087</v>
      </c>
      <c r="AT96" s="975" t="s">
        <v>29</v>
      </c>
      <c r="AU96" s="975" t="s">
        <v>791</v>
      </c>
      <c r="AY96" s="976" t="s">
        <v>1063</v>
      </c>
      <c r="BE96" s="977">
        <f>IF(N96="základní",J96,0)</f>
        <v>0</v>
      </c>
      <c r="BF96" s="977">
        <f>IF(N96="snížená",J96,0)</f>
        <v>0</v>
      </c>
      <c r="BG96" s="977">
        <f>IF(N96="zákl. přenesená",J96,0)</f>
        <v>0</v>
      </c>
      <c r="BH96" s="977">
        <f>IF(N96="sníž. přenesená",J96,0)</f>
        <v>0</v>
      </c>
      <c r="BI96" s="977">
        <f>IF(N96="nulová",J96,0)</f>
        <v>0</v>
      </c>
      <c r="BJ96" s="976" t="s">
        <v>791</v>
      </c>
      <c r="BK96" s="977">
        <f>ROUND(I96*H96,2)</f>
        <v>0</v>
      </c>
      <c r="BL96" s="976" t="s">
        <v>1087</v>
      </c>
      <c r="BM96" s="975" t="s">
        <v>1088</v>
      </c>
    </row>
    <row r="97" spans="1:65" s="974" customFormat="1" ht="11.45" customHeight="1">
      <c r="A97" s="959"/>
      <c r="B97" s="960"/>
      <c r="C97" s="961">
        <v>18</v>
      </c>
      <c r="D97" s="961" t="s">
        <v>29</v>
      </c>
      <c r="E97" s="962" t="s">
        <v>1089</v>
      </c>
      <c r="F97" s="963" t="s">
        <v>2666</v>
      </c>
      <c r="G97" s="964" t="s">
        <v>19</v>
      </c>
      <c r="H97" s="965">
        <v>1</v>
      </c>
      <c r="I97" s="966"/>
      <c r="J97" s="967">
        <f t="shared" si="0"/>
        <v>0</v>
      </c>
      <c r="K97" s="968"/>
      <c r="L97" s="969"/>
      <c r="M97" s="970" t="s">
        <v>1043</v>
      </c>
      <c r="N97" s="971" t="s">
        <v>1048</v>
      </c>
      <c r="O97" s="972">
        <v>0</v>
      </c>
      <c r="P97" s="972">
        <f>O97*H97</f>
        <v>0</v>
      </c>
      <c r="Q97" s="972">
        <v>0</v>
      </c>
      <c r="R97" s="972">
        <f>Q97*H97</f>
        <v>0</v>
      </c>
      <c r="S97" s="972">
        <v>0</v>
      </c>
      <c r="T97" s="973">
        <f>S97*H97</f>
        <v>0</v>
      </c>
      <c r="U97" s="959"/>
      <c r="V97" s="959"/>
      <c r="W97" s="959"/>
      <c r="X97" s="959"/>
      <c r="Y97" s="959"/>
      <c r="Z97" s="959"/>
      <c r="AA97" s="959"/>
      <c r="AB97" s="959"/>
      <c r="AC97" s="959"/>
      <c r="AD97" s="959"/>
      <c r="AE97" s="959"/>
      <c r="AR97" s="975" t="s">
        <v>1087</v>
      </c>
      <c r="AT97" s="975" t="s">
        <v>29</v>
      </c>
      <c r="AU97" s="975" t="s">
        <v>791</v>
      </c>
      <c r="AY97" s="976" t="s">
        <v>1063</v>
      </c>
      <c r="BE97" s="977">
        <f>IF(N97="základní",J97,0)</f>
        <v>0</v>
      </c>
      <c r="BF97" s="977">
        <f>IF(N97="snížená",J97,0)</f>
        <v>0</v>
      </c>
      <c r="BG97" s="977">
        <f>IF(N97="zákl. přenesená",J97,0)</f>
        <v>0</v>
      </c>
      <c r="BH97" s="977">
        <f>IF(N97="sníž. přenesená",J97,0)</f>
        <v>0</v>
      </c>
      <c r="BI97" s="977">
        <f>IF(N97="nulová",J97,0)</f>
        <v>0</v>
      </c>
      <c r="BJ97" s="976" t="s">
        <v>791</v>
      </c>
      <c r="BK97" s="977">
        <f>ROUND(I97*H97,2)</f>
        <v>0</v>
      </c>
      <c r="BL97" s="976" t="s">
        <v>1087</v>
      </c>
      <c r="BM97" s="975" t="s">
        <v>1090</v>
      </c>
    </row>
    <row r="98" spans="1:65" s="974" customFormat="1" ht="24">
      <c r="A98" s="959"/>
      <c r="B98" s="969"/>
      <c r="C98" s="961">
        <v>19</v>
      </c>
      <c r="D98" s="961" t="s">
        <v>29</v>
      </c>
      <c r="E98" s="962" t="s">
        <v>1091</v>
      </c>
      <c r="F98" s="963" t="s">
        <v>2667</v>
      </c>
      <c r="G98" s="964" t="s">
        <v>19</v>
      </c>
      <c r="H98" s="965">
        <v>1</v>
      </c>
      <c r="I98" s="966"/>
      <c r="J98" s="967">
        <f t="shared" si="0"/>
        <v>0</v>
      </c>
      <c r="K98" s="959"/>
      <c r="L98" s="969"/>
      <c r="M98" s="981"/>
      <c r="N98" s="982"/>
      <c r="O98" s="983"/>
      <c r="P98" s="983"/>
      <c r="Q98" s="983"/>
      <c r="R98" s="983"/>
      <c r="S98" s="983"/>
      <c r="T98" s="984"/>
      <c r="U98" s="959"/>
      <c r="V98" s="959"/>
      <c r="W98" s="959"/>
      <c r="X98" s="959"/>
      <c r="Y98" s="959"/>
      <c r="Z98" s="959"/>
      <c r="AA98" s="959"/>
      <c r="AB98" s="959"/>
      <c r="AC98" s="959"/>
      <c r="AD98" s="959"/>
      <c r="AE98" s="959"/>
      <c r="AT98" s="976"/>
      <c r="AU98" s="976"/>
    </row>
    <row r="99" spans="1:65" s="974" customFormat="1">
      <c r="A99" s="959"/>
      <c r="B99" s="969"/>
      <c r="C99" s="961">
        <v>20</v>
      </c>
      <c r="D99" s="961" t="s">
        <v>29</v>
      </c>
      <c r="E99" s="962" t="s">
        <v>1092</v>
      </c>
      <c r="F99" s="963" t="s">
        <v>2670</v>
      </c>
      <c r="G99" s="964" t="s">
        <v>19</v>
      </c>
      <c r="H99" s="965">
        <v>1</v>
      </c>
      <c r="I99" s="966"/>
      <c r="J99" s="967">
        <f t="shared" si="0"/>
        <v>0</v>
      </c>
      <c r="K99" s="959"/>
      <c r="L99" s="969"/>
      <c r="M99" s="981"/>
      <c r="N99" s="982"/>
      <c r="O99" s="983"/>
      <c r="P99" s="983"/>
      <c r="Q99" s="983"/>
      <c r="R99" s="983"/>
      <c r="S99" s="983"/>
      <c r="T99" s="984"/>
      <c r="U99" s="959"/>
      <c r="V99" s="959"/>
      <c r="W99" s="959"/>
      <c r="X99" s="959"/>
      <c r="Y99" s="959"/>
      <c r="Z99" s="959"/>
      <c r="AA99" s="959"/>
      <c r="AB99" s="959"/>
      <c r="AC99" s="959"/>
      <c r="AD99" s="959"/>
      <c r="AE99" s="959"/>
      <c r="AT99" s="976"/>
      <c r="AU99" s="976"/>
    </row>
    <row r="100" spans="1:65" s="974" customFormat="1">
      <c r="A100" s="959"/>
      <c r="B100" s="969"/>
      <c r="C100" s="961">
        <v>21</v>
      </c>
      <c r="D100" s="961" t="s">
        <v>29</v>
      </c>
      <c r="E100" s="962" t="s">
        <v>1093</v>
      </c>
      <c r="F100" s="963" t="s">
        <v>2669</v>
      </c>
      <c r="G100" s="964" t="s">
        <v>19</v>
      </c>
      <c r="H100" s="965">
        <v>1</v>
      </c>
      <c r="I100" s="966"/>
      <c r="J100" s="967">
        <f t="shared" si="0"/>
        <v>0</v>
      </c>
      <c r="K100" s="959"/>
      <c r="L100" s="969"/>
      <c r="M100" s="981"/>
      <c r="N100" s="982"/>
      <c r="O100" s="983"/>
      <c r="P100" s="983"/>
      <c r="Q100" s="983"/>
      <c r="R100" s="983"/>
      <c r="S100" s="983"/>
      <c r="T100" s="984"/>
      <c r="U100" s="959"/>
      <c r="V100" s="959"/>
      <c r="W100" s="959"/>
      <c r="X100" s="959"/>
      <c r="Y100" s="959"/>
      <c r="Z100" s="959"/>
      <c r="AA100" s="959"/>
      <c r="AB100" s="959"/>
      <c r="AC100" s="959"/>
      <c r="AD100" s="959"/>
      <c r="AE100" s="959"/>
      <c r="AT100" s="976"/>
      <c r="AU100" s="976"/>
    </row>
    <row r="101" spans="1:65" s="974" customFormat="1">
      <c r="A101" s="959"/>
      <c r="B101" s="969"/>
      <c r="C101" s="961">
        <v>22</v>
      </c>
      <c r="D101" s="961" t="s">
        <v>29</v>
      </c>
      <c r="E101" s="962" t="s">
        <v>1094</v>
      </c>
      <c r="F101" s="963" t="s">
        <v>2671</v>
      </c>
      <c r="G101" s="964" t="s">
        <v>19</v>
      </c>
      <c r="H101" s="965">
        <v>1</v>
      </c>
      <c r="I101" s="966"/>
      <c r="J101" s="967">
        <f t="shared" si="0"/>
        <v>0</v>
      </c>
      <c r="K101" s="959"/>
      <c r="L101" s="969"/>
      <c r="M101" s="981"/>
      <c r="N101" s="982"/>
      <c r="O101" s="983"/>
      <c r="P101" s="983"/>
      <c r="Q101" s="983"/>
      <c r="R101" s="983"/>
      <c r="S101" s="983"/>
      <c r="T101" s="984"/>
      <c r="U101" s="959"/>
      <c r="V101" s="959"/>
      <c r="W101" s="959"/>
      <c r="X101" s="959"/>
      <c r="Y101" s="959"/>
      <c r="Z101" s="959"/>
      <c r="AA101" s="959"/>
      <c r="AB101" s="959"/>
      <c r="AC101" s="959"/>
      <c r="AD101" s="959"/>
      <c r="AE101" s="959"/>
      <c r="AT101" s="976"/>
      <c r="AU101" s="976"/>
    </row>
    <row r="102" spans="1:65" s="974" customFormat="1">
      <c r="A102" s="959"/>
      <c r="B102" s="969"/>
      <c r="C102" s="961">
        <v>23</v>
      </c>
      <c r="D102" s="961" t="s">
        <v>29</v>
      </c>
      <c r="E102" s="962" t="s">
        <v>1095</v>
      </c>
      <c r="F102" s="963" t="s">
        <v>2673</v>
      </c>
      <c r="G102" s="964" t="s">
        <v>19</v>
      </c>
      <c r="H102" s="965">
        <v>1</v>
      </c>
      <c r="I102" s="966"/>
      <c r="J102" s="967">
        <f t="shared" si="0"/>
        <v>0</v>
      </c>
      <c r="K102" s="959"/>
      <c r="L102" s="969"/>
      <c r="M102" s="981"/>
      <c r="N102" s="982"/>
      <c r="O102" s="983"/>
      <c r="P102" s="983"/>
      <c r="Q102" s="983"/>
      <c r="R102" s="983"/>
      <c r="S102" s="983"/>
      <c r="T102" s="984"/>
      <c r="U102" s="959"/>
      <c r="V102" s="959"/>
      <c r="W102" s="959"/>
      <c r="X102" s="959"/>
      <c r="Y102" s="959"/>
      <c r="Z102" s="959"/>
      <c r="AA102" s="959"/>
      <c r="AB102" s="959"/>
      <c r="AC102" s="959"/>
      <c r="AD102" s="959"/>
      <c r="AE102" s="959"/>
      <c r="AT102" s="976"/>
      <c r="AU102" s="976"/>
    </row>
    <row r="103" spans="1:65" s="974" customFormat="1">
      <c r="A103" s="959"/>
      <c r="B103" s="969"/>
      <c r="C103" s="961">
        <v>24</v>
      </c>
      <c r="D103" s="961" t="s">
        <v>29</v>
      </c>
      <c r="E103" s="962" t="s">
        <v>1096</v>
      </c>
      <c r="F103" s="963" t="s">
        <v>2672</v>
      </c>
      <c r="G103" s="964" t="s">
        <v>19</v>
      </c>
      <c r="H103" s="965">
        <v>1</v>
      </c>
      <c r="I103" s="966"/>
      <c r="J103" s="967">
        <f t="shared" si="0"/>
        <v>0</v>
      </c>
      <c r="K103" s="959"/>
      <c r="L103" s="969"/>
      <c r="M103" s="981"/>
      <c r="N103" s="982"/>
      <c r="O103" s="983"/>
      <c r="P103" s="983"/>
      <c r="Q103" s="983"/>
      <c r="R103" s="983"/>
      <c r="S103" s="983"/>
      <c r="T103" s="984"/>
      <c r="U103" s="959"/>
      <c r="V103" s="959"/>
      <c r="W103" s="959"/>
      <c r="X103" s="959"/>
      <c r="Y103" s="959"/>
      <c r="Z103" s="959"/>
      <c r="AA103" s="959"/>
      <c r="AB103" s="959"/>
      <c r="AC103" s="959"/>
      <c r="AD103" s="959"/>
      <c r="AE103" s="959"/>
      <c r="AT103" s="976"/>
      <c r="AU103" s="976"/>
    </row>
    <row r="104" spans="1:65" s="974" customFormat="1">
      <c r="A104" s="959"/>
      <c r="B104" s="969"/>
      <c r="C104" s="961">
        <v>25</v>
      </c>
      <c r="D104" s="961" t="s">
        <v>29</v>
      </c>
      <c r="E104" s="962" t="s">
        <v>1097</v>
      </c>
      <c r="F104" s="963" t="s">
        <v>2674</v>
      </c>
      <c r="G104" s="964" t="s">
        <v>19</v>
      </c>
      <c r="H104" s="965">
        <v>1</v>
      </c>
      <c r="I104" s="966"/>
      <c r="J104" s="967">
        <f t="shared" si="0"/>
        <v>0</v>
      </c>
      <c r="K104" s="959"/>
      <c r="L104" s="969"/>
      <c r="M104" s="981"/>
      <c r="N104" s="982"/>
      <c r="O104" s="983"/>
      <c r="P104" s="983"/>
      <c r="Q104" s="983"/>
      <c r="R104" s="983"/>
      <c r="S104" s="983"/>
      <c r="T104" s="984"/>
      <c r="U104" s="959"/>
      <c r="V104" s="959"/>
      <c r="W104" s="959"/>
      <c r="X104" s="959"/>
      <c r="Y104" s="959"/>
      <c r="Z104" s="959"/>
      <c r="AA104" s="959"/>
      <c r="AB104" s="959"/>
      <c r="AC104" s="959"/>
      <c r="AD104" s="959"/>
      <c r="AE104" s="959"/>
      <c r="AT104" s="976"/>
      <c r="AU104" s="976"/>
    </row>
    <row r="105" spans="1:65" s="974" customFormat="1" ht="24">
      <c r="A105" s="959"/>
      <c r="B105" s="969"/>
      <c r="C105" s="961">
        <v>26</v>
      </c>
      <c r="D105" s="961" t="s">
        <v>29</v>
      </c>
      <c r="E105" s="962" t="s">
        <v>1098</v>
      </c>
      <c r="F105" s="963" t="s">
        <v>2675</v>
      </c>
      <c r="G105" s="964" t="s">
        <v>19</v>
      </c>
      <c r="H105" s="965">
        <v>1</v>
      </c>
      <c r="I105" s="966"/>
      <c r="J105" s="967">
        <f t="shared" si="0"/>
        <v>0</v>
      </c>
      <c r="K105" s="959"/>
      <c r="L105" s="969"/>
      <c r="M105" s="981"/>
      <c r="N105" s="982"/>
      <c r="O105" s="983"/>
      <c r="P105" s="983"/>
      <c r="Q105" s="983"/>
      <c r="R105" s="983"/>
      <c r="S105" s="983"/>
      <c r="T105" s="984"/>
      <c r="U105" s="959"/>
      <c r="V105" s="959"/>
      <c r="W105" s="959"/>
      <c r="X105" s="959"/>
      <c r="Y105" s="959"/>
      <c r="Z105" s="959"/>
      <c r="AA105" s="959"/>
      <c r="AB105" s="959"/>
      <c r="AC105" s="959"/>
      <c r="AD105" s="959"/>
      <c r="AE105" s="959"/>
      <c r="AT105" s="976"/>
      <c r="AU105" s="976"/>
    </row>
    <row r="106" spans="1:65" s="634" customFormat="1">
      <c r="A106" s="630"/>
      <c r="B106" s="631"/>
      <c r="C106" s="675">
        <v>27</v>
      </c>
      <c r="D106" s="675" t="s">
        <v>29</v>
      </c>
      <c r="E106" s="676" t="s">
        <v>1099</v>
      </c>
      <c r="F106" s="677" t="s">
        <v>2676</v>
      </c>
      <c r="G106" s="678" t="s">
        <v>19</v>
      </c>
      <c r="H106" s="679">
        <v>1</v>
      </c>
      <c r="I106" s="680"/>
      <c r="J106" s="915">
        <f t="shared" si="0"/>
        <v>0</v>
      </c>
      <c r="K106" s="630"/>
      <c r="L106" s="631"/>
      <c r="M106" s="690"/>
      <c r="N106" s="691"/>
      <c r="O106" s="692"/>
      <c r="P106" s="692"/>
      <c r="Q106" s="692"/>
      <c r="R106" s="692"/>
      <c r="S106" s="692"/>
      <c r="T106" s="693"/>
      <c r="U106" s="630"/>
      <c r="V106" s="630"/>
      <c r="W106" s="630"/>
      <c r="X106" s="630"/>
      <c r="Y106" s="630"/>
      <c r="Z106" s="630"/>
      <c r="AA106" s="630"/>
      <c r="AB106" s="630"/>
      <c r="AC106" s="630"/>
      <c r="AD106" s="630"/>
      <c r="AE106" s="630"/>
      <c r="AT106" s="629"/>
      <c r="AU106" s="629"/>
    </row>
    <row r="107" spans="1:65" s="634" customFormat="1">
      <c r="A107" s="1090"/>
      <c r="B107" s="631"/>
      <c r="C107" s="1092" t="s">
        <v>2710</v>
      </c>
      <c r="D107" s="1083" t="s">
        <v>29</v>
      </c>
      <c r="E107" s="1084"/>
      <c r="F107" s="1066" t="s">
        <v>2715</v>
      </c>
      <c r="G107" s="1085" t="s">
        <v>19</v>
      </c>
      <c r="H107" s="1086">
        <v>1</v>
      </c>
      <c r="I107" s="1087"/>
      <c r="J107" s="1093">
        <f t="shared" si="0"/>
        <v>0</v>
      </c>
      <c r="K107" s="1090"/>
      <c r="L107" s="631"/>
      <c r="M107" s="690"/>
      <c r="N107" s="691"/>
      <c r="O107" s="692"/>
      <c r="P107" s="692"/>
      <c r="Q107" s="692"/>
      <c r="R107" s="692"/>
      <c r="S107" s="692"/>
      <c r="T107" s="693"/>
      <c r="U107" s="1090"/>
      <c r="V107" s="1090"/>
      <c r="W107" s="1090"/>
      <c r="X107" s="1090"/>
      <c r="Y107" s="1090"/>
      <c r="Z107" s="1090"/>
      <c r="AA107" s="1090"/>
      <c r="AB107" s="1090"/>
      <c r="AC107" s="1090"/>
      <c r="AD107" s="1090"/>
      <c r="AE107" s="1090"/>
      <c r="AT107" s="629"/>
      <c r="AU107" s="629"/>
    </row>
    <row r="108" spans="1:65" s="634" customFormat="1">
      <c r="A108" s="1090"/>
      <c r="B108" s="631"/>
      <c r="C108" s="1092" t="s">
        <v>2711</v>
      </c>
      <c r="D108" s="1083" t="s">
        <v>29</v>
      </c>
      <c r="E108" s="1084"/>
      <c r="F108" s="1066" t="s">
        <v>2716</v>
      </c>
      <c r="G108" s="1085" t="s">
        <v>19</v>
      </c>
      <c r="H108" s="1086">
        <v>2</v>
      </c>
      <c r="I108" s="1087"/>
      <c r="J108" s="1093">
        <f t="shared" si="0"/>
        <v>0</v>
      </c>
      <c r="K108" s="1090"/>
      <c r="L108" s="631"/>
      <c r="M108" s="690"/>
      <c r="N108" s="691"/>
      <c r="O108" s="692"/>
      <c r="P108" s="692"/>
      <c r="Q108" s="692"/>
      <c r="R108" s="692"/>
      <c r="S108" s="692"/>
      <c r="T108" s="693"/>
      <c r="U108" s="1090"/>
      <c r="V108" s="1090"/>
      <c r="W108" s="1090"/>
      <c r="X108" s="1090"/>
      <c r="Y108" s="1090"/>
      <c r="Z108" s="1090"/>
      <c r="AA108" s="1090"/>
      <c r="AB108" s="1090"/>
      <c r="AC108" s="1090"/>
      <c r="AD108" s="1090"/>
      <c r="AE108" s="1090"/>
      <c r="AT108" s="629"/>
      <c r="AU108" s="629"/>
    </row>
    <row r="109" spans="1:65" s="634" customFormat="1">
      <c r="A109" s="1090"/>
      <c r="B109" s="631"/>
      <c r="C109" s="1092" t="s">
        <v>2712</v>
      </c>
      <c r="D109" s="1083" t="s">
        <v>29</v>
      </c>
      <c r="E109" s="1084"/>
      <c r="F109" s="1066" t="s">
        <v>2717</v>
      </c>
      <c r="G109" s="1085" t="s">
        <v>19</v>
      </c>
      <c r="H109" s="1086">
        <v>2</v>
      </c>
      <c r="I109" s="1087"/>
      <c r="J109" s="1093">
        <f t="shared" si="0"/>
        <v>0</v>
      </c>
      <c r="K109" s="1090"/>
      <c r="L109" s="631"/>
      <c r="M109" s="690"/>
      <c r="N109" s="691"/>
      <c r="O109" s="692"/>
      <c r="P109" s="692"/>
      <c r="Q109" s="692"/>
      <c r="R109" s="692"/>
      <c r="S109" s="692"/>
      <c r="T109" s="693"/>
      <c r="U109" s="1090"/>
      <c r="V109" s="1090"/>
      <c r="W109" s="1090"/>
      <c r="X109" s="1090"/>
      <c r="Y109" s="1090"/>
      <c r="Z109" s="1090"/>
      <c r="AA109" s="1090"/>
      <c r="AB109" s="1090"/>
      <c r="AC109" s="1090"/>
      <c r="AD109" s="1090"/>
      <c r="AE109" s="1090"/>
      <c r="AT109" s="629"/>
      <c r="AU109" s="629"/>
    </row>
    <row r="110" spans="1:65" s="634" customFormat="1">
      <c r="A110" s="1090"/>
      <c r="B110" s="631"/>
      <c r="C110" s="1092" t="s">
        <v>2713</v>
      </c>
      <c r="D110" s="1083" t="s">
        <v>29</v>
      </c>
      <c r="E110" s="1084"/>
      <c r="F110" s="1066" t="s">
        <v>2718</v>
      </c>
      <c r="G110" s="1085" t="s">
        <v>19</v>
      </c>
      <c r="H110" s="1086">
        <v>2</v>
      </c>
      <c r="I110" s="1087"/>
      <c r="J110" s="1093">
        <f t="shared" si="0"/>
        <v>0</v>
      </c>
      <c r="K110" s="1090"/>
      <c r="L110" s="631"/>
      <c r="M110" s="690"/>
      <c r="N110" s="691"/>
      <c r="O110" s="692"/>
      <c r="P110" s="692"/>
      <c r="Q110" s="692"/>
      <c r="R110" s="692"/>
      <c r="S110" s="692"/>
      <c r="T110" s="693"/>
      <c r="U110" s="1090"/>
      <c r="V110" s="1090"/>
      <c r="W110" s="1090"/>
      <c r="X110" s="1090"/>
      <c r="Y110" s="1090"/>
      <c r="Z110" s="1090"/>
      <c r="AA110" s="1090"/>
      <c r="AB110" s="1090"/>
      <c r="AC110" s="1090"/>
      <c r="AD110" s="1090"/>
      <c r="AE110" s="1090"/>
      <c r="AT110" s="629"/>
      <c r="AU110" s="629"/>
    </row>
    <row r="111" spans="1:65" s="634" customFormat="1">
      <c r="A111" s="1090"/>
      <c r="B111" s="631"/>
      <c r="C111" s="1092" t="s">
        <v>2714</v>
      </c>
      <c r="D111" s="1083" t="s">
        <v>29</v>
      </c>
      <c r="E111" s="1084"/>
      <c r="F111" s="1066" t="s">
        <v>2719</v>
      </c>
      <c r="G111" s="1094" t="s">
        <v>14</v>
      </c>
      <c r="H111" s="1086">
        <v>369</v>
      </c>
      <c r="I111" s="1087"/>
      <c r="J111" s="1093">
        <f t="shared" si="0"/>
        <v>0</v>
      </c>
      <c r="K111" s="1090"/>
      <c r="L111" s="631"/>
      <c r="M111" s="690"/>
      <c r="N111" s="691"/>
      <c r="O111" s="692"/>
      <c r="P111" s="692"/>
      <c r="Q111" s="692"/>
      <c r="R111" s="692"/>
      <c r="S111" s="692"/>
      <c r="T111" s="693"/>
      <c r="U111" s="1090"/>
      <c r="V111" s="1090"/>
      <c r="W111" s="1090"/>
      <c r="X111" s="1090"/>
      <c r="Y111" s="1090"/>
      <c r="Z111" s="1090"/>
      <c r="AA111" s="1090"/>
      <c r="AB111" s="1090"/>
      <c r="AC111" s="1090"/>
      <c r="AD111" s="1090"/>
      <c r="AE111" s="1090"/>
      <c r="AT111" s="629"/>
      <c r="AU111" s="629"/>
    </row>
    <row r="112" spans="1:65" s="661" customFormat="1" ht="25.9" customHeight="1">
      <c r="B112" s="662"/>
      <c r="D112" s="663" t="s">
        <v>491</v>
      </c>
      <c r="E112" s="664" t="s">
        <v>1100</v>
      </c>
      <c r="F112" s="664" t="s">
        <v>27</v>
      </c>
      <c r="J112" s="912">
        <f>J113</f>
        <v>0</v>
      </c>
      <c r="L112" s="662"/>
      <c r="M112" s="666"/>
      <c r="N112" s="667"/>
      <c r="O112" s="667"/>
      <c r="P112" s="668">
        <f>SUM(P113:P113)</f>
        <v>6.6000000000000003E-2</v>
      </c>
      <c r="Q112" s="667"/>
      <c r="R112" s="668">
        <f>SUM(R113:R113)</f>
        <v>0</v>
      </c>
      <c r="S112" s="667"/>
      <c r="T112" s="669">
        <f>SUM(T113:T113)</f>
        <v>0</v>
      </c>
      <c r="AR112" s="663" t="s">
        <v>791</v>
      </c>
      <c r="AT112" s="670" t="s">
        <v>491</v>
      </c>
      <c r="AU112" s="670" t="s">
        <v>788</v>
      </c>
      <c r="AY112" s="663" t="s">
        <v>1063</v>
      </c>
      <c r="BK112" s="671">
        <f>SUM(BK113:BK113)</f>
        <v>0</v>
      </c>
    </row>
    <row r="113" spans="1:65" s="634" customFormat="1" ht="14.45" customHeight="1">
      <c r="A113" s="630"/>
      <c r="B113" s="674"/>
      <c r="C113" s="675">
        <v>29</v>
      </c>
      <c r="D113" s="675" t="s">
        <v>29</v>
      </c>
      <c r="E113" s="676" t="s">
        <v>1101</v>
      </c>
      <c r="F113" s="677" t="s">
        <v>2608</v>
      </c>
      <c r="G113" s="678" t="s">
        <v>850</v>
      </c>
      <c r="H113" s="679">
        <v>1</v>
      </c>
      <c r="I113" s="680"/>
      <c r="J113" s="915">
        <f>ROUND(I113*H113,2)</f>
        <v>0</v>
      </c>
      <c r="K113" s="681"/>
      <c r="L113" s="631"/>
      <c r="M113" s="682" t="s">
        <v>1043</v>
      </c>
      <c r="N113" s="683" t="s">
        <v>1048</v>
      </c>
      <c r="O113" s="684">
        <v>6.6000000000000003E-2</v>
      </c>
      <c r="P113" s="684">
        <f>O113*H113</f>
        <v>6.6000000000000003E-2</v>
      </c>
      <c r="Q113" s="684">
        <v>0</v>
      </c>
      <c r="R113" s="684">
        <f>Q113*H113</f>
        <v>0</v>
      </c>
      <c r="S113" s="684">
        <v>0</v>
      </c>
      <c r="T113" s="685">
        <f>S113*H113</f>
        <v>0</v>
      </c>
      <c r="U113" s="630"/>
      <c r="V113" s="630"/>
      <c r="W113" s="630"/>
      <c r="X113" s="630"/>
      <c r="Y113" s="630"/>
      <c r="Z113" s="630"/>
      <c r="AA113" s="630"/>
      <c r="AB113" s="630"/>
      <c r="AC113" s="630"/>
      <c r="AD113" s="630"/>
      <c r="AE113" s="630"/>
      <c r="AR113" s="686" t="s">
        <v>1065</v>
      </c>
      <c r="AT113" s="686" t="s">
        <v>29</v>
      </c>
      <c r="AU113" s="686" t="s">
        <v>791</v>
      </c>
      <c r="AY113" s="629" t="s">
        <v>1063</v>
      </c>
      <c r="BE113" s="687">
        <f>IF(N113="základní",J113,0)</f>
        <v>0</v>
      </c>
      <c r="BF113" s="687">
        <f>IF(N113="snížená",J113,0)</f>
        <v>0</v>
      </c>
      <c r="BG113" s="687">
        <f>IF(N113="zákl. přenesená",J113,0)</f>
        <v>0</v>
      </c>
      <c r="BH113" s="687">
        <f>IF(N113="sníž. přenesená",J113,0)</f>
        <v>0</v>
      </c>
      <c r="BI113" s="687">
        <f>IF(N113="nulová",J113,0)</f>
        <v>0</v>
      </c>
      <c r="BJ113" s="629" t="s">
        <v>791</v>
      </c>
      <c r="BK113" s="687">
        <f>ROUND(I113*H113,2)</f>
        <v>0</v>
      </c>
      <c r="BL113" s="629" t="s">
        <v>1065</v>
      </c>
      <c r="BM113" s="686" t="s">
        <v>1102</v>
      </c>
    </row>
    <row r="114" spans="1:65" s="634" customFormat="1" ht="6.95" customHeight="1">
      <c r="A114" s="630"/>
      <c r="B114" s="638"/>
      <c r="C114" s="639"/>
      <c r="D114" s="639"/>
      <c r="E114" s="639"/>
      <c r="F114" s="639"/>
      <c r="G114" s="639"/>
      <c r="H114" s="639"/>
      <c r="I114" s="639"/>
      <c r="J114" s="916"/>
      <c r="K114" s="639"/>
      <c r="L114" s="631"/>
      <c r="M114" s="630"/>
      <c r="O114" s="630"/>
      <c r="P114" s="630"/>
      <c r="Q114" s="630"/>
      <c r="R114" s="630"/>
      <c r="S114" s="630"/>
      <c r="T114" s="630"/>
      <c r="U114" s="630"/>
      <c r="V114" s="630"/>
      <c r="W114" s="630"/>
      <c r="X114" s="630"/>
      <c r="Y114" s="630"/>
      <c r="Z114" s="630"/>
      <c r="AA114" s="630"/>
      <c r="AB114" s="630"/>
      <c r="AC114" s="630"/>
      <c r="AD114" s="630"/>
      <c r="AE114" s="630"/>
    </row>
  </sheetData>
  <autoFilter ref="C10:J114" xr:uid="{00000000-0001-0000-0700-000000000000}"/>
  <mergeCells count="2">
    <mergeCell ref="E5:H5"/>
    <mergeCell ref="C2:J2"/>
  </mergeCells>
  <phoneticPr fontId="145" type="noConversion"/>
  <printOptions horizontalCentered="1"/>
  <pageMargins left="0.59055118110236227" right="0.39370078740157483" top="0.59055118110236227" bottom="0.39370078740157483" header="0.31496062992125984" footer="0.11811023622047245"/>
  <pageSetup paperSize="9" scale="78" fitToHeight="0" orientation="portrait" horizontalDpi="4294967295" verticalDpi="4294967295" r:id="rId1"/>
  <headerFooter>
    <oddFooter>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66"/>
    <pageSetUpPr fitToPage="1"/>
  </sheetPr>
  <dimension ref="A1:Q173"/>
  <sheetViews>
    <sheetView topLeftCell="A157" workbookViewId="0">
      <selection activeCell="L64" sqref="L64"/>
    </sheetView>
  </sheetViews>
  <sheetFormatPr defaultColWidth="9" defaultRowHeight="11.25" outlineLevelCol="1"/>
  <cols>
    <col min="1" max="1" width="6.140625" style="33" customWidth="1"/>
    <col min="2" max="2" width="5.7109375" style="33" customWidth="1"/>
    <col min="3" max="3" width="14.7109375" style="33" customWidth="1"/>
    <col min="4" max="4" width="42.7109375" style="33" customWidth="1"/>
    <col min="5" max="5" width="4.28515625" style="36" customWidth="1"/>
    <col min="6" max="7" width="10.42578125" style="33" customWidth="1"/>
    <col min="8" max="8" width="12.42578125" style="33" customWidth="1"/>
    <col min="9" max="9" width="10.28515625" style="23" customWidth="1"/>
    <col min="10" max="10" width="5.28515625" style="39" hidden="1" customWidth="1" outlineLevel="1"/>
    <col min="11" max="11" width="10.140625" style="50" hidden="1" customWidth="1" outlineLevel="1"/>
    <col min="12" max="12" width="9" style="24" customWidth="1" collapsed="1"/>
    <col min="13" max="13" width="10.140625" style="54" customWidth="1"/>
    <col min="14" max="14" width="9" style="54"/>
    <col min="15" max="256" width="9" style="33"/>
    <col min="257" max="257" width="6.140625" style="33" customWidth="1"/>
    <col min="258" max="258" width="5.7109375" style="33" customWidth="1"/>
    <col min="259" max="259" width="12.140625" style="33" customWidth="1"/>
    <col min="260" max="260" width="42.7109375" style="33" customWidth="1"/>
    <col min="261" max="261" width="4.28515625" style="33" customWidth="1"/>
    <col min="262" max="262" width="8.42578125" style="33" customWidth="1"/>
    <col min="263" max="263" width="10.42578125" style="33" customWidth="1"/>
    <col min="264" max="264" width="10.85546875" style="33" customWidth="1"/>
    <col min="265" max="512" width="9" style="33"/>
    <col min="513" max="513" width="6.140625" style="33" customWidth="1"/>
    <col min="514" max="514" width="5.7109375" style="33" customWidth="1"/>
    <col min="515" max="515" width="12.140625" style="33" customWidth="1"/>
    <col min="516" max="516" width="42.7109375" style="33" customWidth="1"/>
    <col min="517" max="517" width="4.28515625" style="33" customWidth="1"/>
    <col min="518" max="518" width="8.42578125" style="33" customWidth="1"/>
    <col min="519" max="519" width="10.42578125" style="33" customWidth="1"/>
    <col min="520" max="520" width="10.85546875" style="33" customWidth="1"/>
    <col min="521" max="768" width="9" style="33"/>
    <col min="769" max="769" width="6.140625" style="33" customWidth="1"/>
    <col min="770" max="770" width="5.7109375" style="33" customWidth="1"/>
    <col min="771" max="771" width="12.140625" style="33" customWidth="1"/>
    <col min="772" max="772" width="42.7109375" style="33" customWidth="1"/>
    <col min="773" max="773" width="4.28515625" style="33" customWidth="1"/>
    <col min="774" max="774" width="8.42578125" style="33" customWidth="1"/>
    <col min="775" max="775" width="10.42578125" style="33" customWidth="1"/>
    <col min="776" max="776" width="10.85546875" style="33" customWidth="1"/>
    <col min="777" max="1024" width="9" style="33"/>
    <col min="1025" max="1025" width="6.140625" style="33" customWidth="1"/>
    <col min="1026" max="1026" width="5.7109375" style="33" customWidth="1"/>
    <col min="1027" max="1027" width="12.140625" style="33" customWidth="1"/>
    <col min="1028" max="1028" width="42.7109375" style="33" customWidth="1"/>
    <col min="1029" max="1029" width="4.28515625" style="33" customWidth="1"/>
    <col min="1030" max="1030" width="8.42578125" style="33" customWidth="1"/>
    <col min="1031" max="1031" width="10.42578125" style="33" customWidth="1"/>
    <col min="1032" max="1032" width="10.85546875" style="33" customWidth="1"/>
    <col min="1033" max="1280" width="9" style="33"/>
    <col min="1281" max="1281" width="6.140625" style="33" customWidth="1"/>
    <col min="1282" max="1282" width="5.7109375" style="33" customWidth="1"/>
    <col min="1283" max="1283" width="12.140625" style="33" customWidth="1"/>
    <col min="1284" max="1284" width="42.7109375" style="33" customWidth="1"/>
    <col min="1285" max="1285" width="4.28515625" style="33" customWidth="1"/>
    <col min="1286" max="1286" width="8.42578125" style="33" customWidth="1"/>
    <col min="1287" max="1287" width="10.42578125" style="33" customWidth="1"/>
    <col min="1288" max="1288" width="10.85546875" style="33" customWidth="1"/>
    <col min="1289" max="1536" width="9" style="33"/>
    <col min="1537" max="1537" width="6.140625" style="33" customWidth="1"/>
    <col min="1538" max="1538" width="5.7109375" style="33" customWidth="1"/>
    <col min="1539" max="1539" width="12.140625" style="33" customWidth="1"/>
    <col min="1540" max="1540" width="42.7109375" style="33" customWidth="1"/>
    <col min="1541" max="1541" width="4.28515625" style="33" customWidth="1"/>
    <col min="1542" max="1542" width="8.42578125" style="33" customWidth="1"/>
    <col min="1543" max="1543" width="10.42578125" style="33" customWidth="1"/>
    <col min="1544" max="1544" width="10.85546875" style="33" customWidth="1"/>
    <col min="1545" max="1792" width="9" style="33"/>
    <col min="1793" max="1793" width="6.140625" style="33" customWidth="1"/>
    <col min="1794" max="1794" width="5.7109375" style="33" customWidth="1"/>
    <col min="1795" max="1795" width="12.140625" style="33" customWidth="1"/>
    <col min="1796" max="1796" width="42.7109375" style="33" customWidth="1"/>
    <col min="1797" max="1797" width="4.28515625" style="33" customWidth="1"/>
    <col min="1798" max="1798" width="8.42578125" style="33" customWidth="1"/>
    <col min="1799" max="1799" width="10.42578125" style="33" customWidth="1"/>
    <col min="1800" max="1800" width="10.85546875" style="33" customWidth="1"/>
    <col min="1801" max="2048" width="9" style="33"/>
    <col min="2049" max="2049" width="6.140625" style="33" customWidth="1"/>
    <col min="2050" max="2050" width="5.7109375" style="33" customWidth="1"/>
    <col min="2051" max="2051" width="12.140625" style="33" customWidth="1"/>
    <col min="2052" max="2052" width="42.7109375" style="33" customWidth="1"/>
    <col min="2053" max="2053" width="4.28515625" style="33" customWidth="1"/>
    <col min="2054" max="2054" width="8.42578125" style="33" customWidth="1"/>
    <col min="2055" max="2055" width="10.42578125" style="33" customWidth="1"/>
    <col min="2056" max="2056" width="10.85546875" style="33" customWidth="1"/>
    <col min="2057" max="2304" width="9" style="33"/>
    <col min="2305" max="2305" width="6.140625" style="33" customWidth="1"/>
    <col min="2306" max="2306" width="5.7109375" style="33" customWidth="1"/>
    <col min="2307" max="2307" width="12.140625" style="33" customWidth="1"/>
    <col min="2308" max="2308" width="42.7109375" style="33" customWidth="1"/>
    <col min="2309" max="2309" width="4.28515625" style="33" customWidth="1"/>
    <col min="2310" max="2310" width="8.42578125" style="33" customWidth="1"/>
    <col min="2311" max="2311" width="10.42578125" style="33" customWidth="1"/>
    <col min="2312" max="2312" width="10.85546875" style="33" customWidth="1"/>
    <col min="2313" max="2560" width="9" style="33"/>
    <col min="2561" max="2561" width="6.140625" style="33" customWidth="1"/>
    <col min="2562" max="2562" width="5.7109375" style="33" customWidth="1"/>
    <col min="2563" max="2563" width="12.140625" style="33" customWidth="1"/>
    <col min="2564" max="2564" width="42.7109375" style="33" customWidth="1"/>
    <col min="2565" max="2565" width="4.28515625" style="33" customWidth="1"/>
    <col min="2566" max="2566" width="8.42578125" style="33" customWidth="1"/>
    <col min="2567" max="2567" width="10.42578125" style="33" customWidth="1"/>
    <col min="2568" max="2568" width="10.85546875" style="33" customWidth="1"/>
    <col min="2569" max="2816" width="9" style="33"/>
    <col min="2817" max="2817" width="6.140625" style="33" customWidth="1"/>
    <col min="2818" max="2818" width="5.7109375" style="33" customWidth="1"/>
    <col min="2819" max="2819" width="12.140625" style="33" customWidth="1"/>
    <col min="2820" max="2820" width="42.7109375" style="33" customWidth="1"/>
    <col min="2821" max="2821" width="4.28515625" style="33" customWidth="1"/>
    <col min="2822" max="2822" width="8.42578125" style="33" customWidth="1"/>
    <col min="2823" max="2823" width="10.42578125" style="33" customWidth="1"/>
    <col min="2824" max="2824" width="10.85546875" style="33" customWidth="1"/>
    <col min="2825" max="3072" width="9" style="33"/>
    <col min="3073" max="3073" width="6.140625" style="33" customWidth="1"/>
    <col min="3074" max="3074" width="5.7109375" style="33" customWidth="1"/>
    <col min="3075" max="3075" width="12.140625" style="33" customWidth="1"/>
    <col min="3076" max="3076" width="42.7109375" style="33" customWidth="1"/>
    <col min="3077" max="3077" width="4.28515625" style="33" customWidth="1"/>
    <col min="3078" max="3078" width="8.42578125" style="33" customWidth="1"/>
    <col min="3079" max="3079" width="10.42578125" style="33" customWidth="1"/>
    <col min="3080" max="3080" width="10.85546875" style="33" customWidth="1"/>
    <col min="3081" max="3328" width="9" style="33"/>
    <col min="3329" max="3329" width="6.140625" style="33" customWidth="1"/>
    <col min="3330" max="3330" width="5.7109375" style="33" customWidth="1"/>
    <col min="3331" max="3331" width="12.140625" style="33" customWidth="1"/>
    <col min="3332" max="3332" width="42.7109375" style="33" customWidth="1"/>
    <col min="3333" max="3333" width="4.28515625" style="33" customWidth="1"/>
    <col min="3334" max="3334" width="8.42578125" style="33" customWidth="1"/>
    <col min="3335" max="3335" width="10.42578125" style="33" customWidth="1"/>
    <col min="3336" max="3336" width="10.85546875" style="33" customWidth="1"/>
    <col min="3337" max="3584" width="9" style="33"/>
    <col min="3585" max="3585" width="6.140625" style="33" customWidth="1"/>
    <col min="3586" max="3586" width="5.7109375" style="33" customWidth="1"/>
    <col min="3587" max="3587" width="12.140625" style="33" customWidth="1"/>
    <col min="3588" max="3588" width="42.7109375" style="33" customWidth="1"/>
    <col min="3589" max="3589" width="4.28515625" style="33" customWidth="1"/>
    <col min="3590" max="3590" width="8.42578125" style="33" customWidth="1"/>
    <col min="3591" max="3591" width="10.42578125" style="33" customWidth="1"/>
    <col min="3592" max="3592" width="10.85546875" style="33" customWidth="1"/>
    <col min="3593" max="3840" width="9" style="33"/>
    <col min="3841" max="3841" width="6.140625" style="33" customWidth="1"/>
    <col min="3842" max="3842" width="5.7109375" style="33" customWidth="1"/>
    <col min="3843" max="3843" width="12.140625" style="33" customWidth="1"/>
    <col min="3844" max="3844" width="42.7109375" style="33" customWidth="1"/>
    <col min="3845" max="3845" width="4.28515625" style="33" customWidth="1"/>
    <col min="3846" max="3846" width="8.42578125" style="33" customWidth="1"/>
    <col min="3847" max="3847" width="10.42578125" style="33" customWidth="1"/>
    <col min="3848" max="3848" width="10.85546875" style="33" customWidth="1"/>
    <col min="3849" max="4096" width="9" style="33"/>
    <col min="4097" max="4097" width="6.140625" style="33" customWidth="1"/>
    <col min="4098" max="4098" width="5.7109375" style="33" customWidth="1"/>
    <col min="4099" max="4099" width="12.140625" style="33" customWidth="1"/>
    <col min="4100" max="4100" width="42.7109375" style="33" customWidth="1"/>
    <col min="4101" max="4101" width="4.28515625" style="33" customWidth="1"/>
    <col min="4102" max="4102" width="8.42578125" style="33" customWidth="1"/>
    <col min="4103" max="4103" width="10.42578125" style="33" customWidth="1"/>
    <col min="4104" max="4104" width="10.85546875" style="33" customWidth="1"/>
    <col min="4105" max="4352" width="9" style="33"/>
    <col min="4353" max="4353" width="6.140625" style="33" customWidth="1"/>
    <col min="4354" max="4354" width="5.7109375" style="33" customWidth="1"/>
    <col min="4355" max="4355" width="12.140625" style="33" customWidth="1"/>
    <col min="4356" max="4356" width="42.7109375" style="33" customWidth="1"/>
    <col min="4357" max="4357" width="4.28515625" style="33" customWidth="1"/>
    <col min="4358" max="4358" width="8.42578125" style="33" customWidth="1"/>
    <col min="4359" max="4359" width="10.42578125" style="33" customWidth="1"/>
    <col min="4360" max="4360" width="10.85546875" style="33" customWidth="1"/>
    <col min="4361" max="4608" width="9" style="33"/>
    <col min="4609" max="4609" width="6.140625" style="33" customWidth="1"/>
    <col min="4610" max="4610" width="5.7109375" style="33" customWidth="1"/>
    <col min="4611" max="4611" width="12.140625" style="33" customWidth="1"/>
    <col min="4612" max="4612" width="42.7109375" style="33" customWidth="1"/>
    <col min="4613" max="4613" width="4.28515625" style="33" customWidth="1"/>
    <col min="4614" max="4614" width="8.42578125" style="33" customWidth="1"/>
    <col min="4615" max="4615" width="10.42578125" style="33" customWidth="1"/>
    <col min="4616" max="4616" width="10.85546875" style="33" customWidth="1"/>
    <col min="4617" max="4864" width="9" style="33"/>
    <col min="4865" max="4865" width="6.140625" style="33" customWidth="1"/>
    <col min="4866" max="4866" width="5.7109375" style="33" customWidth="1"/>
    <col min="4867" max="4867" width="12.140625" style="33" customWidth="1"/>
    <col min="4868" max="4868" width="42.7109375" style="33" customWidth="1"/>
    <col min="4869" max="4869" width="4.28515625" style="33" customWidth="1"/>
    <col min="4870" max="4870" width="8.42578125" style="33" customWidth="1"/>
    <col min="4871" max="4871" width="10.42578125" style="33" customWidth="1"/>
    <col min="4872" max="4872" width="10.85546875" style="33" customWidth="1"/>
    <col min="4873" max="5120" width="9" style="33"/>
    <col min="5121" max="5121" width="6.140625" style="33" customWidth="1"/>
    <col min="5122" max="5122" width="5.7109375" style="33" customWidth="1"/>
    <col min="5123" max="5123" width="12.140625" style="33" customWidth="1"/>
    <col min="5124" max="5124" width="42.7109375" style="33" customWidth="1"/>
    <col min="5125" max="5125" width="4.28515625" style="33" customWidth="1"/>
    <col min="5126" max="5126" width="8.42578125" style="33" customWidth="1"/>
    <col min="5127" max="5127" width="10.42578125" style="33" customWidth="1"/>
    <col min="5128" max="5128" width="10.85546875" style="33" customWidth="1"/>
    <col min="5129" max="5376" width="9" style="33"/>
    <col min="5377" max="5377" width="6.140625" style="33" customWidth="1"/>
    <col min="5378" max="5378" width="5.7109375" style="33" customWidth="1"/>
    <col min="5379" max="5379" width="12.140625" style="33" customWidth="1"/>
    <col min="5380" max="5380" width="42.7109375" style="33" customWidth="1"/>
    <col min="5381" max="5381" width="4.28515625" style="33" customWidth="1"/>
    <col min="5382" max="5382" width="8.42578125" style="33" customWidth="1"/>
    <col min="5383" max="5383" width="10.42578125" style="33" customWidth="1"/>
    <col min="5384" max="5384" width="10.85546875" style="33" customWidth="1"/>
    <col min="5385" max="5632" width="9" style="33"/>
    <col min="5633" max="5633" width="6.140625" style="33" customWidth="1"/>
    <col min="5634" max="5634" width="5.7109375" style="33" customWidth="1"/>
    <col min="5635" max="5635" width="12.140625" style="33" customWidth="1"/>
    <col min="5636" max="5636" width="42.7109375" style="33" customWidth="1"/>
    <col min="5637" max="5637" width="4.28515625" style="33" customWidth="1"/>
    <col min="5638" max="5638" width="8.42578125" style="33" customWidth="1"/>
    <col min="5639" max="5639" width="10.42578125" style="33" customWidth="1"/>
    <col min="5640" max="5640" width="10.85546875" style="33" customWidth="1"/>
    <col min="5641" max="5888" width="9" style="33"/>
    <col min="5889" max="5889" width="6.140625" style="33" customWidth="1"/>
    <col min="5890" max="5890" width="5.7109375" style="33" customWidth="1"/>
    <col min="5891" max="5891" width="12.140625" style="33" customWidth="1"/>
    <col min="5892" max="5892" width="42.7109375" style="33" customWidth="1"/>
    <col min="5893" max="5893" width="4.28515625" style="33" customWidth="1"/>
    <col min="5894" max="5894" width="8.42578125" style="33" customWidth="1"/>
    <col min="5895" max="5895" width="10.42578125" style="33" customWidth="1"/>
    <col min="5896" max="5896" width="10.85546875" style="33" customWidth="1"/>
    <col min="5897" max="6144" width="9" style="33"/>
    <col min="6145" max="6145" width="6.140625" style="33" customWidth="1"/>
    <col min="6146" max="6146" width="5.7109375" style="33" customWidth="1"/>
    <col min="6147" max="6147" width="12.140625" style="33" customWidth="1"/>
    <col min="6148" max="6148" width="42.7109375" style="33" customWidth="1"/>
    <col min="6149" max="6149" width="4.28515625" style="33" customWidth="1"/>
    <col min="6150" max="6150" width="8.42578125" style="33" customWidth="1"/>
    <col min="6151" max="6151" width="10.42578125" style="33" customWidth="1"/>
    <col min="6152" max="6152" width="10.85546875" style="33" customWidth="1"/>
    <col min="6153" max="6400" width="9" style="33"/>
    <col min="6401" max="6401" width="6.140625" style="33" customWidth="1"/>
    <col min="6402" max="6402" width="5.7109375" style="33" customWidth="1"/>
    <col min="6403" max="6403" width="12.140625" style="33" customWidth="1"/>
    <col min="6404" max="6404" width="42.7109375" style="33" customWidth="1"/>
    <col min="6405" max="6405" width="4.28515625" style="33" customWidth="1"/>
    <col min="6406" max="6406" width="8.42578125" style="33" customWidth="1"/>
    <col min="6407" max="6407" width="10.42578125" style="33" customWidth="1"/>
    <col min="6408" max="6408" width="10.85546875" style="33" customWidth="1"/>
    <col min="6409" max="6656" width="9" style="33"/>
    <col min="6657" max="6657" width="6.140625" style="33" customWidth="1"/>
    <col min="6658" max="6658" width="5.7109375" style="33" customWidth="1"/>
    <col min="6659" max="6659" width="12.140625" style="33" customWidth="1"/>
    <col min="6660" max="6660" width="42.7109375" style="33" customWidth="1"/>
    <col min="6661" max="6661" width="4.28515625" style="33" customWidth="1"/>
    <col min="6662" max="6662" width="8.42578125" style="33" customWidth="1"/>
    <col min="6663" max="6663" width="10.42578125" style="33" customWidth="1"/>
    <col min="6664" max="6664" width="10.85546875" style="33" customWidth="1"/>
    <col min="6665" max="6912" width="9" style="33"/>
    <col min="6913" max="6913" width="6.140625" style="33" customWidth="1"/>
    <col min="6914" max="6914" width="5.7109375" style="33" customWidth="1"/>
    <col min="6915" max="6915" width="12.140625" style="33" customWidth="1"/>
    <col min="6916" max="6916" width="42.7109375" style="33" customWidth="1"/>
    <col min="6917" max="6917" width="4.28515625" style="33" customWidth="1"/>
    <col min="6918" max="6918" width="8.42578125" style="33" customWidth="1"/>
    <col min="6919" max="6919" width="10.42578125" style="33" customWidth="1"/>
    <col min="6920" max="6920" width="10.85546875" style="33" customWidth="1"/>
    <col min="6921" max="7168" width="9" style="33"/>
    <col min="7169" max="7169" width="6.140625" style="33" customWidth="1"/>
    <col min="7170" max="7170" width="5.7109375" style="33" customWidth="1"/>
    <col min="7171" max="7171" width="12.140625" style="33" customWidth="1"/>
    <col min="7172" max="7172" width="42.7109375" style="33" customWidth="1"/>
    <col min="7173" max="7173" width="4.28515625" style="33" customWidth="1"/>
    <col min="7174" max="7174" width="8.42578125" style="33" customWidth="1"/>
    <col min="7175" max="7175" width="10.42578125" style="33" customWidth="1"/>
    <col min="7176" max="7176" width="10.85546875" style="33" customWidth="1"/>
    <col min="7177" max="7424" width="9" style="33"/>
    <col min="7425" max="7425" width="6.140625" style="33" customWidth="1"/>
    <col min="7426" max="7426" width="5.7109375" style="33" customWidth="1"/>
    <col min="7427" max="7427" width="12.140625" style="33" customWidth="1"/>
    <col min="7428" max="7428" width="42.7109375" style="33" customWidth="1"/>
    <col min="7429" max="7429" width="4.28515625" style="33" customWidth="1"/>
    <col min="7430" max="7430" width="8.42578125" style="33" customWidth="1"/>
    <col min="7431" max="7431" width="10.42578125" style="33" customWidth="1"/>
    <col min="7432" max="7432" width="10.85546875" style="33" customWidth="1"/>
    <col min="7433" max="7680" width="9" style="33"/>
    <col min="7681" max="7681" width="6.140625" style="33" customWidth="1"/>
    <col min="7682" max="7682" width="5.7109375" style="33" customWidth="1"/>
    <col min="7683" max="7683" width="12.140625" style="33" customWidth="1"/>
    <col min="7684" max="7684" width="42.7109375" style="33" customWidth="1"/>
    <col min="7685" max="7685" width="4.28515625" style="33" customWidth="1"/>
    <col min="7686" max="7686" width="8.42578125" style="33" customWidth="1"/>
    <col min="7687" max="7687" width="10.42578125" style="33" customWidth="1"/>
    <col min="7688" max="7688" width="10.85546875" style="33" customWidth="1"/>
    <col min="7689" max="7936" width="9" style="33"/>
    <col min="7937" max="7937" width="6.140625" style="33" customWidth="1"/>
    <col min="7938" max="7938" width="5.7109375" style="33" customWidth="1"/>
    <col min="7939" max="7939" width="12.140625" style="33" customWidth="1"/>
    <col min="7940" max="7940" width="42.7109375" style="33" customWidth="1"/>
    <col min="7941" max="7941" width="4.28515625" style="33" customWidth="1"/>
    <col min="7942" max="7942" width="8.42578125" style="33" customWidth="1"/>
    <col min="7943" max="7943" width="10.42578125" style="33" customWidth="1"/>
    <col min="7944" max="7944" width="10.85546875" style="33" customWidth="1"/>
    <col min="7945" max="8192" width="9" style="33"/>
    <col min="8193" max="8193" width="6.140625" style="33" customWidth="1"/>
    <col min="8194" max="8194" width="5.7109375" style="33" customWidth="1"/>
    <col min="8195" max="8195" width="12.140625" style="33" customWidth="1"/>
    <col min="8196" max="8196" width="42.7109375" style="33" customWidth="1"/>
    <col min="8197" max="8197" width="4.28515625" style="33" customWidth="1"/>
    <col min="8198" max="8198" width="8.42578125" style="33" customWidth="1"/>
    <col min="8199" max="8199" width="10.42578125" style="33" customWidth="1"/>
    <col min="8200" max="8200" width="10.85546875" style="33" customWidth="1"/>
    <col min="8201" max="8448" width="9" style="33"/>
    <col min="8449" max="8449" width="6.140625" style="33" customWidth="1"/>
    <col min="8450" max="8450" width="5.7109375" style="33" customWidth="1"/>
    <col min="8451" max="8451" width="12.140625" style="33" customWidth="1"/>
    <col min="8452" max="8452" width="42.7109375" style="33" customWidth="1"/>
    <col min="8453" max="8453" width="4.28515625" style="33" customWidth="1"/>
    <col min="8454" max="8454" width="8.42578125" style="33" customWidth="1"/>
    <col min="8455" max="8455" width="10.42578125" style="33" customWidth="1"/>
    <col min="8456" max="8456" width="10.85546875" style="33" customWidth="1"/>
    <col min="8457" max="8704" width="9" style="33"/>
    <col min="8705" max="8705" width="6.140625" style="33" customWidth="1"/>
    <col min="8706" max="8706" width="5.7109375" style="33" customWidth="1"/>
    <col min="8707" max="8707" width="12.140625" style="33" customWidth="1"/>
    <col min="8708" max="8708" width="42.7109375" style="33" customWidth="1"/>
    <col min="8709" max="8709" width="4.28515625" style="33" customWidth="1"/>
    <col min="8710" max="8710" width="8.42578125" style="33" customWidth="1"/>
    <col min="8711" max="8711" width="10.42578125" style="33" customWidth="1"/>
    <col min="8712" max="8712" width="10.85546875" style="33" customWidth="1"/>
    <col min="8713" max="8960" width="9" style="33"/>
    <col min="8961" max="8961" width="6.140625" style="33" customWidth="1"/>
    <col min="8962" max="8962" width="5.7109375" style="33" customWidth="1"/>
    <col min="8963" max="8963" width="12.140625" style="33" customWidth="1"/>
    <col min="8964" max="8964" width="42.7109375" style="33" customWidth="1"/>
    <col min="8965" max="8965" width="4.28515625" style="33" customWidth="1"/>
    <col min="8966" max="8966" width="8.42578125" style="33" customWidth="1"/>
    <col min="8967" max="8967" width="10.42578125" style="33" customWidth="1"/>
    <col min="8968" max="8968" width="10.85546875" style="33" customWidth="1"/>
    <col min="8969" max="9216" width="9" style="33"/>
    <col min="9217" max="9217" width="6.140625" style="33" customWidth="1"/>
    <col min="9218" max="9218" width="5.7109375" style="33" customWidth="1"/>
    <col min="9219" max="9219" width="12.140625" style="33" customWidth="1"/>
    <col min="9220" max="9220" width="42.7109375" style="33" customWidth="1"/>
    <col min="9221" max="9221" width="4.28515625" style="33" customWidth="1"/>
    <col min="9222" max="9222" width="8.42578125" style="33" customWidth="1"/>
    <col min="9223" max="9223" width="10.42578125" style="33" customWidth="1"/>
    <col min="9224" max="9224" width="10.85546875" style="33" customWidth="1"/>
    <col min="9225" max="9472" width="9" style="33"/>
    <col min="9473" max="9473" width="6.140625" style="33" customWidth="1"/>
    <col min="9474" max="9474" width="5.7109375" style="33" customWidth="1"/>
    <col min="9475" max="9475" width="12.140625" style="33" customWidth="1"/>
    <col min="9476" max="9476" width="42.7109375" style="33" customWidth="1"/>
    <col min="9477" max="9477" width="4.28515625" style="33" customWidth="1"/>
    <col min="9478" max="9478" width="8.42578125" style="33" customWidth="1"/>
    <col min="9479" max="9479" width="10.42578125" style="33" customWidth="1"/>
    <col min="9480" max="9480" width="10.85546875" style="33" customWidth="1"/>
    <col min="9481" max="9728" width="9" style="33"/>
    <col min="9729" max="9729" width="6.140625" style="33" customWidth="1"/>
    <col min="9730" max="9730" width="5.7109375" style="33" customWidth="1"/>
    <col min="9731" max="9731" width="12.140625" style="33" customWidth="1"/>
    <col min="9732" max="9732" width="42.7109375" style="33" customWidth="1"/>
    <col min="9733" max="9733" width="4.28515625" style="33" customWidth="1"/>
    <col min="9734" max="9734" width="8.42578125" style="33" customWidth="1"/>
    <col min="9735" max="9735" width="10.42578125" style="33" customWidth="1"/>
    <col min="9736" max="9736" width="10.85546875" style="33" customWidth="1"/>
    <col min="9737" max="9984" width="9" style="33"/>
    <col min="9985" max="9985" width="6.140625" style="33" customWidth="1"/>
    <col min="9986" max="9986" width="5.7109375" style="33" customWidth="1"/>
    <col min="9987" max="9987" width="12.140625" style="33" customWidth="1"/>
    <col min="9988" max="9988" width="42.7109375" style="33" customWidth="1"/>
    <col min="9989" max="9989" width="4.28515625" style="33" customWidth="1"/>
    <col min="9990" max="9990" width="8.42578125" style="33" customWidth="1"/>
    <col min="9991" max="9991" width="10.42578125" style="33" customWidth="1"/>
    <col min="9992" max="9992" width="10.85546875" style="33" customWidth="1"/>
    <col min="9993" max="10240" width="9" style="33"/>
    <col min="10241" max="10241" width="6.140625" style="33" customWidth="1"/>
    <col min="10242" max="10242" width="5.7109375" style="33" customWidth="1"/>
    <col min="10243" max="10243" width="12.140625" style="33" customWidth="1"/>
    <col min="10244" max="10244" width="42.7109375" style="33" customWidth="1"/>
    <col min="10245" max="10245" width="4.28515625" style="33" customWidth="1"/>
    <col min="10246" max="10246" width="8.42578125" style="33" customWidth="1"/>
    <col min="10247" max="10247" width="10.42578125" style="33" customWidth="1"/>
    <col min="10248" max="10248" width="10.85546875" style="33" customWidth="1"/>
    <col min="10249" max="10496" width="9" style="33"/>
    <col min="10497" max="10497" width="6.140625" style="33" customWidth="1"/>
    <col min="10498" max="10498" width="5.7109375" style="33" customWidth="1"/>
    <col min="10499" max="10499" width="12.140625" style="33" customWidth="1"/>
    <col min="10500" max="10500" width="42.7109375" style="33" customWidth="1"/>
    <col min="10501" max="10501" width="4.28515625" style="33" customWidth="1"/>
    <col min="10502" max="10502" width="8.42578125" style="33" customWidth="1"/>
    <col min="10503" max="10503" width="10.42578125" style="33" customWidth="1"/>
    <col min="10504" max="10504" width="10.85546875" style="33" customWidth="1"/>
    <col min="10505" max="10752" width="9" style="33"/>
    <col min="10753" max="10753" width="6.140625" style="33" customWidth="1"/>
    <col min="10754" max="10754" width="5.7109375" style="33" customWidth="1"/>
    <col min="10755" max="10755" width="12.140625" style="33" customWidth="1"/>
    <col min="10756" max="10756" width="42.7109375" style="33" customWidth="1"/>
    <col min="10757" max="10757" width="4.28515625" style="33" customWidth="1"/>
    <col min="10758" max="10758" width="8.42578125" style="33" customWidth="1"/>
    <col min="10759" max="10759" width="10.42578125" style="33" customWidth="1"/>
    <col min="10760" max="10760" width="10.85546875" style="33" customWidth="1"/>
    <col min="10761" max="11008" width="9" style="33"/>
    <col min="11009" max="11009" width="6.140625" style="33" customWidth="1"/>
    <col min="11010" max="11010" width="5.7109375" style="33" customWidth="1"/>
    <col min="11011" max="11011" width="12.140625" style="33" customWidth="1"/>
    <col min="11012" max="11012" width="42.7109375" style="33" customWidth="1"/>
    <col min="11013" max="11013" width="4.28515625" style="33" customWidth="1"/>
    <col min="11014" max="11014" width="8.42578125" style="33" customWidth="1"/>
    <col min="11015" max="11015" width="10.42578125" style="33" customWidth="1"/>
    <col min="11016" max="11016" width="10.85546875" style="33" customWidth="1"/>
    <col min="11017" max="11264" width="9" style="33"/>
    <col min="11265" max="11265" width="6.140625" style="33" customWidth="1"/>
    <col min="11266" max="11266" width="5.7109375" style="33" customWidth="1"/>
    <col min="11267" max="11267" width="12.140625" style="33" customWidth="1"/>
    <col min="11268" max="11268" width="42.7109375" style="33" customWidth="1"/>
    <col min="11269" max="11269" width="4.28515625" style="33" customWidth="1"/>
    <col min="11270" max="11270" width="8.42578125" style="33" customWidth="1"/>
    <col min="11271" max="11271" width="10.42578125" style="33" customWidth="1"/>
    <col min="11272" max="11272" width="10.85546875" style="33" customWidth="1"/>
    <col min="11273" max="11520" width="9" style="33"/>
    <col min="11521" max="11521" width="6.140625" style="33" customWidth="1"/>
    <col min="11522" max="11522" width="5.7109375" style="33" customWidth="1"/>
    <col min="11523" max="11523" width="12.140625" style="33" customWidth="1"/>
    <col min="11524" max="11524" width="42.7109375" style="33" customWidth="1"/>
    <col min="11525" max="11525" width="4.28515625" style="33" customWidth="1"/>
    <col min="11526" max="11526" width="8.42578125" style="33" customWidth="1"/>
    <col min="11527" max="11527" width="10.42578125" style="33" customWidth="1"/>
    <col min="11528" max="11528" width="10.85546875" style="33" customWidth="1"/>
    <col min="11529" max="11776" width="9" style="33"/>
    <col min="11777" max="11777" width="6.140625" style="33" customWidth="1"/>
    <col min="11778" max="11778" width="5.7109375" style="33" customWidth="1"/>
    <col min="11779" max="11779" width="12.140625" style="33" customWidth="1"/>
    <col min="11780" max="11780" width="42.7109375" style="33" customWidth="1"/>
    <col min="11781" max="11781" width="4.28515625" style="33" customWidth="1"/>
    <col min="11782" max="11782" width="8.42578125" style="33" customWidth="1"/>
    <col min="11783" max="11783" width="10.42578125" style="33" customWidth="1"/>
    <col min="11784" max="11784" width="10.85546875" style="33" customWidth="1"/>
    <col min="11785" max="12032" width="9" style="33"/>
    <col min="12033" max="12033" width="6.140625" style="33" customWidth="1"/>
    <col min="12034" max="12034" width="5.7109375" style="33" customWidth="1"/>
    <col min="12035" max="12035" width="12.140625" style="33" customWidth="1"/>
    <col min="12036" max="12036" width="42.7109375" style="33" customWidth="1"/>
    <col min="12037" max="12037" width="4.28515625" style="33" customWidth="1"/>
    <col min="12038" max="12038" width="8.42578125" style="33" customWidth="1"/>
    <col min="12039" max="12039" width="10.42578125" style="33" customWidth="1"/>
    <col min="12040" max="12040" width="10.85546875" style="33" customWidth="1"/>
    <col min="12041" max="12288" width="9" style="33"/>
    <col min="12289" max="12289" width="6.140625" style="33" customWidth="1"/>
    <col min="12290" max="12290" width="5.7109375" style="33" customWidth="1"/>
    <col min="12291" max="12291" width="12.140625" style="33" customWidth="1"/>
    <col min="12292" max="12292" width="42.7109375" style="33" customWidth="1"/>
    <col min="12293" max="12293" width="4.28515625" style="33" customWidth="1"/>
    <col min="12294" max="12294" width="8.42578125" style="33" customWidth="1"/>
    <col min="12295" max="12295" width="10.42578125" style="33" customWidth="1"/>
    <col min="12296" max="12296" width="10.85546875" style="33" customWidth="1"/>
    <col min="12297" max="12544" width="9" style="33"/>
    <col min="12545" max="12545" width="6.140625" style="33" customWidth="1"/>
    <col min="12546" max="12546" width="5.7109375" style="33" customWidth="1"/>
    <col min="12547" max="12547" width="12.140625" style="33" customWidth="1"/>
    <col min="12548" max="12548" width="42.7109375" style="33" customWidth="1"/>
    <col min="12549" max="12549" width="4.28515625" style="33" customWidth="1"/>
    <col min="12550" max="12550" width="8.42578125" style="33" customWidth="1"/>
    <col min="12551" max="12551" width="10.42578125" style="33" customWidth="1"/>
    <col min="12552" max="12552" width="10.85546875" style="33" customWidth="1"/>
    <col min="12553" max="12800" width="9" style="33"/>
    <col min="12801" max="12801" width="6.140625" style="33" customWidth="1"/>
    <col min="12802" max="12802" width="5.7109375" style="33" customWidth="1"/>
    <col min="12803" max="12803" width="12.140625" style="33" customWidth="1"/>
    <col min="12804" max="12804" width="42.7109375" style="33" customWidth="1"/>
    <col min="12805" max="12805" width="4.28515625" style="33" customWidth="1"/>
    <col min="12806" max="12806" width="8.42578125" style="33" customWidth="1"/>
    <col min="12807" max="12807" width="10.42578125" style="33" customWidth="1"/>
    <col min="12808" max="12808" width="10.85546875" style="33" customWidth="1"/>
    <col min="12809" max="13056" width="9" style="33"/>
    <col min="13057" max="13057" width="6.140625" style="33" customWidth="1"/>
    <col min="13058" max="13058" width="5.7109375" style="33" customWidth="1"/>
    <col min="13059" max="13059" width="12.140625" style="33" customWidth="1"/>
    <col min="13060" max="13060" width="42.7109375" style="33" customWidth="1"/>
    <col min="13061" max="13061" width="4.28515625" style="33" customWidth="1"/>
    <col min="13062" max="13062" width="8.42578125" style="33" customWidth="1"/>
    <col min="13063" max="13063" width="10.42578125" style="33" customWidth="1"/>
    <col min="13064" max="13064" width="10.85546875" style="33" customWidth="1"/>
    <col min="13065" max="13312" width="9" style="33"/>
    <col min="13313" max="13313" width="6.140625" style="33" customWidth="1"/>
    <col min="13314" max="13314" width="5.7109375" style="33" customWidth="1"/>
    <col min="13315" max="13315" width="12.140625" style="33" customWidth="1"/>
    <col min="13316" max="13316" width="42.7109375" style="33" customWidth="1"/>
    <col min="13317" max="13317" width="4.28515625" style="33" customWidth="1"/>
    <col min="13318" max="13318" width="8.42578125" style="33" customWidth="1"/>
    <col min="13319" max="13319" width="10.42578125" style="33" customWidth="1"/>
    <col min="13320" max="13320" width="10.85546875" style="33" customWidth="1"/>
    <col min="13321" max="13568" width="9" style="33"/>
    <col min="13569" max="13569" width="6.140625" style="33" customWidth="1"/>
    <col min="13570" max="13570" width="5.7109375" style="33" customWidth="1"/>
    <col min="13571" max="13571" width="12.140625" style="33" customWidth="1"/>
    <col min="13572" max="13572" width="42.7109375" style="33" customWidth="1"/>
    <col min="13573" max="13573" width="4.28515625" style="33" customWidth="1"/>
    <col min="13574" max="13574" width="8.42578125" style="33" customWidth="1"/>
    <col min="13575" max="13575" width="10.42578125" style="33" customWidth="1"/>
    <col min="13576" max="13576" width="10.85546875" style="33" customWidth="1"/>
    <col min="13577" max="13824" width="9" style="33"/>
    <col min="13825" max="13825" width="6.140625" style="33" customWidth="1"/>
    <col min="13826" max="13826" width="5.7109375" style="33" customWidth="1"/>
    <col min="13827" max="13827" width="12.140625" style="33" customWidth="1"/>
    <col min="13828" max="13828" width="42.7109375" style="33" customWidth="1"/>
    <col min="13829" max="13829" width="4.28515625" style="33" customWidth="1"/>
    <col min="13830" max="13830" width="8.42578125" style="33" customWidth="1"/>
    <col min="13831" max="13831" width="10.42578125" style="33" customWidth="1"/>
    <col min="13832" max="13832" width="10.85546875" style="33" customWidth="1"/>
    <col min="13833" max="14080" width="9" style="33"/>
    <col min="14081" max="14081" width="6.140625" style="33" customWidth="1"/>
    <col min="14082" max="14082" width="5.7109375" style="33" customWidth="1"/>
    <col min="14083" max="14083" width="12.140625" style="33" customWidth="1"/>
    <col min="14084" max="14084" width="42.7109375" style="33" customWidth="1"/>
    <col min="14085" max="14085" width="4.28515625" style="33" customWidth="1"/>
    <col min="14086" max="14086" width="8.42578125" style="33" customWidth="1"/>
    <col min="14087" max="14087" width="10.42578125" style="33" customWidth="1"/>
    <col min="14088" max="14088" width="10.85546875" style="33" customWidth="1"/>
    <col min="14089" max="14336" width="9" style="33"/>
    <col min="14337" max="14337" width="6.140625" style="33" customWidth="1"/>
    <col min="14338" max="14338" width="5.7109375" style="33" customWidth="1"/>
    <col min="14339" max="14339" width="12.140625" style="33" customWidth="1"/>
    <col min="14340" max="14340" width="42.7109375" style="33" customWidth="1"/>
    <col min="14341" max="14341" width="4.28515625" style="33" customWidth="1"/>
    <col min="14342" max="14342" width="8.42578125" style="33" customWidth="1"/>
    <col min="14343" max="14343" width="10.42578125" style="33" customWidth="1"/>
    <col min="14344" max="14344" width="10.85546875" style="33" customWidth="1"/>
    <col min="14345" max="14592" width="9" style="33"/>
    <col min="14593" max="14593" width="6.140625" style="33" customWidth="1"/>
    <col min="14594" max="14594" width="5.7109375" style="33" customWidth="1"/>
    <col min="14595" max="14595" width="12.140625" style="33" customWidth="1"/>
    <col min="14596" max="14596" width="42.7109375" style="33" customWidth="1"/>
    <col min="14597" max="14597" width="4.28515625" style="33" customWidth="1"/>
    <col min="14598" max="14598" width="8.42578125" style="33" customWidth="1"/>
    <col min="14599" max="14599" width="10.42578125" style="33" customWidth="1"/>
    <col min="14600" max="14600" width="10.85546875" style="33" customWidth="1"/>
    <col min="14601" max="14848" width="9" style="33"/>
    <col min="14849" max="14849" width="6.140625" style="33" customWidth="1"/>
    <col min="14850" max="14850" width="5.7109375" style="33" customWidth="1"/>
    <col min="14851" max="14851" width="12.140625" style="33" customWidth="1"/>
    <col min="14852" max="14852" width="42.7109375" style="33" customWidth="1"/>
    <col min="14853" max="14853" width="4.28515625" style="33" customWidth="1"/>
    <col min="14854" max="14854" width="8.42578125" style="33" customWidth="1"/>
    <col min="14855" max="14855" width="10.42578125" style="33" customWidth="1"/>
    <col min="14856" max="14856" width="10.85546875" style="33" customWidth="1"/>
    <col min="14857" max="15104" width="9" style="33"/>
    <col min="15105" max="15105" width="6.140625" style="33" customWidth="1"/>
    <col min="15106" max="15106" width="5.7109375" style="33" customWidth="1"/>
    <col min="15107" max="15107" width="12.140625" style="33" customWidth="1"/>
    <col min="15108" max="15108" width="42.7109375" style="33" customWidth="1"/>
    <col min="15109" max="15109" width="4.28515625" style="33" customWidth="1"/>
    <col min="15110" max="15110" width="8.42578125" style="33" customWidth="1"/>
    <col min="15111" max="15111" width="10.42578125" style="33" customWidth="1"/>
    <col min="15112" max="15112" width="10.85546875" style="33" customWidth="1"/>
    <col min="15113" max="15360" width="9" style="33"/>
    <col min="15361" max="15361" width="6.140625" style="33" customWidth="1"/>
    <col min="15362" max="15362" width="5.7109375" style="33" customWidth="1"/>
    <col min="15363" max="15363" width="12.140625" style="33" customWidth="1"/>
    <col min="15364" max="15364" width="42.7109375" style="33" customWidth="1"/>
    <col min="15365" max="15365" width="4.28515625" style="33" customWidth="1"/>
    <col min="15366" max="15366" width="8.42578125" style="33" customWidth="1"/>
    <col min="15367" max="15367" width="10.42578125" style="33" customWidth="1"/>
    <col min="15368" max="15368" width="10.85546875" style="33" customWidth="1"/>
    <col min="15369" max="15616" width="9" style="33"/>
    <col min="15617" max="15617" width="6.140625" style="33" customWidth="1"/>
    <col min="15618" max="15618" width="5.7109375" style="33" customWidth="1"/>
    <col min="15619" max="15619" width="12.140625" style="33" customWidth="1"/>
    <col min="15620" max="15620" width="42.7109375" style="33" customWidth="1"/>
    <col min="15621" max="15621" width="4.28515625" style="33" customWidth="1"/>
    <col min="15622" max="15622" width="8.42578125" style="33" customWidth="1"/>
    <col min="15623" max="15623" width="10.42578125" style="33" customWidth="1"/>
    <col min="15624" max="15624" width="10.85546875" style="33" customWidth="1"/>
    <col min="15625" max="15872" width="9" style="33"/>
    <col min="15873" max="15873" width="6.140625" style="33" customWidth="1"/>
    <col min="15874" max="15874" width="5.7109375" style="33" customWidth="1"/>
    <col min="15875" max="15875" width="12.140625" style="33" customWidth="1"/>
    <col min="15876" max="15876" width="42.7109375" style="33" customWidth="1"/>
    <col min="15877" max="15877" width="4.28515625" style="33" customWidth="1"/>
    <col min="15878" max="15878" width="8.42578125" style="33" customWidth="1"/>
    <col min="15879" max="15879" width="10.42578125" style="33" customWidth="1"/>
    <col min="15880" max="15880" width="10.85546875" style="33" customWidth="1"/>
    <col min="15881" max="16128" width="9" style="33"/>
    <col min="16129" max="16129" width="6.140625" style="33" customWidth="1"/>
    <col min="16130" max="16130" width="5.7109375" style="33" customWidth="1"/>
    <col min="16131" max="16131" width="12.140625" style="33" customWidth="1"/>
    <col min="16132" max="16132" width="42.7109375" style="33" customWidth="1"/>
    <col min="16133" max="16133" width="4.28515625" style="33" customWidth="1"/>
    <col min="16134" max="16134" width="8.42578125" style="33" customWidth="1"/>
    <col min="16135" max="16135" width="10.42578125" style="33" customWidth="1"/>
    <col min="16136" max="16136" width="10.85546875" style="33" customWidth="1"/>
    <col min="16137" max="16384" width="9" style="33"/>
  </cols>
  <sheetData>
    <row r="1" spans="1:14" ht="20.25" customHeight="1">
      <c r="A1" s="1110" t="s">
        <v>662</v>
      </c>
      <c r="B1" s="1110"/>
      <c r="C1" s="1110"/>
      <c r="D1" s="1110"/>
      <c r="E1" s="1110"/>
      <c r="F1" s="1110"/>
      <c r="G1" s="1110"/>
      <c r="H1" s="1110"/>
    </row>
    <row r="2" spans="1:14" s="22" customFormat="1" ht="16.5" customHeight="1">
      <c r="A2" s="55" t="s">
        <v>77</v>
      </c>
      <c r="B2" s="29"/>
      <c r="C2" s="55" t="s">
        <v>2664</v>
      </c>
      <c r="D2" s="31"/>
      <c r="E2" s="76"/>
      <c r="F2" s="3" t="s">
        <v>0</v>
      </c>
      <c r="G2" s="31"/>
      <c r="H2" s="31"/>
      <c r="I2" s="23"/>
      <c r="J2" s="39"/>
      <c r="K2" s="50"/>
      <c r="L2" s="24"/>
      <c r="M2" s="54"/>
      <c r="N2" s="54"/>
    </row>
    <row r="3" spans="1:14" s="22" customFormat="1" ht="12" customHeight="1">
      <c r="A3" s="29" t="s">
        <v>65</v>
      </c>
      <c r="B3" s="29"/>
      <c r="C3" s="30" t="s">
        <v>2324</v>
      </c>
      <c r="D3" s="31"/>
      <c r="E3" s="76"/>
      <c r="F3" s="3" t="s">
        <v>2</v>
      </c>
      <c r="G3" s="155">
        <v>44305</v>
      </c>
      <c r="H3" s="31"/>
      <c r="I3" s="23"/>
      <c r="J3" s="39"/>
      <c r="K3" s="50"/>
      <c r="L3" s="24"/>
      <c r="M3" s="54"/>
      <c r="N3" s="54"/>
    </row>
    <row r="4" spans="1:14" s="22" customFormat="1" ht="12" customHeight="1">
      <c r="A4" s="29" t="s">
        <v>1</v>
      </c>
      <c r="B4" s="29"/>
      <c r="C4" s="29" t="s">
        <v>115</v>
      </c>
      <c r="D4" s="3"/>
      <c r="E4" s="6"/>
      <c r="H4" s="3"/>
      <c r="I4" s="23"/>
      <c r="J4" s="39"/>
      <c r="K4" s="50"/>
      <c r="L4" s="24"/>
      <c r="M4" s="54"/>
      <c r="N4" s="54"/>
    </row>
    <row r="5" spans="1:14" ht="6" customHeight="1" thickBot="1">
      <c r="A5" s="12"/>
      <c r="B5" s="12"/>
      <c r="C5" s="12"/>
      <c r="D5" s="12"/>
      <c r="E5" s="28"/>
      <c r="F5" s="12"/>
      <c r="G5" s="12"/>
      <c r="H5" s="12"/>
    </row>
    <row r="6" spans="1:14" ht="24" customHeight="1" thickBot="1">
      <c r="A6" s="16" t="s">
        <v>3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</row>
    <row r="7" spans="1:14" ht="11.25" customHeight="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4" ht="6" customHeight="1">
      <c r="A8" s="12"/>
      <c r="B8" s="12"/>
      <c r="C8" s="12"/>
      <c r="D8" s="12"/>
      <c r="E8" s="28"/>
      <c r="F8" s="12"/>
      <c r="G8" s="12"/>
      <c r="H8" s="32"/>
    </row>
    <row r="9" spans="1:14" ht="20.25" customHeight="1">
      <c r="A9" s="12"/>
      <c r="B9" s="12"/>
      <c r="C9" s="9" t="s">
        <v>22</v>
      </c>
      <c r="D9" s="9" t="s">
        <v>11</v>
      </c>
      <c r="E9" s="6"/>
      <c r="F9" s="3"/>
      <c r="G9" s="10"/>
      <c r="H9" s="13">
        <f>SUM(H10,H40,H54,H64,H110)</f>
        <v>0</v>
      </c>
      <c r="J9" s="44" t="s">
        <v>22</v>
      </c>
    </row>
    <row r="10" spans="1:14" s="22" customFormat="1" ht="21" customHeight="1">
      <c r="A10" s="4"/>
      <c r="B10" s="4"/>
      <c r="C10" s="5">
        <v>1</v>
      </c>
      <c r="D10" s="5" t="s">
        <v>30</v>
      </c>
      <c r="E10" s="7"/>
      <c r="F10" s="8"/>
      <c r="G10" s="4"/>
      <c r="H10" s="81">
        <f>SUM(H11:H39)</f>
        <v>0</v>
      </c>
      <c r="I10" s="45"/>
      <c r="J10" s="42">
        <v>1</v>
      </c>
      <c r="K10" s="50"/>
      <c r="L10" s="24"/>
      <c r="M10" s="54"/>
      <c r="N10" s="54"/>
    </row>
    <row r="11" spans="1:14" s="145" customFormat="1" ht="24">
      <c r="A11" s="156">
        <v>1</v>
      </c>
      <c r="B11" s="157" t="s">
        <v>29</v>
      </c>
      <c r="C11" s="158" t="s">
        <v>664</v>
      </c>
      <c r="D11" s="158" t="s">
        <v>665</v>
      </c>
      <c r="E11" s="157" t="s">
        <v>12</v>
      </c>
      <c r="F11" s="159">
        <f>F21</f>
        <v>19.34</v>
      </c>
      <c r="G11" s="160"/>
      <c r="H11" s="71">
        <f>ROUND(F11*G11,2)</f>
        <v>0</v>
      </c>
      <c r="I11" s="23"/>
      <c r="J11" s="42">
        <v>1</v>
      </c>
      <c r="K11" s="43"/>
      <c r="L11" s="23"/>
      <c r="M11" s="54"/>
    </row>
    <row r="12" spans="1:14" s="22" customFormat="1" ht="12">
      <c r="A12" s="56"/>
      <c r="B12" s="3"/>
      <c r="C12" s="3"/>
      <c r="D12" s="59" t="s">
        <v>2325</v>
      </c>
      <c r="E12" s="77"/>
      <c r="F12" s="57">
        <f>ROUND(4*0.6*0.6*0.8+2*0.3*0.3*0.8+4*3.98*0.25,2)</f>
        <v>5.28</v>
      </c>
      <c r="G12" s="3"/>
      <c r="H12" s="58"/>
      <c r="J12" s="39"/>
      <c r="K12" s="23" t="s">
        <v>2326</v>
      </c>
      <c r="L12" s="24"/>
      <c r="M12" s="54"/>
      <c r="N12" s="54"/>
    </row>
    <row r="13" spans="1:14" s="145" customFormat="1" ht="12">
      <c r="A13" s="161"/>
      <c r="B13" s="162"/>
      <c r="C13" s="162"/>
      <c r="D13" s="163" t="s">
        <v>2327</v>
      </c>
      <c r="E13" s="164"/>
      <c r="F13" s="57">
        <f>ROUND(42*2*0.5*0.3*0.5,2)</f>
        <v>6.3</v>
      </c>
      <c r="G13" s="162"/>
      <c r="H13" s="165"/>
      <c r="J13" s="39"/>
      <c r="K13" s="23" t="s">
        <v>2328</v>
      </c>
      <c r="L13" s="23"/>
      <c r="M13" s="54"/>
    </row>
    <row r="14" spans="1:14" s="145" customFormat="1" ht="12">
      <c r="A14" s="161"/>
      <c r="B14" s="162"/>
      <c r="C14" s="162"/>
      <c r="D14" s="163" t="s">
        <v>2329</v>
      </c>
      <c r="E14" s="164"/>
      <c r="F14" s="57">
        <f>ROUND(2*2*0.4*0.4*0.9,2)</f>
        <v>0.57999999999999996</v>
      </c>
      <c r="G14" s="162"/>
      <c r="H14" s="165"/>
      <c r="J14" s="39"/>
      <c r="K14" s="23" t="s">
        <v>2330</v>
      </c>
      <c r="L14" s="23"/>
      <c r="M14" s="54"/>
    </row>
    <row r="15" spans="1:14" s="145" customFormat="1" ht="12">
      <c r="A15" s="161"/>
      <c r="B15" s="162"/>
      <c r="C15" s="162"/>
      <c r="D15" s="163" t="s">
        <v>2331</v>
      </c>
      <c r="E15" s="164"/>
      <c r="F15" s="57">
        <f>ROUND(3*2*0.4*0.4*0.5,2)</f>
        <v>0.48</v>
      </c>
      <c r="G15" s="162"/>
      <c r="H15" s="165"/>
      <c r="J15" s="39"/>
      <c r="K15" s="23" t="s">
        <v>2332</v>
      </c>
      <c r="L15" s="23"/>
      <c r="M15" s="54"/>
    </row>
    <row r="16" spans="1:14" s="145" customFormat="1" ht="12">
      <c r="A16" s="161"/>
      <c r="B16" s="162"/>
      <c r="C16" s="162"/>
      <c r="D16" s="163" t="s">
        <v>2333</v>
      </c>
      <c r="E16" s="164"/>
      <c r="F16" s="57">
        <f>ROUND(12*0.35*0.87*0.35,2)</f>
        <v>1.28</v>
      </c>
      <c r="G16" s="162"/>
      <c r="H16" s="165"/>
      <c r="J16" s="39"/>
      <c r="K16" s="23" t="s">
        <v>2334</v>
      </c>
      <c r="L16" s="23"/>
      <c r="M16" s="54"/>
    </row>
    <row r="17" spans="1:14" s="145" customFormat="1" ht="12">
      <c r="A17" s="161"/>
      <c r="B17" s="162"/>
      <c r="C17" s="162"/>
      <c r="D17" s="163" t="s">
        <v>2335</v>
      </c>
      <c r="E17" s="164"/>
      <c r="F17" s="57">
        <f>ROUND(3*0.4*0.4*0.9,2)</f>
        <v>0.43</v>
      </c>
      <c r="G17" s="162"/>
      <c r="H17" s="165"/>
      <c r="J17" s="39"/>
      <c r="K17" s="23" t="s">
        <v>2336</v>
      </c>
      <c r="L17" s="23"/>
      <c r="M17" s="54"/>
    </row>
    <row r="18" spans="1:14" s="145" customFormat="1" ht="12">
      <c r="A18" s="161"/>
      <c r="B18" s="162"/>
      <c r="C18" s="162"/>
      <c r="D18" s="163" t="s">
        <v>2337</v>
      </c>
      <c r="E18" s="164"/>
      <c r="F18" s="57">
        <f>ROUND(5*2*0.3*0.3*3.14/4*0.55+5*0.3*1.8*0.25,2)</f>
        <v>1.06</v>
      </c>
      <c r="G18" s="162"/>
      <c r="H18" s="165"/>
      <c r="J18" s="39"/>
      <c r="K18" s="23" t="s">
        <v>2338</v>
      </c>
      <c r="L18" s="23"/>
      <c r="M18" s="54"/>
    </row>
    <row r="19" spans="1:14" s="22" customFormat="1" ht="12">
      <c r="A19" s="56"/>
      <c r="B19" s="3"/>
      <c r="C19" s="3"/>
      <c r="D19" s="59" t="s">
        <v>2339</v>
      </c>
      <c r="E19" s="77"/>
      <c r="F19" s="57">
        <f>ROUND(8*0.6*0.6*0.9,2)</f>
        <v>2.59</v>
      </c>
      <c r="G19" s="3"/>
      <c r="H19" s="58"/>
      <c r="J19" s="39"/>
      <c r="K19" s="23" t="s">
        <v>2340</v>
      </c>
      <c r="L19" s="24"/>
      <c r="M19" s="54"/>
      <c r="N19" s="54"/>
    </row>
    <row r="20" spans="1:14" s="145" customFormat="1" ht="12">
      <c r="A20" s="161"/>
      <c r="B20" s="162"/>
      <c r="C20" s="162"/>
      <c r="D20" s="163" t="s">
        <v>2341</v>
      </c>
      <c r="E20" s="164"/>
      <c r="F20" s="57">
        <f>ROUND(8*0.35*1.2*0.4,2)</f>
        <v>1.34</v>
      </c>
      <c r="G20" s="162"/>
      <c r="H20" s="165"/>
      <c r="J20" s="39"/>
      <c r="K20" s="23" t="s">
        <v>2342</v>
      </c>
      <c r="L20" s="23"/>
      <c r="M20" s="54"/>
    </row>
    <row r="21" spans="1:14" s="145" customFormat="1" ht="12">
      <c r="A21" s="6"/>
      <c r="B21" s="166"/>
      <c r="C21" s="166"/>
      <c r="D21" s="167" t="s">
        <v>26</v>
      </c>
      <c r="E21" s="62"/>
      <c r="F21" s="168">
        <f>SUM(F12:F20)</f>
        <v>19.34</v>
      </c>
      <c r="G21" s="166"/>
      <c r="H21" s="169"/>
      <c r="I21" s="23"/>
      <c r="J21" s="39"/>
      <c r="K21" s="43"/>
      <c r="L21" s="23"/>
      <c r="M21" s="54"/>
    </row>
    <row r="22" spans="1:14" s="145" customFormat="1" ht="36">
      <c r="A22" s="156">
        <f>A11+1</f>
        <v>2</v>
      </c>
      <c r="B22" s="157" t="s">
        <v>29</v>
      </c>
      <c r="C22" s="158">
        <v>162501102</v>
      </c>
      <c r="D22" s="158" t="s">
        <v>144</v>
      </c>
      <c r="E22" s="157" t="s">
        <v>12</v>
      </c>
      <c r="F22" s="159">
        <f>F24</f>
        <v>19.34</v>
      </c>
      <c r="G22" s="160"/>
      <c r="H22" s="71">
        <f>ROUND(F22*G22,2)</f>
        <v>0</v>
      </c>
      <c r="I22" s="23"/>
      <c r="J22" s="42">
        <v>1</v>
      </c>
      <c r="K22" s="43"/>
      <c r="L22" s="23"/>
      <c r="M22" s="54"/>
    </row>
    <row r="23" spans="1:14" s="145" customFormat="1" ht="12">
      <c r="A23" s="6"/>
      <c r="B23" s="166"/>
      <c r="C23" s="166"/>
      <c r="D23" s="170" t="s">
        <v>2343</v>
      </c>
      <c r="E23" s="77"/>
      <c r="F23" s="171">
        <v>19.34</v>
      </c>
      <c r="G23" s="166"/>
      <c r="H23" s="169"/>
      <c r="I23" s="23"/>
      <c r="J23" s="39"/>
      <c r="K23" s="43"/>
      <c r="L23" s="23"/>
      <c r="M23" s="54"/>
    </row>
    <row r="24" spans="1:14" s="145" customFormat="1" ht="12">
      <c r="A24" s="6"/>
      <c r="B24" s="166"/>
      <c r="C24" s="166"/>
      <c r="D24" s="167" t="s">
        <v>26</v>
      </c>
      <c r="E24" s="62"/>
      <c r="F24" s="168">
        <f>SUM(F23:F23)</f>
        <v>19.34</v>
      </c>
      <c r="G24" s="166"/>
      <c r="H24" s="169"/>
      <c r="I24" s="23"/>
      <c r="J24" s="39"/>
      <c r="K24" s="43"/>
      <c r="L24" s="23"/>
      <c r="M24" s="54"/>
    </row>
    <row r="25" spans="1:14" s="145" customFormat="1" ht="36">
      <c r="A25" s="156">
        <f>A22+1</f>
        <v>3</v>
      </c>
      <c r="B25" s="157" t="s">
        <v>29</v>
      </c>
      <c r="C25" s="158" t="s">
        <v>671</v>
      </c>
      <c r="D25" s="158" t="s">
        <v>145</v>
      </c>
      <c r="E25" s="157" t="s">
        <v>12</v>
      </c>
      <c r="F25" s="159">
        <f>F27</f>
        <v>232.07999999999998</v>
      </c>
      <c r="G25" s="160"/>
      <c r="H25" s="71">
        <f>ROUND(F25*G25,2)</f>
        <v>0</v>
      </c>
      <c r="I25" s="23"/>
      <c r="J25" s="42">
        <v>1</v>
      </c>
      <c r="K25" s="43"/>
      <c r="L25" s="23"/>
      <c r="M25" s="54"/>
    </row>
    <row r="26" spans="1:14" s="145" customFormat="1" ht="12">
      <c r="A26" s="6"/>
      <c r="B26" s="166"/>
      <c r="C26" s="166"/>
      <c r="D26" s="170" t="s">
        <v>2344</v>
      </c>
      <c r="E26" s="77"/>
      <c r="F26" s="171">
        <f>19.34*12</f>
        <v>232.07999999999998</v>
      </c>
      <c r="G26" s="166"/>
      <c r="H26" s="169"/>
      <c r="I26" s="23"/>
      <c r="J26" s="39"/>
      <c r="K26" s="43"/>
      <c r="L26" s="23"/>
      <c r="M26" s="54"/>
    </row>
    <row r="27" spans="1:14" s="145" customFormat="1" ht="12">
      <c r="A27" s="6"/>
      <c r="B27" s="166"/>
      <c r="C27" s="166"/>
      <c r="D27" s="167" t="s">
        <v>26</v>
      </c>
      <c r="E27" s="62"/>
      <c r="F27" s="168">
        <f>SUM(F26:F26)</f>
        <v>232.07999999999998</v>
      </c>
      <c r="G27" s="166"/>
      <c r="H27" s="169"/>
      <c r="I27" s="23"/>
      <c r="J27" s="39"/>
      <c r="K27" s="43"/>
      <c r="L27" s="23"/>
      <c r="M27" s="54"/>
    </row>
    <row r="28" spans="1:14" s="145" customFormat="1" ht="12">
      <c r="A28" s="156">
        <f>A25+1</f>
        <v>4</v>
      </c>
      <c r="B28" s="157" t="s">
        <v>29</v>
      </c>
      <c r="C28" s="158">
        <v>171201201</v>
      </c>
      <c r="D28" s="158" t="s">
        <v>265</v>
      </c>
      <c r="E28" s="157" t="s">
        <v>12</v>
      </c>
      <c r="F28" s="159">
        <f>F30</f>
        <v>19.34</v>
      </c>
      <c r="G28" s="160"/>
      <c r="H28" s="71">
        <f>ROUND(F28*G28,2)</f>
        <v>0</v>
      </c>
      <c r="I28" s="23"/>
      <c r="J28" s="42">
        <v>1</v>
      </c>
      <c r="K28" s="43"/>
      <c r="L28" s="23"/>
      <c r="M28" s="54"/>
    </row>
    <row r="29" spans="1:14" s="145" customFormat="1" ht="12">
      <c r="A29" s="6"/>
      <c r="B29" s="166"/>
      <c r="C29" s="166"/>
      <c r="D29" s="170" t="s">
        <v>2343</v>
      </c>
      <c r="E29" s="77"/>
      <c r="F29" s="171">
        <v>19.34</v>
      </c>
      <c r="G29" s="166"/>
      <c r="H29" s="169"/>
      <c r="I29" s="23"/>
      <c r="J29" s="39"/>
      <c r="K29" s="43"/>
      <c r="L29" s="23"/>
      <c r="M29" s="54"/>
    </row>
    <row r="30" spans="1:14" s="145" customFormat="1" ht="12">
      <c r="A30" s="6"/>
      <c r="B30" s="166"/>
      <c r="C30" s="166"/>
      <c r="D30" s="167" t="s">
        <v>26</v>
      </c>
      <c r="E30" s="62"/>
      <c r="F30" s="168">
        <f>SUM(F29:F29)</f>
        <v>19.34</v>
      </c>
      <c r="G30" s="166"/>
      <c r="H30" s="169"/>
      <c r="I30" s="23"/>
      <c r="J30" s="39"/>
      <c r="K30" s="43"/>
      <c r="L30" s="23"/>
      <c r="M30" s="54"/>
    </row>
    <row r="31" spans="1:14" s="145" customFormat="1" ht="24">
      <c r="A31" s="156">
        <f>A28+1</f>
        <v>5</v>
      </c>
      <c r="B31" s="157" t="s">
        <v>29</v>
      </c>
      <c r="C31" s="158" t="s">
        <v>31</v>
      </c>
      <c r="D31" s="158" t="s">
        <v>32</v>
      </c>
      <c r="E31" s="157" t="s">
        <v>15</v>
      </c>
      <c r="F31" s="159">
        <f>F33</f>
        <v>34.43</v>
      </c>
      <c r="G31" s="160"/>
      <c r="H31" s="71">
        <f>ROUND(F31*G31,2)</f>
        <v>0</v>
      </c>
      <c r="I31" s="23"/>
      <c r="J31" s="42">
        <v>1</v>
      </c>
      <c r="K31" s="43"/>
      <c r="L31" s="23"/>
      <c r="M31" s="54"/>
    </row>
    <row r="32" spans="1:14" s="145" customFormat="1" ht="12">
      <c r="A32" s="6"/>
      <c r="B32" s="166"/>
      <c r="C32" s="166"/>
      <c r="D32" s="170" t="s">
        <v>2345</v>
      </c>
      <c r="E32" s="77"/>
      <c r="F32" s="171">
        <f>ROUND(19.34*1.78,2)</f>
        <v>34.43</v>
      </c>
      <c r="G32" s="166"/>
      <c r="H32" s="169"/>
      <c r="I32" s="23"/>
      <c r="J32" s="39"/>
      <c r="K32" s="43"/>
      <c r="L32" s="23"/>
      <c r="M32" s="54"/>
    </row>
    <row r="33" spans="1:14" s="145" customFormat="1" ht="12">
      <c r="A33" s="6"/>
      <c r="B33" s="166"/>
      <c r="C33" s="166"/>
      <c r="D33" s="167" t="s">
        <v>26</v>
      </c>
      <c r="E33" s="62"/>
      <c r="F33" s="168">
        <f>SUM(F32:F32)</f>
        <v>34.43</v>
      </c>
      <c r="G33" s="166"/>
      <c r="H33" s="169"/>
      <c r="I33" s="23"/>
      <c r="J33" s="39"/>
      <c r="K33" s="43"/>
      <c r="L33" s="23"/>
      <c r="M33" s="54"/>
    </row>
    <row r="34" spans="1:14" s="145" customFormat="1" ht="24">
      <c r="A34" s="156">
        <f>A31+1</f>
        <v>6</v>
      </c>
      <c r="B34" s="157" t="s">
        <v>29</v>
      </c>
      <c r="C34" s="158">
        <v>174101102</v>
      </c>
      <c r="D34" s="158" t="s">
        <v>674</v>
      </c>
      <c r="E34" s="157" t="s">
        <v>12</v>
      </c>
      <c r="F34" s="159">
        <f>F36</f>
        <v>0.67</v>
      </c>
      <c r="G34" s="160"/>
      <c r="H34" s="71">
        <f>ROUND(F34*G34,2)</f>
        <v>0</v>
      </c>
      <c r="I34" s="23"/>
      <c r="J34" s="42">
        <v>1</v>
      </c>
      <c r="K34" s="43"/>
      <c r="L34" s="23"/>
      <c r="M34" s="54"/>
    </row>
    <row r="35" spans="1:14" s="145" customFormat="1" ht="12">
      <c r="A35" s="6"/>
      <c r="B35" s="166"/>
      <c r="C35" s="166"/>
      <c r="D35" s="163" t="s">
        <v>2346</v>
      </c>
      <c r="E35" s="164"/>
      <c r="F35" s="57">
        <f>ROUND(8*0.35*1.2*0.2,2)</f>
        <v>0.67</v>
      </c>
      <c r="G35" s="166"/>
      <c r="H35" s="169"/>
      <c r="J35" s="39"/>
      <c r="K35" s="23" t="s">
        <v>2342</v>
      </c>
      <c r="L35" s="23"/>
      <c r="M35" s="54"/>
    </row>
    <row r="36" spans="1:14" s="145" customFormat="1" ht="12">
      <c r="A36" s="6"/>
      <c r="B36" s="166"/>
      <c r="C36" s="166"/>
      <c r="D36" s="167" t="s">
        <v>26</v>
      </c>
      <c r="E36" s="62"/>
      <c r="F36" s="168">
        <f>SUM(F35:F35)</f>
        <v>0.67</v>
      </c>
      <c r="G36" s="166"/>
      <c r="H36" s="169"/>
      <c r="I36" s="23"/>
      <c r="J36" s="39"/>
      <c r="K36" s="43"/>
      <c r="L36" s="23"/>
      <c r="M36" s="54"/>
    </row>
    <row r="37" spans="1:14" s="145" customFormat="1" ht="12">
      <c r="A37" s="156">
        <f>A34+1</f>
        <v>7</v>
      </c>
      <c r="B37" s="175" t="s">
        <v>29</v>
      </c>
      <c r="C37" s="432" t="s">
        <v>676</v>
      </c>
      <c r="D37" s="432" t="s">
        <v>677</v>
      </c>
      <c r="E37" s="175" t="s">
        <v>15</v>
      </c>
      <c r="F37" s="177">
        <f>F39</f>
        <v>2.54</v>
      </c>
      <c r="G37" s="178"/>
      <c r="H37" s="179">
        <f>ROUND(F37*G37,2)</f>
        <v>0</v>
      </c>
      <c r="I37" s="23"/>
      <c r="J37" s="42">
        <v>1</v>
      </c>
      <c r="K37" s="43"/>
      <c r="L37" s="23"/>
      <c r="M37" s="54"/>
    </row>
    <row r="38" spans="1:14" s="145" customFormat="1" ht="12">
      <c r="A38" s="6"/>
      <c r="B38" s="166"/>
      <c r="C38" s="166"/>
      <c r="D38" s="170" t="s">
        <v>2347</v>
      </c>
      <c r="E38" s="77"/>
      <c r="F38" s="171">
        <f>ROUND(1.3*1.95,2)</f>
        <v>2.54</v>
      </c>
      <c r="G38" s="166"/>
      <c r="H38" s="169"/>
      <c r="I38" s="23"/>
      <c r="J38" s="39"/>
      <c r="K38" s="43"/>
      <c r="L38" s="23"/>
      <c r="M38" s="54"/>
    </row>
    <row r="39" spans="1:14" s="145" customFormat="1" ht="12">
      <c r="A39" s="6"/>
      <c r="B39" s="166"/>
      <c r="C39" s="166"/>
      <c r="D39" s="167" t="s">
        <v>26</v>
      </c>
      <c r="E39" s="62"/>
      <c r="F39" s="168">
        <f>SUM(F38:F38)</f>
        <v>2.54</v>
      </c>
      <c r="G39" s="166"/>
      <c r="H39" s="169"/>
      <c r="I39" s="23"/>
      <c r="J39" s="39"/>
      <c r="K39" s="43"/>
      <c r="L39" s="23"/>
      <c r="M39" s="54"/>
    </row>
    <row r="40" spans="1:14" s="22" customFormat="1" ht="21" customHeight="1">
      <c r="A40" s="4"/>
      <c r="B40" s="4"/>
      <c r="C40" s="5">
        <v>2</v>
      </c>
      <c r="D40" s="5" t="s">
        <v>16</v>
      </c>
      <c r="E40" s="7"/>
      <c r="F40" s="8"/>
      <c r="G40" s="4"/>
      <c r="H40" s="66">
        <f>SUM(H41:H53)</f>
        <v>0</v>
      </c>
      <c r="I40" s="45"/>
      <c r="J40" s="42">
        <v>2</v>
      </c>
      <c r="K40" s="50"/>
      <c r="L40" s="24"/>
      <c r="M40" s="54"/>
      <c r="N40" s="54"/>
    </row>
    <row r="41" spans="1:14" s="22" customFormat="1" ht="12">
      <c r="A41" s="156">
        <f>A37+1</f>
        <v>8</v>
      </c>
      <c r="B41" s="157" t="s">
        <v>29</v>
      </c>
      <c r="C41" s="158">
        <v>275313611</v>
      </c>
      <c r="D41" s="158" t="s">
        <v>2348</v>
      </c>
      <c r="E41" s="157" t="s">
        <v>12</v>
      </c>
      <c r="F41" s="159">
        <f>SUM(F53)</f>
        <v>15.37</v>
      </c>
      <c r="G41" s="160"/>
      <c r="H41" s="71">
        <f>ROUND(F41*G41,2)</f>
        <v>0</v>
      </c>
      <c r="I41" s="23"/>
      <c r="J41" s="42">
        <v>2</v>
      </c>
      <c r="K41" s="43">
        <f>ROUND(F41*2.4,3)</f>
        <v>36.887999999999998</v>
      </c>
      <c r="L41" s="24"/>
      <c r="M41" s="54"/>
      <c r="N41" s="54"/>
    </row>
    <row r="42" spans="1:14" s="22" customFormat="1" ht="12">
      <c r="A42" s="56"/>
      <c r="B42" s="3"/>
      <c r="C42" s="3"/>
      <c r="D42" s="59" t="s">
        <v>2349</v>
      </c>
      <c r="E42" s="77"/>
      <c r="F42" s="57">
        <f>ROUND(4*0.6*0.6*0.9,2)</f>
        <v>1.3</v>
      </c>
      <c r="G42" s="3"/>
      <c r="H42" s="58"/>
      <c r="I42" s="23"/>
      <c r="J42" s="39"/>
      <c r="K42" s="43"/>
      <c r="L42" s="24"/>
      <c r="M42" s="54"/>
      <c r="N42" s="54"/>
    </row>
    <row r="43" spans="1:14" s="22" customFormat="1" ht="12">
      <c r="A43" s="56"/>
      <c r="B43" s="3"/>
      <c r="C43" s="3"/>
      <c r="D43" s="59" t="s">
        <v>2350</v>
      </c>
      <c r="E43" s="77"/>
      <c r="F43" s="57">
        <f>ROUND(11*2*0.5*0.3*0.5,2)</f>
        <v>1.65</v>
      </c>
      <c r="G43" s="3"/>
      <c r="H43" s="58"/>
      <c r="I43" s="23"/>
      <c r="J43" s="39"/>
      <c r="K43" s="43"/>
      <c r="L43" s="24"/>
      <c r="M43" s="54"/>
      <c r="N43" s="54"/>
    </row>
    <row r="44" spans="1:14" s="22" customFormat="1" ht="12">
      <c r="A44" s="56"/>
      <c r="B44" s="3"/>
      <c r="C44" s="3"/>
      <c r="D44" s="59" t="s">
        <v>2351</v>
      </c>
      <c r="E44" s="77"/>
      <c r="F44" s="57">
        <f>ROUND(8*2*0.5*0.3*0.5,2)</f>
        <v>1.2</v>
      </c>
      <c r="G44" s="3"/>
      <c r="H44" s="58"/>
      <c r="I44" s="23"/>
      <c r="J44" s="39"/>
      <c r="K44" s="43"/>
      <c r="L44" s="24"/>
      <c r="M44" s="54"/>
      <c r="N44" s="54"/>
    </row>
    <row r="45" spans="1:14" s="22" customFormat="1" ht="12">
      <c r="A45" s="56"/>
      <c r="B45" s="3"/>
      <c r="C45" s="3"/>
      <c r="D45" s="59" t="s">
        <v>2352</v>
      </c>
      <c r="E45" s="77"/>
      <c r="F45" s="57">
        <f>ROUND(23*2*0.5*0.3*0.5,2)</f>
        <v>3.45</v>
      </c>
      <c r="G45" s="3"/>
      <c r="H45" s="58"/>
      <c r="I45" s="23"/>
      <c r="J45" s="39"/>
      <c r="K45" s="43"/>
      <c r="L45" s="24"/>
      <c r="M45" s="54"/>
      <c r="N45" s="54"/>
    </row>
    <row r="46" spans="1:14" s="22" customFormat="1" ht="12">
      <c r="A46" s="56"/>
      <c r="B46" s="3"/>
      <c r="C46" s="3"/>
      <c r="D46" s="59" t="s">
        <v>2353</v>
      </c>
      <c r="E46" s="77"/>
      <c r="F46" s="57">
        <f>ROUND(2*2*0.4*0.4*0.9,2)</f>
        <v>0.57999999999999996</v>
      </c>
      <c r="G46" s="3"/>
      <c r="H46" s="58"/>
      <c r="I46" s="23" t="s">
        <v>2354</v>
      </c>
      <c r="J46" s="39"/>
      <c r="K46" s="43"/>
      <c r="L46" s="24"/>
      <c r="M46" s="54"/>
      <c r="N46" s="54"/>
    </row>
    <row r="47" spans="1:14" s="22" customFormat="1" ht="12">
      <c r="A47" s="56"/>
      <c r="B47" s="3"/>
      <c r="C47" s="3"/>
      <c r="D47" s="59" t="s">
        <v>2355</v>
      </c>
      <c r="E47" s="77"/>
      <c r="F47" s="57">
        <f>ROUND(3*2*0.4*0.4*0.5,2)</f>
        <v>0.48</v>
      </c>
      <c r="G47" s="3"/>
      <c r="H47" s="58"/>
      <c r="I47" s="23" t="s">
        <v>2354</v>
      </c>
      <c r="J47" s="39"/>
      <c r="K47" s="43"/>
      <c r="L47" s="24"/>
      <c r="M47" s="54"/>
      <c r="N47" s="54"/>
    </row>
    <row r="48" spans="1:14" s="22" customFormat="1" ht="12">
      <c r="A48" s="56"/>
      <c r="B48" s="3"/>
      <c r="C48" s="3"/>
      <c r="D48" s="59" t="s">
        <v>2356</v>
      </c>
      <c r="E48" s="77"/>
      <c r="F48" s="57">
        <f>ROUND(12*0.35*0.87*0.35,2)</f>
        <v>1.28</v>
      </c>
      <c r="G48" s="3"/>
      <c r="H48" s="58"/>
      <c r="I48" s="23"/>
      <c r="J48" s="39"/>
      <c r="K48" s="43"/>
      <c r="L48" s="24"/>
      <c r="M48" s="54"/>
      <c r="N48" s="54"/>
    </row>
    <row r="49" spans="1:14" s="22" customFormat="1" ht="12">
      <c r="A49" s="56"/>
      <c r="B49" s="3"/>
      <c r="C49" s="3"/>
      <c r="D49" s="59" t="s">
        <v>2357</v>
      </c>
      <c r="E49" s="77"/>
      <c r="F49" s="57">
        <f>ROUND(3*0.4*0.4*0.9,2)</f>
        <v>0.43</v>
      </c>
      <c r="G49" s="3"/>
      <c r="H49" s="58"/>
      <c r="I49" s="23"/>
      <c r="J49" s="39"/>
      <c r="K49" s="43"/>
      <c r="L49" s="24"/>
      <c r="M49" s="54"/>
      <c r="N49" s="54"/>
    </row>
    <row r="50" spans="1:14" s="22" customFormat="1" ht="12">
      <c r="A50" s="56"/>
      <c r="B50" s="3"/>
      <c r="C50" s="3"/>
      <c r="D50" s="59" t="s">
        <v>2358</v>
      </c>
      <c r="E50" s="77"/>
      <c r="F50" s="57">
        <f>ROUND(5*2*0.3*0.3*3.14/4*0.55+5*0.3*0.5*1.8,2)</f>
        <v>1.74</v>
      </c>
      <c r="G50" s="3"/>
      <c r="H50" s="58"/>
      <c r="I50" s="23"/>
      <c r="J50" s="39"/>
      <c r="K50" s="43"/>
      <c r="L50" s="24"/>
      <c r="M50" s="54"/>
      <c r="N50" s="54"/>
    </row>
    <row r="51" spans="1:14" s="22" customFormat="1" ht="12">
      <c r="A51" s="56"/>
      <c r="B51" s="3"/>
      <c r="C51" s="3"/>
      <c r="D51" s="59" t="s">
        <v>2359</v>
      </c>
      <c r="E51" s="77"/>
      <c r="F51" s="57">
        <f>ROUND(8*0.6*0.6*0.9,2)</f>
        <v>2.59</v>
      </c>
      <c r="G51" s="3"/>
      <c r="H51" s="58"/>
      <c r="I51" s="23"/>
      <c r="J51" s="39"/>
      <c r="K51" s="43"/>
      <c r="L51" s="24"/>
      <c r="M51" s="54"/>
      <c r="N51" s="54"/>
    </row>
    <row r="52" spans="1:14" s="22" customFormat="1" ht="12">
      <c r="A52" s="56"/>
      <c r="B52" s="3"/>
      <c r="C52" s="3"/>
      <c r="D52" s="59" t="s">
        <v>2360</v>
      </c>
      <c r="E52" s="77"/>
      <c r="F52" s="57">
        <f>ROUND(8*0.35*1.2*0.2,2)</f>
        <v>0.67</v>
      </c>
      <c r="G52" s="3"/>
      <c r="H52" s="58"/>
      <c r="I52" s="23"/>
      <c r="J52" s="39"/>
      <c r="K52" s="43"/>
      <c r="L52" s="24"/>
      <c r="M52" s="54"/>
      <c r="N52" s="54"/>
    </row>
    <row r="53" spans="1:14" s="22" customFormat="1" ht="12">
      <c r="A53" s="56"/>
      <c r="B53" s="3"/>
      <c r="C53" s="3"/>
      <c r="D53" s="61" t="s">
        <v>26</v>
      </c>
      <c r="E53" s="62"/>
      <c r="F53" s="63">
        <f>SUM(F42:F52)</f>
        <v>15.37</v>
      </c>
      <c r="G53" s="3"/>
      <c r="H53" s="58"/>
      <c r="I53" s="23"/>
      <c r="J53" s="39"/>
      <c r="K53" s="43"/>
      <c r="L53" s="24"/>
      <c r="M53" s="54"/>
      <c r="N53" s="54"/>
    </row>
    <row r="54" spans="1:14" s="22" customFormat="1" ht="21" customHeight="1">
      <c r="A54" s="4"/>
      <c r="B54" s="4"/>
      <c r="C54" s="5">
        <v>5</v>
      </c>
      <c r="D54" s="5" t="s">
        <v>52</v>
      </c>
      <c r="E54" s="7"/>
      <c r="F54" s="8"/>
      <c r="G54" s="4"/>
      <c r="H54" s="66">
        <f>SUM(H55:H61)</f>
        <v>0</v>
      </c>
      <c r="I54" s="45"/>
      <c r="J54" s="42">
        <v>6</v>
      </c>
      <c r="K54" s="50"/>
      <c r="L54" s="24"/>
      <c r="M54" s="54"/>
      <c r="N54" s="54"/>
    </row>
    <row r="55" spans="1:14" s="22" customFormat="1" ht="36">
      <c r="A55" s="156">
        <f>A41+1</f>
        <v>9</v>
      </c>
      <c r="B55" s="157" t="s">
        <v>29</v>
      </c>
      <c r="C55" s="158">
        <v>564751111</v>
      </c>
      <c r="D55" s="158" t="s">
        <v>2361</v>
      </c>
      <c r="E55" s="157" t="s">
        <v>13</v>
      </c>
      <c r="F55" s="159">
        <f>F57</f>
        <v>15.92</v>
      </c>
      <c r="G55" s="160"/>
      <c r="H55" s="71">
        <f>ROUND(F55*G55,2)</f>
        <v>0</v>
      </c>
      <c r="I55" s="23"/>
      <c r="J55" s="42">
        <v>6</v>
      </c>
      <c r="K55" s="43">
        <f>ROUND(F55*0.15*1.8,3)</f>
        <v>4.298</v>
      </c>
      <c r="L55" s="24"/>
      <c r="M55" s="54"/>
      <c r="N55" s="54"/>
    </row>
    <row r="56" spans="1:14" s="22" customFormat="1" ht="12">
      <c r="A56" s="56"/>
      <c r="B56" s="3"/>
      <c r="C56" s="3"/>
      <c r="D56" s="59" t="s">
        <v>2362</v>
      </c>
      <c r="E56" s="77"/>
      <c r="F56" s="57">
        <f>ROUND(4*3.98,2)</f>
        <v>15.92</v>
      </c>
      <c r="G56" s="3"/>
      <c r="H56" s="58"/>
      <c r="I56" s="23"/>
      <c r="J56" s="39"/>
      <c r="K56" s="43"/>
      <c r="L56" s="24"/>
      <c r="M56" s="54"/>
      <c r="N56" s="54"/>
    </row>
    <row r="57" spans="1:14" s="22" customFormat="1" ht="12">
      <c r="A57" s="56"/>
      <c r="B57" s="3"/>
      <c r="C57" s="3"/>
      <c r="D57" s="61" t="s">
        <v>26</v>
      </c>
      <c r="E57" s="62"/>
      <c r="F57" s="63">
        <f>SUM(F56:F56)</f>
        <v>15.92</v>
      </c>
      <c r="G57" s="3"/>
      <c r="H57" s="58"/>
      <c r="I57" s="23"/>
      <c r="J57" s="39"/>
      <c r="K57" s="43"/>
      <c r="L57" s="24"/>
      <c r="M57" s="54"/>
      <c r="N57" s="54"/>
    </row>
    <row r="58" spans="1:14" s="22" customFormat="1" ht="36">
      <c r="A58" s="156">
        <f>A55+1</f>
        <v>10</v>
      </c>
      <c r="B58" s="157" t="s">
        <v>29</v>
      </c>
      <c r="C58" s="158" t="s">
        <v>2363</v>
      </c>
      <c r="D58" s="158" t="s">
        <v>2364</v>
      </c>
      <c r="E58" s="157" t="s">
        <v>13</v>
      </c>
      <c r="F58" s="159">
        <f>F60</f>
        <v>15.92</v>
      </c>
      <c r="G58" s="160"/>
      <c r="H58" s="71">
        <f>ROUND(F58*G58,2)</f>
        <v>0</v>
      </c>
      <c r="I58" s="23"/>
      <c r="J58" s="42">
        <v>6</v>
      </c>
      <c r="K58" s="43"/>
      <c r="L58" s="24"/>
      <c r="M58" s="54"/>
      <c r="N58" s="54"/>
    </row>
    <row r="59" spans="1:14" s="22" customFormat="1" ht="12">
      <c r="A59" s="56"/>
      <c r="B59" s="3"/>
      <c r="C59" s="3"/>
      <c r="D59" s="59" t="s">
        <v>2362</v>
      </c>
      <c r="E59" s="77"/>
      <c r="F59" s="57">
        <f>ROUND(4*3.98,2)</f>
        <v>15.92</v>
      </c>
      <c r="G59" s="3"/>
      <c r="H59" s="58"/>
      <c r="I59" s="23"/>
      <c r="J59" s="39"/>
      <c r="K59" s="43"/>
      <c r="L59" s="24"/>
      <c r="M59" s="54"/>
      <c r="N59" s="54"/>
    </row>
    <row r="60" spans="1:14" s="22" customFormat="1" ht="12">
      <c r="A60" s="56"/>
      <c r="B60" s="3"/>
      <c r="C60" s="3"/>
      <c r="D60" s="61" t="s">
        <v>26</v>
      </c>
      <c r="E60" s="62"/>
      <c r="F60" s="63">
        <f>SUM(F59:F59)</f>
        <v>15.92</v>
      </c>
      <c r="G60" s="3"/>
      <c r="H60" s="58"/>
      <c r="I60" s="23"/>
      <c r="J60" s="39"/>
      <c r="K60" s="43"/>
      <c r="L60" s="24"/>
      <c r="M60" s="54"/>
      <c r="N60" s="54"/>
    </row>
    <row r="61" spans="1:14" s="22" customFormat="1" ht="12">
      <c r="A61" s="156">
        <f>A58+1</f>
        <v>11</v>
      </c>
      <c r="B61" s="175" t="s">
        <v>83</v>
      </c>
      <c r="C61" s="218" t="s">
        <v>2365</v>
      </c>
      <c r="D61" s="176" t="s">
        <v>2366</v>
      </c>
      <c r="E61" s="175" t="s">
        <v>13</v>
      </c>
      <c r="F61" s="177">
        <f>F63</f>
        <v>16.72</v>
      </c>
      <c r="G61" s="178"/>
      <c r="H61" s="179">
        <f>ROUND(F61*G61,2)</f>
        <v>0</v>
      </c>
      <c r="I61" s="23"/>
      <c r="J61" s="42">
        <v>6</v>
      </c>
      <c r="K61" s="43">
        <f>ROUND(F61*0.06*2.3,3)</f>
        <v>2.3069999999999999</v>
      </c>
      <c r="L61" s="24"/>
      <c r="M61" s="54"/>
      <c r="N61" s="54"/>
    </row>
    <row r="62" spans="1:14" s="22" customFormat="1" ht="12">
      <c r="A62" s="56"/>
      <c r="B62" s="3"/>
      <c r="C62" s="3"/>
      <c r="D62" s="174" t="s">
        <v>2367</v>
      </c>
      <c r="E62" s="77"/>
      <c r="F62" s="57">
        <f>ROUND(15.92*1.05,2)</f>
        <v>16.72</v>
      </c>
      <c r="G62" s="3"/>
      <c r="H62" s="58"/>
      <c r="I62" s="23"/>
      <c r="J62" s="39"/>
      <c r="K62" s="43"/>
      <c r="L62" s="24"/>
      <c r="M62" s="54"/>
      <c r="N62" s="54"/>
    </row>
    <row r="63" spans="1:14" s="22" customFormat="1" ht="12">
      <c r="A63" s="56"/>
      <c r="B63" s="3"/>
      <c r="C63" s="3"/>
      <c r="D63" s="61" t="s">
        <v>26</v>
      </c>
      <c r="E63" s="62"/>
      <c r="F63" s="63">
        <f>SUM(F62:F62)</f>
        <v>16.72</v>
      </c>
      <c r="G63" s="3"/>
      <c r="H63" s="58"/>
      <c r="I63" s="23"/>
      <c r="J63" s="39"/>
      <c r="K63" s="43"/>
      <c r="L63" s="24"/>
      <c r="M63" s="54"/>
      <c r="N63" s="54"/>
    </row>
    <row r="64" spans="1:14" s="24" customFormat="1" ht="25.5" customHeight="1">
      <c r="A64" s="11"/>
      <c r="B64" s="2"/>
      <c r="C64" s="14">
        <v>9</v>
      </c>
      <c r="D64" s="14" t="s">
        <v>28</v>
      </c>
      <c r="E64" s="11"/>
      <c r="F64" s="15"/>
      <c r="G64" s="2"/>
      <c r="H64" s="67">
        <f>SUM(H65:H109)</f>
        <v>0</v>
      </c>
      <c r="I64" s="46"/>
      <c r="J64" s="42">
        <v>9</v>
      </c>
      <c r="K64" s="51"/>
      <c r="L64" s="47"/>
      <c r="M64" s="23"/>
      <c r="N64" s="23"/>
    </row>
    <row r="65" spans="1:14" s="25" customFormat="1" ht="24">
      <c r="A65" s="72">
        <f>A61+1</f>
        <v>12</v>
      </c>
      <c r="B65" s="73" t="s">
        <v>29</v>
      </c>
      <c r="C65" s="74" t="s">
        <v>2368</v>
      </c>
      <c r="D65" s="74" t="s">
        <v>2369</v>
      </c>
      <c r="E65" s="73" t="s">
        <v>19</v>
      </c>
      <c r="F65" s="75">
        <f>F67</f>
        <v>8</v>
      </c>
      <c r="G65" s="71"/>
      <c r="H65" s="71">
        <f>ROUND(F65*G65,2)</f>
        <v>0</v>
      </c>
      <c r="I65" s="23"/>
      <c r="J65" s="42">
        <v>9</v>
      </c>
      <c r="K65" s="433"/>
      <c r="M65" s="23"/>
      <c r="N65" s="23"/>
    </row>
    <row r="66" spans="1:14" s="22" customFormat="1" ht="12">
      <c r="A66" s="56"/>
      <c r="B66" s="3"/>
      <c r="C66" s="3"/>
      <c r="D66" s="59" t="s">
        <v>2370</v>
      </c>
      <c r="E66" s="77"/>
      <c r="F66" s="57">
        <v>8</v>
      </c>
      <c r="G66" s="3"/>
      <c r="H66" s="58"/>
      <c r="I66" s="23"/>
      <c r="J66" s="39"/>
      <c r="K66" s="49"/>
      <c r="L66" s="24"/>
      <c r="M66" s="54"/>
      <c r="N66" s="54"/>
    </row>
    <row r="67" spans="1:14" s="22" customFormat="1" ht="12">
      <c r="A67" s="56"/>
      <c r="B67" s="3"/>
      <c r="C67" s="3"/>
      <c r="D67" s="61" t="s">
        <v>26</v>
      </c>
      <c r="E67" s="62"/>
      <c r="F67" s="63">
        <f>SUM(F66:F66)</f>
        <v>8</v>
      </c>
      <c r="G67" s="3"/>
      <c r="H67" s="58"/>
      <c r="I67" s="23"/>
      <c r="J67" s="39"/>
      <c r="K67" s="43"/>
      <c r="L67" s="24"/>
      <c r="M67" s="54"/>
      <c r="N67" s="54"/>
    </row>
    <row r="68" spans="1:14" s="25" customFormat="1" ht="36">
      <c r="A68" s="1052">
        <f>A65+1</f>
        <v>13</v>
      </c>
      <c r="B68" s="1104" t="s">
        <v>45</v>
      </c>
      <c r="C68" s="1105" t="s">
        <v>2342</v>
      </c>
      <c r="D68" s="1105" t="s">
        <v>2732</v>
      </c>
      <c r="E68" s="1104" t="s">
        <v>19</v>
      </c>
      <c r="F68" s="1071">
        <v>8</v>
      </c>
      <c r="G68" s="1072"/>
      <c r="H68" s="1072">
        <f>ROUND(F68*G68,2)</f>
        <v>0</v>
      </c>
      <c r="I68" s="23"/>
      <c r="J68" s="42">
        <v>9</v>
      </c>
      <c r="K68" s="52">
        <f>ROUND(F68*0.05,3)</f>
        <v>0.4</v>
      </c>
      <c r="M68" s="23"/>
      <c r="N68" s="23"/>
    </row>
    <row r="69" spans="1:14" s="25" customFormat="1" ht="24">
      <c r="A69" s="72">
        <f>A68+1</f>
        <v>14</v>
      </c>
      <c r="B69" s="73" t="s">
        <v>29</v>
      </c>
      <c r="C69" s="74" t="s">
        <v>2371</v>
      </c>
      <c r="D69" s="74" t="s">
        <v>2372</v>
      </c>
      <c r="E69" s="73" t="s">
        <v>19</v>
      </c>
      <c r="F69" s="75">
        <f>F73</f>
        <v>42</v>
      </c>
      <c r="G69" s="71"/>
      <c r="H69" s="71">
        <f>ROUND(F69*G69,2)</f>
        <v>0</v>
      </c>
      <c r="I69" s="23"/>
      <c r="J69" s="42">
        <v>9</v>
      </c>
      <c r="K69" s="433"/>
      <c r="M69" s="23"/>
      <c r="N69" s="23"/>
    </row>
    <row r="70" spans="1:14" s="22" customFormat="1" ht="12">
      <c r="A70" s="56"/>
      <c r="B70" s="3"/>
      <c r="C70" s="3"/>
      <c r="D70" s="59" t="s">
        <v>2373</v>
      </c>
      <c r="E70" s="77"/>
      <c r="F70" s="57">
        <v>11</v>
      </c>
      <c r="G70" s="3"/>
      <c r="H70" s="58"/>
      <c r="I70" s="23"/>
      <c r="J70" s="39"/>
      <c r="K70" s="49"/>
      <c r="L70" s="24"/>
      <c r="M70" s="54"/>
      <c r="N70" s="54"/>
    </row>
    <row r="71" spans="1:14" s="22" customFormat="1" ht="12">
      <c r="A71" s="56"/>
      <c r="B71" s="3"/>
      <c r="C71" s="3"/>
      <c r="D71" s="59" t="s">
        <v>2374</v>
      </c>
      <c r="E71" s="77"/>
      <c r="F71" s="57">
        <v>8</v>
      </c>
      <c r="G71" s="3"/>
      <c r="H71" s="58"/>
      <c r="I71" s="23"/>
      <c r="J71" s="39"/>
      <c r="K71" s="49"/>
      <c r="L71" s="24"/>
      <c r="M71" s="54"/>
      <c r="N71" s="54"/>
    </row>
    <row r="72" spans="1:14" s="22" customFormat="1" ht="12">
      <c r="A72" s="56"/>
      <c r="B72" s="3"/>
      <c r="C72" s="3"/>
      <c r="D72" s="59" t="s">
        <v>2375</v>
      </c>
      <c r="E72" s="77"/>
      <c r="F72" s="57">
        <v>23</v>
      </c>
      <c r="G72" s="3"/>
      <c r="H72" s="58"/>
      <c r="I72" s="23"/>
      <c r="J72" s="39"/>
      <c r="K72" s="49"/>
      <c r="L72" s="24"/>
      <c r="M72" s="54"/>
      <c r="N72" s="54"/>
    </row>
    <row r="73" spans="1:14" s="22" customFormat="1" ht="12">
      <c r="A73" s="56"/>
      <c r="B73" s="3"/>
      <c r="C73" s="3"/>
      <c r="D73" s="61" t="s">
        <v>26</v>
      </c>
      <c r="E73" s="62"/>
      <c r="F73" s="63">
        <f>SUM(F70:F72)</f>
        <v>42</v>
      </c>
      <c r="G73" s="3"/>
      <c r="H73" s="58"/>
      <c r="I73" s="23"/>
      <c r="J73" s="39"/>
      <c r="K73" s="43"/>
      <c r="L73" s="24"/>
      <c r="M73" s="54"/>
      <c r="N73" s="54"/>
    </row>
    <row r="74" spans="1:14" s="25" customFormat="1" ht="12">
      <c r="A74" s="72">
        <f>A69+1</f>
        <v>15</v>
      </c>
      <c r="B74" s="204" t="s">
        <v>45</v>
      </c>
      <c r="C74" s="205" t="s">
        <v>2376</v>
      </c>
      <c r="D74" s="205" t="s">
        <v>2616</v>
      </c>
      <c r="E74" s="204" t="s">
        <v>19</v>
      </c>
      <c r="F74" s="195">
        <v>11</v>
      </c>
      <c r="G74" s="179"/>
      <c r="H74" s="179">
        <f>ROUND(F74*G74,2)</f>
        <v>0</v>
      </c>
      <c r="I74" s="23"/>
      <c r="J74" s="42">
        <v>9</v>
      </c>
      <c r="K74" s="52">
        <f>ROUND(F74*0.063,3)</f>
        <v>0.69299999999999995</v>
      </c>
      <c r="M74" s="23"/>
      <c r="N74" s="23"/>
    </row>
    <row r="75" spans="1:14" s="25" customFormat="1" ht="12">
      <c r="A75" s="72">
        <f>A74+1</f>
        <v>16</v>
      </c>
      <c r="B75" s="204" t="s">
        <v>45</v>
      </c>
      <c r="C75" s="205" t="s">
        <v>2377</v>
      </c>
      <c r="D75" s="205" t="s">
        <v>2617</v>
      </c>
      <c r="E75" s="204" t="s">
        <v>19</v>
      </c>
      <c r="F75" s="195">
        <v>8</v>
      </c>
      <c r="G75" s="179"/>
      <c r="H75" s="179">
        <f>ROUND(F75*G75,2)</f>
        <v>0</v>
      </c>
      <c r="I75" s="23"/>
      <c r="J75" s="42">
        <v>9</v>
      </c>
      <c r="K75" s="52">
        <f>ROUND(F75*0.052,3)</f>
        <v>0.41599999999999998</v>
      </c>
      <c r="M75" s="23"/>
      <c r="N75" s="23"/>
    </row>
    <row r="76" spans="1:14" s="25" customFormat="1" ht="12">
      <c r="A76" s="72">
        <f>A75+1</f>
        <v>17</v>
      </c>
      <c r="B76" s="204" t="s">
        <v>45</v>
      </c>
      <c r="C76" s="205" t="s">
        <v>2378</v>
      </c>
      <c r="D76" s="205" t="s">
        <v>2618</v>
      </c>
      <c r="E76" s="204" t="s">
        <v>19</v>
      </c>
      <c r="F76" s="195">
        <v>23</v>
      </c>
      <c r="G76" s="179"/>
      <c r="H76" s="179">
        <f>ROUND(F76*G76,2)</f>
        <v>0</v>
      </c>
      <c r="I76" s="23"/>
      <c r="J76" s="42">
        <v>9</v>
      </c>
      <c r="K76" s="52">
        <f>ROUND(F76*0.045,3)</f>
        <v>1.0349999999999999</v>
      </c>
      <c r="M76" s="23"/>
      <c r="N76" s="23"/>
    </row>
    <row r="77" spans="1:14" s="25" customFormat="1" ht="24">
      <c r="A77" s="72">
        <f>A76+1</f>
        <v>18</v>
      </c>
      <c r="B77" s="73" t="s">
        <v>29</v>
      </c>
      <c r="C77" s="74" t="s">
        <v>2379</v>
      </c>
      <c r="D77" s="74" t="s">
        <v>2380</v>
      </c>
      <c r="E77" s="73" t="s">
        <v>19</v>
      </c>
      <c r="F77" s="75">
        <f>F79</f>
        <v>12</v>
      </c>
      <c r="G77" s="71"/>
      <c r="H77" s="71">
        <f>ROUND(F77*G77,2)</f>
        <v>0</v>
      </c>
      <c r="I77" s="23"/>
      <c r="J77" s="42">
        <v>9</v>
      </c>
      <c r="K77" s="433"/>
      <c r="M77" s="23"/>
      <c r="N77" s="23"/>
    </row>
    <row r="78" spans="1:14" s="22" customFormat="1" ht="12">
      <c r="A78" s="56"/>
      <c r="B78" s="3"/>
      <c r="C78" s="3"/>
      <c r="D78" s="59" t="s">
        <v>2381</v>
      </c>
      <c r="E78" s="77"/>
      <c r="F78" s="57">
        <v>12</v>
      </c>
      <c r="G78" s="3"/>
      <c r="H78" s="58"/>
      <c r="I78" s="23"/>
      <c r="J78" s="39"/>
      <c r="K78" s="49"/>
      <c r="L78" s="24"/>
      <c r="M78" s="54"/>
      <c r="N78" s="54"/>
    </row>
    <row r="79" spans="1:14" s="22" customFormat="1" ht="12">
      <c r="A79" s="56"/>
      <c r="B79" s="3"/>
      <c r="C79" s="3"/>
      <c r="D79" s="61" t="s">
        <v>26</v>
      </c>
      <c r="E79" s="62"/>
      <c r="F79" s="63">
        <f>SUM(F78:F78)</f>
        <v>12</v>
      </c>
      <c r="G79" s="3"/>
      <c r="H79" s="58"/>
      <c r="I79" s="23"/>
      <c r="J79" s="39"/>
      <c r="K79" s="43"/>
      <c r="L79" s="24"/>
      <c r="M79" s="54"/>
      <c r="N79" s="54"/>
    </row>
    <row r="80" spans="1:14" s="25" customFormat="1" ht="24">
      <c r="A80" s="72">
        <f>A77+1</f>
        <v>19</v>
      </c>
      <c r="B80" s="204" t="s">
        <v>45</v>
      </c>
      <c r="C80" s="205" t="s">
        <v>2334</v>
      </c>
      <c r="D80" s="205" t="s">
        <v>2382</v>
      </c>
      <c r="E80" s="204" t="s">
        <v>19</v>
      </c>
      <c r="F80" s="195">
        <v>12</v>
      </c>
      <c r="G80" s="179"/>
      <c r="H80" s="179">
        <f>ROUND(F80*G80,2)</f>
        <v>0</v>
      </c>
      <c r="I80" s="23"/>
      <c r="J80" s="42">
        <v>9</v>
      </c>
      <c r="K80" s="52">
        <f>ROUND(F80*0.03,3)</f>
        <v>0.36</v>
      </c>
      <c r="M80" s="23"/>
      <c r="N80" s="23"/>
    </row>
    <row r="81" spans="1:14" s="25" customFormat="1" ht="36">
      <c r="A81" s="72">
        <f>A80+1</f>
        <v>20</v>
      </c>
      <c r="B81" s="73" t="s">
        <v>29</v>
      </c>
      <c r="C81" s="74" t="s">
        <v>2383</v>
      </c>
      <c r="D81" s="74" t="s">
        <v>2384</v>
      </c>
      <c r="E81" s="73" t="s">
        <v>19</v>
      </c>
      <c r="F81" s="75">
        <f>F83</f>
        <v>3</v>
      </c>
      <c r="G81" s="71"/>
      <c r="H81" s="71">
        <f>ROUND(F81*G81,2)</f>
        <v>0</v>
      </c>
      <c r="I81" s="23"/>
      <c r="J81" s="42">
        <v>9</v>
      </c>
      <c r="K81" s="433"/>
      <c r="M81" s="23"/>
      <c r="N81" s="23"/>
    </row>
    <row r="82" spans="1:14" s="22" customFormat="1" ht="12">
      <c r="A82" s="56"/>
      <c r="B82" s="3"/>
      <c r="C82" s="3"/>
      <c r="D82" s="59" t="s">
        <v>2385</v>
      </c>
      <c r="E82" s="77"/>
      <c r="F82" s="57">
        <v>3</v>
      </c>
      <c r="G82" s="3"/>
      <c r="H82" s="58"/>
      <c r="I82" s="23"/>
      <c r="J82" s="39"/>
      <c r="K82" s="49"/>
      <c r="L82" s="24"/>
      <c r="M82" s="54"/>
      <c r="N82" s="54"/>
    </row>
    <row r="83" spans="1:14" s="22" customFormat="1" ht="12">
      <c r="A83" s="56"/>
      <c r="B83" s="3"/>
      <c r="C83" s="3"/>
      <c r="D83" s="61" t="s">
        <v>26</v>
      </c>
      <c r="E83" s="62"/>
      <c r="F83" s="63">
        <f>SUM(F82:F82)</f>
        <v>3</v>
      </c>
      <c r="G83" s="3"/>
      <c r="H83" s="58"/>
      <c r="I83" s="23"/>
      <c r="J83" s="39"/>
      <c r="K83" s="43"/>
      <c r="L83" s="24"/>
      <c r="M83" s="54"/>
      <c r="N83" s="54"/>
    </row>
    <row r="84" spans="1:14" s="25" customFormat="1" ht="36">
      <c r="A84" s="72">
        <f>A81+1</f>
        <v>21</v>
      </c>
      <c r="B84" s="204" t="s">
        <v>45</v>
      </c>
      <c r="C84" s="205" t="s">
        <v>2332</v>
      </c>
      <c r="D84" s="205" t="s">
        <v>2386</v>
      </c>
      <c r="E84" s="204" t="s">
        <v>19</v>
      </c>
      <c r="F84" s="195">
        <v>3</v>
      </c>
      <c r="G84" s="179"/>
      <c r="H84" s="179">
        <f>ROUND(F84*G84,2)</f>
        <v>0</v>
      </c>
      <c r="I84" s="23"/>
      <c r="J84" s="42">
        <v>9</v>
      </c>
      <c r="K84" s="52">
        <f>ROUND(F84*1.5*1*0.015*0.48,3)</f>
        <v>3.2000000000000001E-2</v>
      </c>
      <c r="M84" s="23"/>
      <c r="N84" s="23"/>
    </row>
    <row r="85" spans="1:14" s="25" customFormat="1" ht="36">
      <c r="A85" s="72">
        <f>A84+1</f>
        <v>22</v>
      </c>
      <c r="B85" s="73" t="s">
        <v>29</v>
      </c>
      <c r="C85" s="74" t="s">
        <v>2387</v>
      </c>
      <c r="D85" s="74" t="s">
        <v>2388</v>
      </c>
      <c r="E85" s="73" t="s">
        <v>19</v>
      </c>
      <c r="F85" s="75">
        <f>F87</f>
        <v>2</v>
      </c>
      <c r="G85" s="71"/>
      <c r="H85" s="71">
        <f>ROUND(F85*G85,2)</f>
        <v>0</v>
      </c>
      <c r="I85" s="23"/>
      <c r="J85" s="42">
        <v>9</v>
      </c>
      <c r="K85" s="52">
        <f>ROUND(F85*0.025,3)</f>
        <v>0.05</v>
      </c>
      <c r="M85" s="23"/>
      <c r="N85" s="23"/>
    </row>
    <row r="86" spans="1:14" s="22" customFormat="1" ht="12">
      <c r="A86" s="56"/>
      <c r="B86" s="3"/>
      <c r="C86" s="3"/>
      <c r="D86" s="59" t="s">
        <v>2389</v>
      </c>
      <c r="E86" s="77"/>
      <c r="F86" s="57">
        <v>2</v>
      </c>
      <c r="G86" s="3"/>
      <c r="H86" s="58"/>
      <c r="I86" s="23"/>
      <c r="J86" s="39"/>
      <c r="K86" s="49"/>
      <c r="L86" s="24"/>
      <c r="M86" s="54"/>
      <c r="N86" s="54"/>
    </row>
    <row r="87" spans="1:14" s="22" customFormat="1" ht="12">
      <c r="A87" s="56"/>
      <c r="B87" s="3"/>
      <c r="C87" s="3"/>
      <c r="D87" s="61" t="s">
        <v>26</v>
      </c>
      <c r="E87" s="62"/>
      <c r="F87" s="63">
        <f>SUM(F86:F86)</f>
        <v>2</v>
      </c>
      <c r="G87" s="3"/>
      <c r="H87" s="58"/>
      <c r="I87" s="23"/>
      <c r="J87" s="39"/>
      <c r="K87" s="43"/>
      <c r="L87" s="24"/>
      <c r="M87" s="54"/>
      <c r="N87" s="54"/>
    </row>
    <row r="88" spans="1:14" s="25" customFormat="1" ht="24">
      <c r="A88" s="72">
        <f>A85+1</f>
        <v>23</v>
      </c>
      <c r="B88" s="73" t="s">
        <v>29</v>
      </c>
      <c r="C88" s="74" t="s">
        <v>2390</v>
      </c>
      <c r="D88" s="74" t="s">
        <v>2391</v>
      </c>
      <c r="E88" s="73" t="s">
        <v>19</v>
      </c>
      <c r="F88" s="75">
        <f>F90</f>
        <v>3</v>
      </c>
      <c r="G88" s="71"/>
      <c r="H88" s="71">
        <f>ROUND(F88*G88,2)</f>
        <v>0</v>
      </c>
      <c r="I88" s="23"/>
      <c r="J88" s="42">
        <v>9</v>
      </c>
      <c r="K88" s="52">
        <f>ROUND(F88*0.015,3)</f>
        <v>4.4999999999999998E-2</v>
      </c>
      <c r="M88" s="23"/>
      <c r="N88" s="23"/>
    </row>
    <row r="89" spans="1:14" s="22" customFormat="1" ht="12">
      <c r="A89" s="56"/>
      <c r="B89" s="3"/>
      <c r="C89" s="3"/>
      <c r="D89" s="59" t="s">
        <v>2392</v>
      </c>
      <c r="E89" s="77"/>
      <c r="F89" s="57">
        <v>3</v>
      </c>
      <c r="G89" s="3"/>
      <c r="H89" s="58"/>
      <c r="I89" s="23"/>
      <c r="J89" s="39"/>
      <c r="K89" s="49"/>
      <c r="L89" s="24"/>
      <c r="M89" s="54"/>
      <c r="N89" s="54"/>
    </row>
    <row r="90" spans="1:14" s="22" customFormat="1" ht="12">
      <c r="A90" s="56"/>
      <c r="B90" s="3"/>
      <c r="C90" s="3"/>
      <c r="D90" s="61" t="s">
        <v>26</v>
      </c>
      <c r="E90" s="62"/>
      <c r="F90" s="63">
        <f>SUM(F89:F89)</f>
        <v>3</v>
      </c>
      <c r="G90" s="3"/>
      <c r="H90" s="58"/>
      <c r="I90" s="23"/>
      <c r="J90" s="39"/>
      <c r="K90" s="43"/>
      <c r="L90" s="24"/>
      <c r="M90" s="54"/>
      <c r="N90" s="54"/>
    </row>
    <row r="91" spans="1:14" s="25" customFormat="1" ht="12">
      <c r="A91" s="72">
        <f>A88+1</f>
        <v>24</v>
      </c>
      <c r="B91" s="73" t="s">
        <v>29</v>
      </c>
      <c r="C91" s="74" t="s">
        <v>2393</v>
      </c>
      <c r="D91" s="74" t="s">
        <v>2394</v>
      </c>
      <c r="E91" s="73" t="s">
        <v>19</v>
      </c>
      <c r="F91" s="75">
        <f>F93</f>
        <v>1</v>
      </c>
      <c r="G91" s="71"/>
      <c r="H91" s="71">
        <f>ROUND(F91*G91,2)</f>
        <v>0</v>
      </c>
      <c r="I91" s="23"/>
      <c r="J91" s="42">
        <v>9</v>
      </c>
      <c r="K91" s="52">
        <f>ROUND(F91*0.85*0.48,3)</f>
        <v>0.40799999999999997</v>
      </c>
      <c r="M91" s="23"/>
      <c r="N91" s="23"/>
    </row>
    <row r="92" spans="1:14" s="22" customFormat="1" ht="12">
      <c r="A92" s="56"/>
      <c r="B92" s="3"/>
      <c r="C92" s="3"/>
      <c r="D92" s="59" t="s">
        <v>2395</v>
      </c>
      <c r="E92" s="77"/>
      <c r="F92" s="57">
        <v>1</v>
      </c>
      <c r="G92" s="3"/>
      <c r="H92" s="58"/>
      <c r="I92" s="23"/>
      <c r="J92" s="39"/>
      <c r="K92" s="49"/>
      <c r="L92" s="24"/>
      <c r="M92" s="54"/>
      <c r="N92" s="54"/>
    </row>
    <row r="93" spans="1:14" s="22" customFormat="1" ht="12">
      <c r="A93" s="56"/>
      <c r="B93" s="3"/>
      <c r="C93" s="3"/>
      <c r="D93" s="61" t="s">
        <v>26</v>
      </c>
      <c r="E93" s="62"/>
      <c r="F93" s="63">
        <f>SUM(F92:F92)</f>
        <v>1</v>
      </c>
      <c r="G93" s="3"/>
      <c r="H93" s="58"/>
      <c r="I93" s="23"/>
      <c r="J93" s="39"/>
      <c r="K93" s="43"/>
      <c r="L93" s="24"/>
      <c r="M93" s="54"/>
      <c r="N93" s="54"/>
    </row>
    <row r="94" spans="1:14" s="25" customFormat="1" ht="24">
      <c r="A94" s="72">
        <f>A91+1</f>
        <v>25</v>
      </c>
      <c r="B94" s="73" t="s">
        <v>29</v>
      </c>
      <c r="C94" s="74" t="s">
        <v>2396</v>
      </c>
      <c r="D94" s="74" t="s">
        <v>2397</v>
      </c>
      <c r="E94" s="73" t="s">
        <v>19</v>
      </c>
      <c r="F94" s="75">
        <f>F96</f>
        <v>24</v>
      </c>
      <c r="G94" s="71"/>
      <c r="H94" s="71">
        <f>ROUND(F94*G94,2)</f>
        <v>0</v>
      </c>
      <c r="I94" s="23"/>
      <c r="J94" s="42">
        <v>9</v>
      </c>
      <c r="K94" s="52">
        <f>ROUND(F94*0.45*0.25*0.15*2.4,3)</f>
        <v>0.97199999999999998</v>
      </c>
      <c r="M94" s="23"/>
      <c r="N94" s="23"/>
    </row>
    <row r="95" spans="1:14" s="22" customFormat="1" ht="12">
      <c r="A95" s="56"/>
      <c r="B95" s="3"/>
      <c r="C95" s="3"/>
      <c r="D95" s="59" t="s">
        <v>2398</v>
      </c>
      <c r="E95" s="77"/>
      <c r="F95" s="57">
        <v>24</v>
      </c>
      <c r="G95" s="3"/>
      <c r="H95" s="58"/>
      <c r="I95" s="23"/>
      <c r="J95" s="39"/>
      <c r="K95" s="49"/>
      <c r="L95" s="24"/>
      <c r="M95" s="54"/>
      <c r="N95" s="54"/>
    </row>
    <row r="96" spans="1:14" s="22" customFormat="1" ht="12">
      <c r="A96" s="56"/>
      <c r="B96" s="3"/>
      <c r="C96" s="3"/>
      <c r="D96" s="61" t="s">
        <v>26</v>
      </c>
      <c r="E96" s="62"/>
      <c r="F96" s="63">
        <f>SUM(F95:F95)</f>
        <v>24</v>
      </c>
      <c r="G96" s="3"/>
      <c r="H96" s="58"/>
      <c r="I96" s="23"/>
      <c r="J96" s="39"/>
      <c r="K96" s="43"/>
      <c r="L96" s="24"/>
      <c r="M96" s="54"/>
      <c r="N96" s="54"/>
    </row>
    <row r="97" spans="1:15" s="25" customFormat="1" ht="36">
      <c r="A97" s="72">
        <f>A94+1</f>
        <v>26</v>
      </c>
      <c r="B97" s="73" t="s">
        <v>29</v>
      </c>
      <c r="C97" s="74" t="s">
        <v>2399</v>
      </c>
      <c r="D97" s="74" t="s">
        <v>2400</v>
      </c>
      <c r="E97" s="73" t="s">
        <v>19</v>
      </c>
      <c r="F97" s="75">
        <f>F99</f>
        <v>9</v>
      </c>
      <c r="G97" s="71"/>
      <c r="H97" s="71">
        <f>ROUND(F97*G97,2)</f>
        <v>0</v>
      </c>
      <c r="I97" s="23"/>
      <c r="J97" s="42">
        <v>9</v>
      </c>
      <c r="K97" s="52">
        <f>ROUND(F97*0.075,3)</f>
        <v>0.67500000000000004</v>
      </c>
      <c r="M97" s="23"/>
      <c r="N97" s="23"/>
    </row>
    <row r="98" spans="1:15" s="22" customFormat="1" ht="12">
      <c r="A98" s="56"/>
      <c r="B98" s="3"/>
      <c r="C98" s="3"/>
      <c r="D98" s="59" t="s">
        <v>2401</v>
      </c>
      <c r="E98" s="77"/>
      <c r="F98" s="57">
        <v>9</v>
      </c>
      <c r="G98" s="3"/>
      <c r="H98" s="58"/>
      <c r="I98" s="23"/>
      <c r="J98" s="39"/>
      <c r="K98" s="49"/>
      <c r="L98" s="24"/>
      <c r="M98" s="54"/>
      <c r="N98" s="54"/>
    </row>
    <row r="99" spans="1:15" s="22" customFormat="1" ht="12">
      <c r="A99" s="56"/>
      <c r="B99" s="3"/>
      <c r="C99" s="3"/>
      <c r="D99" s="61" t="s">
        <v>26</v>
      </c>
      <c r="E99" s="62"/>
      <c r="F99" s="63">
        <f>SUM(F98:F98)</f>
        <v>9</v>
      </c>
      <c r="G99" s="3"/>
      <c r="H99" s="58"/>
      <c r="I99" s="23"/>
      <c r="J99" s="39"/>
      <c r="K99" s="43"/>
      <c r="L99" s="24"/>
      <c r="M99" s="54"/>
      <c r="N99" s="54"/>
    </row>
    <row r="100" spans="1:15" s="25" customFormat="1" ht="36">
      <c r="A100" s="72">
        <f>A97+1</f>
        <v>27</v>
      </c>
      <c r="B100" s="73" t="s">
        <v>29</v>
      </c>
      <c r="C100" s="74" t="s">
        <v>2402</v>
      </c>
      <c r="D100" s="74" t="s">
        <v>2403</v>
      </c>
      <c r="E100" s="73" t="s">
        <v>19</v>
      </c>
      <c r="F100" s="75">
        <f>F109</f>
        <v>276</v>
      </c>
      <c r="G100" s="71"/>
      <c r="H100" s="71">
        <f>ROUND(F100*G100,2)</f>
        <v>0</v>
      </c>
      <c r="I100" s="23"/>
      <c r="J100" s="42">
        <v>9</v>
      </c>
      <c r="K100" s="52">
        <f>ROUND(F100*0.0002,3)</f>
        <v>5.5E-2</v>
      </c>
      <c r="M100" s="23"/>
      <c r="N100" s="23"/>
    </row>
    <row r="101" spans="1:15" s="22" customFormat="1" ht="12">
      <c r="A101" s="56"/>
      <c r="B101" s="3"/>
      <c r="C101" s="3"/>
      <c r="D101" s="59" t="s">
        <v>2404</v>
      </c>
      <c r="E101" s="77"/>
      <c r="F101" s="57">
        <f>22*2</f>
        <v>44</v>
      </c>
      <c r="G101" s="3"/>
      <c r="H101" s="58"/>
      <c r="I101" s="23"/>
      <c r="J101" s="39"/>
      <c r="K101" s="49"/>
      <c r="L101" s="24"/>
      <c r="M101" s="54"/>
      <c r="N101" s="54"/>
    </row>
    <row r="102" spans="1:15" s="22" customFormat="1" ht="12">
      <c r="A102" s="56"/>
      <c r="B102" s="3"/>
      <c r="C102" s="3"/>
      <c r="D102" s="59" t="s">
        <v>2405</v>
      </c>
      <c r="E102" s="77"/>
      <c r="F102" s="57">
        <f>16*2</f>
        <v>32</v>
      </c>
      <c r="G102" s="3"/>
      <c r="H102" s="58"/>
      <c r="I102" s="23"/>
      <c r="J102" s="39"/>
      <c r="K102" s="49"/>
      <c r="L102" s="24"/>
      <c r="M102" s="54"/>
      <c r="N102" s="54"/>
    </row>
    <row r="103" spans="1:15" s="22" customFormat="1" ht="12">
      <c r="A103" s="56"/>
      <c r="B103" s="3"/>
      <c r="C103" s="3"/>
      <c r="D103" s="59" t="s">
        <v>2406</v>
      </c>
      <c r="E103" s="77"/>
      <c r="F103" s="57">
        <f>46*2</f>
        <v>92</v>
      </c>
      <c r="G103" s="3"/>
      <c r="H103" s="58"/>
      <c r="I103" s="23"/>
      <c r="J103" s="39"/>
      <c r="K103" s="49"/>
      <c r="L103" s="24"/>
      <c r="M103" s="54"/>
      <c r="N103" s="54"/>
    </row>
    <row r="104" spans="1:15" s="22" customFormat="1" ht="12">
      <c r="A104" s="56"/>
      <c r="B104" s="3"/>
      <c r="C104" s="3"/>
      <c r="D104" s="59" t="s">
        <v>2407</v>
      </c>
      <c r="E104" s="77"/>
      <c r="F104" s="57">
        <f>4*4</f>
        <v>16</v>
      </c>
      <c r="G104" s="3"/>
      <c r="H104" s="58"/>
      <c r="I104" s="23"/>
      <c r="J104" s="39"/>
      <c r="K104" s="49"/>
      <c r="L104" s="24"/>
      <c r="M104" s="54"/>
      <c r="N104" s="54"/>
    </row>
    <row r="105" spans="1:15" s="22" customFormat="1" ht="12">
      <c r="A105" s="56"/>
      <c r="B105" s="3"/>
      <c r="C105" s="3"/>
      <c r="D105" s="59" t="s">
        <v>2408</v>
      </c>
      <c r="E105" s="77"/>
      <c r="F105" s="57">
        <f>6*4</f>
        <v>24</v>
      </c>
      <c r="G105" s="3"/>
      <c r="H105" s="58"/>
      <c r="I105" s="23"/>
      <c r="J105" s="39"/>
      <c r="K105" s="49"/>
      <c r="L105" s="24"/>
      <c r="M105" s="54"/>
      <c r="N105" s="54"/>
    </row>
    <row r="106" spans="1:15" s="22" customFormat="1" ht="12">
      <c r="A106" s="56"/>
      <c r="B106" s="3"/>
      <c r="C106" s="3"/>
      <c r="D106" s="59" t="s">
        <v>2409</v>
      </c>
      <c r="E106" s="77"/>
      <c r="F106" s="57">
        <f>24*1</f>
        <v>24</v>
      </c>
      <c r="G106" s="3"/>
      <c r="H106" s="58"/>
      <c r="I106" s="23"/>
      <c r="J106" s="39"/>
      <c r="K106" s="49"/>
      <c r="L106" s="24"/>
      <c r="M106" s="54"/>
      <c r="N106" s="54"/>
    </row>
    <row r="107" spans="1:15" s="22" customFormat="1" ht="12">
      <c r="A107" s="56"/>
      <c r="B107" s="3"/>
      <c r="C107" s="3"/>
      <c r="D107" s="59" t="s">
        <v>2410</v>
      </c>
      <c r="E107" s="77"/>
      <c r="F107" s="57">
        <f>3*4</f>
        <v>12</v>
      </c>
      <c r="G107" s="3"/>
      <c r="H107" s="58"/>
      <c r="I107" s="23"/>
      <c r="J107" s="39"/>
      <c r="K107" s="49"/>
      <c r="L107" s="24"/>
      <c r="M107" s="54"/>
      <c r="N107" s="54"/>
    </row>
    <row r="108" spans="1:15" s="22" customFormat="1" ht="12">
      <c r="A108" s="56"/>
      <c r="B108" s="3"/>
      <c r="C108" s="3"/>
      <c r="D108" s="59" t="s">
        <v>2411</v>
      </c>
      <c r="E108" s="77"/>
      <c r="F108" s="57">
        <f>32*1</f>
        <v>32</v>
      </c>
      <c r="G108" s="3"/>
      <c r="H108" s="58"/>
      <c r="I108" s="23"/>
      <c r="J108" s="39"/>
      <c r="K108" s="49"/>
      <c r="L108" s="24"/>
      <c r="M108" s="54"/>
      <c r="N108" s="54"/>
    </row>
    <row r="109" spans="1:15" s="22" customFormat="1" ht="12">
      <c r="A109" s="56"/>
      <c r="B109" s="3"/>
      <c r="C109" s="3"/>
      <c r="D109" s="61" t="s">
        <v>26</v>
      </c>
      <c r="E109" s="62"/>
      <c r="F109" s="63">
        <f>SUM(F101:F108)</f>
        <v>276</v>
      </c>
      <c r="G109" s="3"/>
      <c r="H109" s="58"/>
      <c r="I109" s="23"/>
      <c r="J109" s="39"/>
      <c r="K109" s="43"/>
      <c r="L109" s="24"/>
      <c r="M109" s="54"/>
      <c r="N109" s="54"/>
    </row>
    <row r="110" spans="1:15" s="24" customFormat="1" ht="28.5" customHeight="1">
      <c r="A110" s="11"/>
      <c r="B110" s="2"/>
      <c r="C110" s="14">
        <v>99</v>
      </c>
      <c r="D110" s="14" t="s">
        <v>27</v>
      </c>
      <c r="E110" s="11"/>
      <c r="F110" s="15"/>
      <c r="G110" s="2"/>
      <c r="H110" s="67">
        <f>SUM(H111)</f>
        <v>0</v>
      </c>
      <c r="I110" s="46"/>
      <c r="J110" s="42">
        <v>99</v>
      </c>
      <c r="K110" s="51"/>
      <c r="L110" s="47"/>
      <c r="M110" s="23"/>
      <c r="N110" s="23"/>
      <c r="O110" s="25"/>
    </row>
    <row r="111" spans="1:15" s="25" customFormat="1" ht="24">
      <c r="A111" s="72">
        <f>A100+1</f>
        <v>28</v>
      </c>
      <c r="B111" s="73" t="s">
        <v>40</v>
      </c>
      <c r="C111" s="74" t="s">
        <v>41</v>
      </c>
      <c r="D111" s="74" t="s">
        <v>42</v>
      </c>
      <c r="E111" s="73" t="s">
        <v>15</v>
      </c>
      <c r="F111" s="75">
        <f>K111</f>
        <v>52.781999999999989</v>
      </c>
      <c r="G111" s="71"/>
      <c r="H111" s="71">
        <f>ROUND(F111*G111,2)</f>
        <v>0</v>
      </c>
      <c r="I111" s="23"/>
      <c r="J111" s="42">
        <v>99</v>
      </c>
      <c r="K111" s="53">
        <f>SUM(K41:K100,K114:K165)</f>
        <v>52.781999999999989</v>
      </c>
      <c r="M111" s="23"/>
      <c r="N111" s="23"/>
    </row>
    <row r="112" spans="1:15" ht="25.5" customHeight="1">
      <c r="A112" s="3"/>
      <c r="B112" s="3"/>
      <c r="C112" s="9" t="s">
        <v>24</v>
      </c>
      <c r="D112" s="9" t="s">
        <v>25</v>
      </c>
      <c r="E112" s="6"/>
      <c r="F112" s="3"/>
      <c r="G112" s="10"/>
      <c r="H112" s="13">
        <f>SUM(H113,H133,H165)</f>
        <v>0</v>
      </c>
      <c r="J112" s="44" t="s">
        <v>24</v>
      </c>
      <c r="M112" s="23"/>
      <c r="N112" s="23"/>
      <c r="O112" s="25"/>
    </row>
    <row r="113" spans="1:16" s="24" customFormat="1" ht="23.25" customHeight="1">
      <c r="A113" s="11"/>
      <c r="B113" s="2"/>
      <c r="C113" s="14">
        <v>762</v>
      </c>
      <c r="D113" s="14" t="s">
        <v>43</v>
      </c>
      <c r="E113" s="11"/>
      <c r="F113" s="15"/>
      <c r="G113" s="2"/>
      <c r="H113" s="67">
        <f>SUM(H114:H132)</f>
        <v>0</v>
      </c>
      <c r="I113" s="46"/>
      <c r="J113" s="42">
        <v>762</v>
      </c>
      <c r="K113" s="51"/>
      <c r="L113" s="47"/>
      <c r="P113" s="25"/>
    </row>
    <row r="114" spans="1:16" s="25" customFormat="1" ht="36">
      <c r="A114" s="72">
        <f>A111+1</f>
        <v>29</v>
      </c>
      <c r="B114" s="79" t="s">
        <v>29</v>
      </c>
      <c r="C114" s="80" t="s">
        <v>2412</v>
      </c>
      <c r="D114" s="80" t="s">
        <v>2413</v>
      </c>
      <c r="E114" s="79" t="s">
        <v>14</v>
      </c>
      <c r="F114" s="75">
        <f>F116</f>
        <v>6</v>
      </c>
      <c r="G114" s="71"/>
      <c r="H114" s="71">
        <f>ROUND(F114*G114,2)</f>
        <v>0</v>
      </c>
      <c r="I114" s="23"/>
      <c r="J114" s="42">
        <v>762</v>
      </c>
      <c r="K114" s="50"/>
      <c r="M114" s="23"/>
      <c r="N114" s="23"/>
    </row>
    <row r="115" spans="1:16" s="25" customFormat="1" ht="12">
      <c r="A115" s="64"/>
      <c r="B115" s="1"/>
      <c r="C115" s="1"/>
      <c r="D115" s="59" t="s">
        <v>2414</v>
      </c>
      <c r="E115" s="200"/>
      <c r="F115" s="78">
        <f>2*3</f>
        <v>6</v>
      </c>
      <c r="G115" s="1"/>
      <c r="H115" s="65"/>
      <c r="I115" s="26"/>
      <c r="J115" s="40"/>
      <c r="K115" s="51"/>
      <c r="M115" s="23"/>
      <c r="N115" s="23"/>
    </row>
    <row r="116" spans="1:16" s="25" customFormat="1" ht="12">
      <c r="A116" s="64"/>
      <c r="B116" s="1"/>
      <c r="C116" s="1"/>
      <c r="D116" s="61" t="s">
        <v>26</v>
      </c>
      <c r="E116" s="62"/>
      <c r="F116" s="63">
        <f>SUM(F115:F115)</f>
        <v>6</v>
      </c>
      <c r="G116" s="1"/>
      <c r="H116" s="65"/>
      <c r="I116" s="26"/>
      <c r="J116" s="40"/>
      <c r="K116" s="51"/>
      <c r="M116" s="23"/>
      <c r="N116" s="23"/>
    </row>
    <row r="117" spans="1:16" s="25" customFormat="1" ht="36">
      <c r="A117" s="72">
        <f>A114+1</f>
        <v>30</v>
      </c>
      <c r="B117" s="79" t="s">
        <v>29</v>
      </c>
      <c r="C117" s="80" t="s">
        <v>2415</v>
      </c>
      <c r="D117" s="80" t="s">
        <v>2416</v>
      </c>
      <c r="E117" s="79" t="s">
        <v>14</v>
      </c>
      <c r="F117" s="75">
        <f>F119</f>
        <v>34</v>
      </c>
      <c r="G117" s="71"/>
      <c r="H117" s="71">
        <f>ROUND(F117*G117,2)</f>
        <v>0</v>
      </c>
      <c r="I117" s="23"/>
      <c r="J117" s="42">
        <v>762</v>
      </c>
      <c r="K117" s="50"/>
      <c r="M117" s="23"/>
      <c r="N117" s="23"/>
    </row>
    <row r="118" spans="1:16" s="25" customFormat="1" ht="12">
      <c r="A118" s="64"/>
      <c r="B118" s="1"/>
      <c r="C118" s="1"/>
      <c r="D118" s="59" t="s">
        <v>2417</v>
      </c>
      <c r="E118" s="200"/>
      <c r="F118" s="78">
        <f>4*2.4+4*3.4+4*2.7</f>
        <v>34</v>
      </c>
      <c r="G118" s="1"/>
      <c r="H118" s="65"/>
      <c r="I118" s="26"/>
      <c r="J118" s="40"/>
      <c r="K118" s="51"/>
      <c r="M118" s="23"/>
      <c r="N118" s="23"/>
    </row>
    <row r="119" spans="1:16" s="25" customFormat="1" ht="12">
      <c r="A119" s="64"/>
      <c r="B119" s="1"/>
      <c r="C119" s="1"/>
      <c r="D119" s="61" t="s">
        <v>26</v>
      </c>
      <c r="E119" s="62"/>
      <c r="F119" s="63">
        <f>SUM(F118:F118)</f>
        <v>34</v>
      </c>
      <c r="G119" s="1"/>
      <c r="H119" s="65"/>
      <c r="I119" s="26"/>
      <c r="J119" s="40"/>
      <c r="K119" s="51"/>
      <c r="M119" s="23"/>
      <c r="N119" s="23"/>
    </row>
    <row r="120" spans="1:16" s="25" customFormat="1" ht="36">
      <c r="A120" s="72">
        <f>A117+1</f>
        <v>31</v>
      </c>
      <c r="B120" s="79" t="s">
        <v>29</v>
      </c>
      <c r="C120" s="80">
        <v>762712130</v>
      </c>
      <c r="D120" s="80" t="s">
        <v>2418</v>
      </c>
      <c r="E120" s="79" t="s">
        <v>14</v>
      </c>
      <c r="F120" s="75">
        <f>F122</f>
        <v>20</v>
      </c>
      <c r="G120" s="71"/>
      <c r="H120" s="71">
        <f>ROUND(F120*G120,2)</f>
        <v>0</v>
      </c>
      <c r="I120" s="23"/>
      <c r="J120" s="42">
        <v>762</v>
      </c>
      <c r="K120" s="50"/>
      <c r="M120" s="23"/>
      <c r="N120" s="23"/>
    </row>
    <row r="121" spans="1:16" s="25" customFormat="1" ht="12">
      <c r="A121" s="64"/>
      <c r="B121" s="1"/>
      <c r="C121" s="1"/>
      <c r="D121" s="59" t="s">
        <v>2419</v>
      </c>
      <c r="E121" s="200"/>
      <c r="F121" s="78">
        <f>20*1</f>
        <v>20</v>
      </c>
      <c r="G121" s="1"/>
      <c r="H121" s="65"/>
      <c r="I121" s="26"/>
      <c r="J121" s="40"/>
      <c r="K121" s="51"/>
      <c r="M121" s="23"/>
      <c r="N121" s="23"/>
    </row>
    <row r="122" spans="1:16" s="25" customFormat="1" ht="12">
      <c r="A122" s="64"/>
      <c r="B122" s="1"/>
      <c r="C122" s="1"/>
      <c r="D122" s="61" t="s">
        <v>26</v>
      </c>
      <c r="E122" s="62"/>
      <c r="F122" s="63">
        <f>SUM(F121:F121)</f>
        <v>20</v>
      </c>
      <c r="G122" s="1"/>
      <c r="H122" s="65"/>
      <c r="I122" s="26"/>
      <c r="J122" s="40"/>
      <c r="K122" s="51"/>
      <c r="M122" s="23"/>
      <c r="N122" s="23"/>
    </row>
    <row r="123" spans="1:16" s="25" customFormat="1" ht="36">
      <c r="A123" s="72">
        <f>A120+1</f>
        <v>32</v>
      </c>
      <c r="B123" s="79" t="s">
        <v>29</v>
      </c>
      <c r="C123" s="80">
        <v>762712140</v>
      </c>
      <c r="D123" s="80" t="s">
        <v>2420</v>
      </c>
      <c r="E123" s="79" t="s">
        <v>14</v>
      </c>
      <c r="F123" s="75">
        <f>F126</f>
        <v>131.19999999999999</v>
      </c>
      <c r="G123" s="71"/>
      <c r="H123" s="71">
        <f>ROUND(F123*G123,2)</f>
        <v>0</v>
      </c>
      <c r="I123" s="23"/>
      <c r="J123" s="42">
        <v>762</v>
      </c>
      <c r="K123" s="50"/>
      <c r="M123" s="23"/>
      <c r="N123" s="23"/>
    </row>
    <row r="124" spans="1:16" s="25" customFormat="1" ht="12">
      <c r="A124" s="64"/>
      <c r="B124" s="1"/>
      <c r="C124" s="1"/>
      <c r="D124" s="59" t="s">
        <v>2421</v>
      </c>
      <c r="E124" s="200"/>
      <c r="F124" s="78">
        <f>9*9.6+6*2.2+4*2.7</f>
        <v>110.39999999999999</v>
      </c>
      <c r="G124" s="1"/>
      <c r="H124" s="65"/>
      <c r="I124" s="26"/>
      <c r="J124" s="40"/>
      <c r="K124" s="51"/>
      <c r="M124" s="23"/>
      <c r="N124" s="23"/>
    </row>
    <row r="125" spans="1:16" s="25" customFormat="1" ht="12">
      <c r="A125" s="64"/>
      <c r="B125" s="1"/>
      <c r="C125" s="1"/>
      <c r="D125" s="59" t="s">
        <v>2422</v>
      </c>
      <c r="E125" s="200"/>
      <c r="F125" s="78">
        <f>8*2.6</f>
        <v>20.8</v>
      </c>
      <c r="G125" s="1"/>
      <c r="H125" s="65"/>
      <c r="I125" s="26"/>
      <c r="J125" s="40"/>
      <c r="K125" s="51"/>
      <c r="M125" s="23"/>
      <c r="N125" s="23"/>
    </row>
    <row r="126" spans="1:16" s="25" customFormat="1" ht="12">
      <c r="A126" s="64"/>
      <c r="B126" s="1"/>
      <c r="C126" s="1"/>
      <c r="D126" s="61" t="s">
        <v>26</v>
      </c>
      <c r="E126" s="62"/>
      <c r="F126" s="63">
        <f>SUM(F124:F125)</f>
        <v>131.19999999999999</v>
      </c>
      <c r="G126" s="1"/>
      <c r="H126" s="65"/>
      <c r="I126" s="26"/>
      <c r="J126" s="40"/>
      <c r="K126" s="51"/>
      <c r="M126" s="23"/>
      <c r="N126" s="23"/>
    </row>
    <row r="127" spans="1:16" s="25" customFormat="1" ht="24">
      <c r="A127" s="72">
        <f>A123+1</f>
        <v>33</v>
      </c>
      <c r="B127" s="79" t="s">
        <v>29</v>
      </c>
      <c r="C127" s="80" t="s">
        <v>2423</v>
      </c>
      <c r="D127" s="80" t="s">
        <v>2424</v>
      </c>
      <c r="E127" s="79" t="s">
        <v>14</v>
      </c>
      <c r="F127" s="75">
        <f>F129</f>
        <v>60</v>
      </c>
      <c r="G127" s="71"/>
      <c r="H127" s="71">
        <f>ROUND(F127*G127,2)</f>
        <v>0</v>
      </c>
      <c r="I127" s="23"/>
      <c r="J127" s="42">
        <v>762</v>
      </c>
      <c r="K127" s="50"/>
      <c r="M127" s="23"/>
      <c r="N127" s="23"/>
    </row>
    <row r="128" spans="1:16" s="25" customFormat="1" ht="12">
      <c r="A128" s="64"/>
      <c r="B128" s="1"/>
      <c r="C128" s="1"/>
      <c r="D128" s="59" t="s">
        <v>2425</v>
      </c>
      <c r="E128" s="200"/>
      <c r="F128" s="78">
        <f>5*6*2</f>
        <v>60</v>
      </c>
      <c r="G128" s="1"/>
      <c r="H128" s="65"/>
      <c r="I128" s="26"/>
      <c r="J128" s="40"/>
      <c r="K128" s="51"/>
      <c r="M128" s="23"/>
      <c r="N128" s="23"/>
    </row>
    <row r="129" spans="1:16" s="25" customFormat="1" ht="12">
      <c r="A129" s="64"/>
      <c r="B129" s="1"/>
      <c r="C129" s="1"/>
      <c r="D129" s="61" t="s">
        <v>26</v>
      </c>
      <c r="E129" s="62"/>
      <c r="F129" s="63">
        <f>SUM(F128:F128)</f>
        <v>60</v>
      </c>
      <c r="G129" s="1"/>
      <c r="H129" s="65"/>
      <c r="I129" s="26"/>
      <c r="J129" s="40"/>
      <c r="K129" s="51"/>
      <c r="M129" s="23"/>
      <c r="N129" s="23"/>
    </row>
    <row r="130" spans="1:16" s="25" customFormat="1" ht="12">
      <c r="A130" s="72">
        <f>A127+1</f>
        <v>34</v>
      </c>
      <c r="B130" s="191" t="s">
        <v>45</v>
      </c>
      <c r="C130" s="197">
        <v>605118</v>
      </c>
      <c r="D130" s="197" t="s">
        <v>2627</v>
      </c>
      <c r="E130" s="191" t="s">
        <v>12</v>
      </c>
      <c r="F130" s="195">
        <f>F132</f>
        <v>6.26</v>
      </c>
      <c r="G130" s="179"/>
      <c r="H130" s="179">
        <f t="shared" ref="H130" si="0">ROUND(F130*G130,2)</f>
        <v>0</v>
      </c>
      <c r="I130" s="23"/>
      <c r="J130" s="42">
        <v>762</v>
      </c>
      <c r="K130" s="50">
        <f>ROUND(F130*0.48,3)</f>
        <v>3.0049999999999999</v>
      </c>
      <c r="M130" s="23"/>
      <c r="N130" s="23"/>
    </row>
    <row r="131" spans="1:16" s="25" customFormat="1" ht="22.5">
      <c r="A131" s="64"/>
      <c r="B131" s="1"/>
      <c r="C131" s="1"/>
      <c r="D131" s="59" t="s">
        <v>2426</v>
      </c>
      <c r="E131" s="200"/>
      <c r="F131" s="78">
        <f>ROUND((6*0.1*0.1+34*0.12*0.12+20*0.16*0.16+110.4*0.16*0.22+20.8*0.2*0.2+5*6*2*0.06*0.1)*1.02,2)</f>
        <v>6.26</v>
      </c>
      <c r="G131" s="1"/>
      <c r="H131" s="65"/>
      <c r="I131" s="26"/>
      <c r="J131" s="40"/>
      <c r="K131" s="51"/>
      <c r="M131" s="23"/>
      <c r="N131" s="23"/>
    </row>
    <row r="132" spans="1:16" s="25" customFormat="1" ht="12">
      <c r="A132" s="64"/>
      <c r="B132" s="1"/>
      <c r="C132" s="1"/>
      <c r="D132" s="61" t="s">
        <v>26</v>
      </c>
      <c r="E132" s="62"/>
      <c r="F132" s="63">
        <f>SUM(F131:F131)</f>
        <v>6.26</v>
      </c>
      <c r="G132" s="1"/>
      <c r="H132" s="65"/>
      <c r="I132" s="26"/>
      <c r="J132" s="40"/>
      <c r="K132" s="51"/>
      <c r="M132" s="23"/>
      <c r="N132" s="23"/>
    </row>
    <row r="133" spans="1:16" s="24" customFormat="1" ht="23.25" customHeight="1">
      <c r="A133" s="11"/>
      <c r="B133" s="2"/>
      <c r="C133" s="14">
        <v>767</v>
      </c>
      <c r="D133" s="14" t="s">
        <v>76</v>
      </c>
      <c r="E133" s="11"/>
      <c r="F133" s="15"/>
      <c r="G133" s="2"/>
      <c r="H133" s="67">
        <f>SUM(H134:H164)</f>
        <v>0</v>
      </c>
      <c r="I133" s="46"/>
      <c r="J133" s="42">
        <v>767</v>
      </c>
      <c r="K133" s="51"/>
      <c r="L133" s="47"/>
      <c r="P133" s="25"/>
    </row>
    <row r="134" spans="1:16" s="25" customFormat="1" ht="24">
      <c r="A134" s="72">
        <f>A130+1</f>
        <v>35</v>
      </c>
      <c r="B134" s="79">
        <v>767</v>
      </c>
      <c r="C134" s="80" t="s">
        <v>2427</v>
      </c>
      <c r="D134" s="80" t="s">
        <v>2428</v>
      </c>
      <c r="E134" s="79" t="s">
        <v>19</v>
      </c>
      <c r="F134" s="75">
        <f>F136</f>
        <v>3</v>
      </c>
      <c r="G134" s="71"/>
      <c r="H134" s="71">
        <f>ROUND(F134*G134,2)</f>
        <v>0</v>
      </c>
      <c r="I134" s="23"/>
      <c r="J134" s="42">
        <v>767</v>
      </c>
      <c r="K134" s="50">
        <f>ROUND(0.642,3)</f>
        <v>0.64200000000000002</v>
      </c>
      <c r="M134" s="23"/>
      <c r="N134" s="23"/>
    </row>
    <row r="135" spans="1:16" s="25" customFormat="1" ht="12">
      <c r="A135" s="64"/>
      <c r="B135" s="1"/>
      <c r="C135" s="1"/>
      <c r="D135" s="59" t="s">
        <v>2385</v>
      </c>
      <c r="E135" s="77"/>
      <c r="F135" s="57">
        <v>3</v>
      </c>
      <c r="G135" s="1"/>
      <c r="H135" s="65"/>
      <c r="I135" s="26"/>
      <c r="J135" s="40"/>
      <c r="K135" s="51"/>
      <c r="M135" s="23"/>
      <c r="N135" s="23"/>
    </row>
    <row r="136" spans="1:16" s="25" customFormat="1" ht="12">
      <c r="A136" s="64"/>
      <c r="B136" s="1"/>
      <c r="C136" s="1"/>
      <c r="D136" s="61" t="s">
        <v>26</v>
      </c>
      <c r="E136" s="62"/>
      <c r="F136" s="63">
        <f>SUM(F135:F135)</f>
        <v>3</v>
      </c>
      <c r="G136" s="1"/>
      <c r="H136" s="65"/>
      <c r="I136" s="26"/>
      <c r="J136" s="40"/>
      <c r="K136" s="51"/>
      <c r="M136" s="23"/>
      <c r="N136" s="23"/>
    </row>
    <row r="137" spans="1:16" s="25" customFormat="1" ht="24">
      <c r="A137" s="72">
        <f>A134+1</f>
        <v>36</v>
      </c>
      <c r="B137" s="79">
        <v>767</v>
      </c>
      <c r="C137" s="80" t="s">
        <v>2429</v>
      </c>
      <c r="D137" s="80" t="s">
        <v>2430</v>
      </c>
      <c r="E137" s="79" t="s">
        <v>20</v>
      </c>
      <c r="F137" s="75">
        <f>F139</f>
        <v>37.5</v>
      </c>
      <c r="G137" s="71"/>
      <c r="H137" s="71">
        <f>ROUND(F137*G137,2)</f>
        <v>0</v>
      </c>
      <c r="I137" s="23"/>
      <c r="J137" s="42">
        <v>767</v>
      </c>
      <c r="K137" s="50">
        <f>ROUND(F137/1000,3)</f>
        <v>3.7999999999999999E-2</v>
      </c>
      <c r="M137" s="23"/>
      <c r="N137" s="23"/>
    </row>
    <row r="138" spans="1:16" s="25" customFormat="1" ht="12">
      <c r="A138" s="64"/>
      <c r="B138" s="1"/>
      <c r="C138" s="1"/>
      <c r="D138" s="59" t="s">
        <v>2431</v>
      </c>
      <c r="E138" s="77"/>
      <c r="F138" s="57">
        <f>3*5*2.5</f>
        <v>37.5</v>
      </c>
      <c r="G138" s="1"/>
      <c r="H138" s="65"/>
      <c r="I138" s="26"/>
      <c r="J138" s="40"/>
      <c r="K138" s="51"/>
      <c r="M138" s="23"/>
      <c r="N138" s="23"/>
    </row>
    <row r="139" spans="1:16" s="25" customFormat="1" ht="12">
      <c r="A139" s="64"/>
      <c r="B139" s="1"/>
      <c r="C139" s="1"/>
      <c r="D139" s="61" t="s">
        <v>26</v>
      </c>
      <c r="E139" s="62"/>
      <c r="F139" s="63">
        <f>SUM(F138:F138)</f>
        <v>37.5</v>
      </c>
      <c r="G139" s="1"/>
      <c r="H139" s="65"/>
      <c r="I139" s="26"/>
      <c r="J139" s="40"/>
      <c r="K139" s="51"/>
      <c r="M139" s="23"/>
      <c r="N139" s="23"/>
    </row>
    <row r="140" spans="1:16" s="25" customFormat="1" ht="24">
      <c r="A140" s="72">
        <f>A137+1</f>
        <v>37</v>
      </c>
      <c r="B140" s="79" t="s">
        <v>29</v>
      </c>
      <c r="C140" s="80" t="s">
        <v>2432</v>
      </c>
      <c r="D140" s="80" t="s">
        <v>2433</v>
      </c>
      <c r="E140" s="79" t="s">
        <v>20</v>
      </c>
      <c r="F140" s="75">
        <f>F150</f>
        <v>142.51999999999998</v>
      </c>
      <c r="G140" s="71"/>
      <c r="H140" s="71">
        <f>ROUND(F140*G140,2)</f>
        <v>0</v>
      </c>
      <c r="I140" s="23"/>
      <c r="J140" s="42">
        <v>767</v>
      </c>
      <c r="K140" s="50">
        <f>ROUND(F140/1000,3)</f>
        <v>0.14299999999999999</v>
      </c>
      <c r="M140" s="23"/>
      <c r="N140" s="23"/>
    </row>
    <row r="141" spans="1:16" s="25" customFormat="1" ht="22.5">
      <c r="A141" s="64"/>
      <c r="B141" s="1"/>
      <c r="C141" s="1"/>
      <c r="D141" s="59" t="s">
        <v>2434</v>
      </c>
      <c r="E141" s="60"/>
      <c r="F141" s="78">
        <f>22*0.72</f>
        <v>15.84</v>
      </c>
      <c r="G141" s="1"/>
      <c r="H141" s="65"/>
      <c r="I141" s="26"/>
      <c r="J141" s="40"/>
      <c r="K141" s="51"/>
      <c r="M141" s="23"/>
      <c r="N141" s="23"/>
    </row>
    <row r="142" spans="1:16" s="25" customFormat="1" ht="22.5">
      <c r="A142" s="64"/>
      <c r="B142" s="1"/>
      <c r="C142" s="1"/>
      <c r="D142" s="59" t="s">
        <v>2435</v>
      </c>
      <c r="E142" s="60"/>
      <c r="F142" s="78">
        <f>16*0.72</f>
        <v>11.52</v>
      </c>
      <c r="G142" s="1"/>
      <c r="H142" s="65"/>
      <c r="I142" s="26"/>
      <c r="J142" s="40"/>
      <c r="K142" s="51"/>
      <c r="M142" s="23"/>
      <c r="N142" s="23"/>
    </row>
    <row r="143" spans="1:16" s="25" customFormat="1" ht="22.5">
      <c r="A143" s="64"/>
      <c r="B143" s="1"/>
      <c r="C143" s="1"/>
      <c r="D143" s="59" t="s">
        <v>2436</v>
      </c>
      <c r="E143" s="60"/>
      <c r="F143" s="78">
        <f>46*0.72</f>
        <v>33.119999999999997</v>
      </c>
      <c r="G143" s="1"/>
      <c r="H143" s="65"/>
      <c r="I143" s="26"/>
      <c r="J143" s="40"/>
      <c r="K143" s="51"/>
      <c r="M143" s="23"/>
      <c r="N143" s="23"/>
    </row>
    <row r="144" spans="1:16" s="25" customFormat="1" ht="22.5">
      <c r="A144" s="64"/>
      <c r="B144" s="1"/>
      <c r="C144" s="1"/>
      <c r="D144" s="59" t="s">
        <v>2437</v>
      </c>
      <c r="E144" s="60"/>
      <c r="F144" s="78">
        <f>4*3.2</f>
        <v>12.8</v>
      </c>
      <c r="G144" s="1"/>
      <c r="H144" s="65"/>
      <c r="I144" s="26"/>
      <c r="J144" s="40"/>
      <c r="K144" s="51"/>
      <c r="M144" s="23"/>
      <c r="N144" s="23"/>
    </row>
    <row r="145" spans="1:14" s="25" customFormat="1" ht="22.5">
      <c r="A145" s="64"/>
      <c r="B145" s="1"/>
      <c r="C145" s="1"/>
      <c r="D145" s="59" t="s">
        <v>2438</v>
      </c>
      <c r="E145" s="60"/>
      <c r="F145" s="78">
        <f>6*3.2</f>
        <v>19.200000000000003</v>
      </c>
      <c r="G145" s="1"/>
      <c r="H145" s="65"/>
      <c r="I145" s="26"/>
      <c r="J145" s="40"/>
      <c r="K145" s="51"/>
      <c r="M145" s="23"/>
      <c r="N145" s="23"/>
    </row>
    <row r="146" spans="1:14" s="25" customFormat="1" ht="22.5">
      <c r="A146" s="64"/>
      <c r="B146" s="1"/>
      <c r="C146" s="1"/>
      <c r="D146" s="59" t="s">
        <v>2439</v>
      </c>
      <c r="E146" s="60"/>
      <c r="F146" s="78">
        <f>24*0.67</f>
        <v>16.080000000000002</v>
      </c>
      <c r="G146" s="1"/>
      <c r="H146" s="65"/>
      <c r="I146" s="26"/>
      <c r="J146" s="40"/>
      <c r="K146" s="51"/>
      <c r="M146" s="23"/>
      <c r="N146" s="23"/>
    </row>
    <row r="147" spans="1:14" s="25" customFormat="1" ht="12">
      <c r="A147" s="64"/>
      <c r="B147" s="1"/>
      <c r="C147" s="1"/>
      <c r="D147" s="59" t="s">
        <v>2440</v>
      </c>
      <c r="E147" s="60"/>
      <c r="F147" s="78">
        <f>3*1.85</f>
        <v>5.5500000000000007</v>
      </c>
      <c r="G147" s="1"/>
      <c r="H147" s="65"/>
      <c r="I147" s="26"/>
      <c r="J147" s="40"/>
      <c r="K147" s="51"/>
      <c r="M147" s="23"/>
      <c r="N147" s="23"/>
    </row>
    <row r="148" spans="1:14" s="25" customFormat="1" ht="22.5">
      <c r="A148" s="64"/>
      <c r="B148" s="1"/>
      <c r="C148" s="1"/>
      <c r="D148" s="59" t="s">
        <v>2441</v>
      </c>
      <c r="E148" s="60"/>
      <c r="F148" s="78">
        <f>15*0.87</f>
        <v>13.05</v>
      </c>
      <c r="G148" s="1"/>
      <c r="H148" s="65"/>
      <c r="I148" s="26"/>
      <c r="J148" s="40"/>
      <c r="K148" s="51"/>
      <c r="M148" s="23"/>
      <c r="N148" s="23"/>
    </row>
    <row r="149" spans="1:14" s="25" customFormat="1" ht="22.5">
      <c r="A149" s="64"/>
      <c r="B149" s="1"/>
      <c r="C149" s="1"/>
      <c r="D149" s="59" t="s">
        <v>2442</v>
      </c>
      <c r="E149" s="60"/>
      <c r="F149" s="78">
        <f>8*4*0.48</f>
        <v>15.36</v>
      </c>
      <c r="G149" s="1"/>
      <c r="H149" s="65"/>
      <c r="I149" s="26"/>
      <c r="J149" s="40"/>
      <c r="K149" s="51"/>
      <c r="M149" s="23"/>
      <c r="N149" s="23"/>
    </row>
    <row r="150" spans="1:14" s="25" customFormat="1" ht="12">
      <c r="A150" s="64"/>
      <c r="B150" s="1"/>
      <c r="C150" s="1"/>
      <c r="D150" s="61" t="s">
        <v>26</v>
      </c>
      <c r="E150" s="62"/>
      <c r="F150" s="63">
        <f>SUM(F141:F149)</f>
        <v>142.51999999999998</v>
      </c>
      <c r="G150" s="1"/>
      <c r="H150" s="65"/>
      <c r="I150" s="26"/>
      <c r="J150" s="40"/>
      <c r="K150" s="51"/>
      <c r="M150" s="23"/>
      <c r="N150" s="23"/>
    </row>
    <row r="151" spans="1:14" s="25" customFormat="1" ht="12">
      <c r="A151" s="72">
        <f>A140+1</f>
        <v>38</v>
      </c>
      <c r="B151" s="191" t="s">
        <v>45</v>
      </c>
      <c r="C151" s="197" t="s">
        <v>2443</v>
      </c>
      <c r="D151" s="197" t="s">
        <v>2621</v>
      </c>
      <c r="E151" s="191" t="s">
        <v>20</v>
      </c>
      <c r="F151" s="195">
        <v>60.48</v>
      </c>
      <c r="G151" s="179"/>
      <c r="H151" s="179">
        <f t="shared" ref="H151:H156" si="1">ROUND(F151*G151,2)</f>
        <v>0</v>
      </c>
      <c r="I151" s="23"/>
      <c r="J151" s="42">
        <v>767</v>
      </c>
      <c r="K151" s="50"/>
      <c r="M151" s="23"/>
      <c r="N151" s="23"/>
    </row>
    <row r="152" spans="1:14" s="25" customFormat="1" ht="24">
      <c r="A152" s="72">
        <f>A151+1</f>
        <v>39</v>
      </c>
      <c r="B152" s="191" t="s">
        <v>45</v>
      </c>
      <c r="C152" s="197" t="s">
        <v>2444</v>
      </c>
      <c r="D152" s="197" t="s">
        <v>2622</v>
      </c>
      <c r="E152" s="191" t="s">
        <v>20</v>
      </c>
      <c r="F152" s="195">
        <v>32</v>
      </c>
      <c r="G152" s="179"/>
      <c r="H152" s="179">
        <f t="shared" si="1"/>
        <v>0</v>
      </c>
      <c r="I152" s="23"/>
      <c r="J152" s="42">
        <v>767</v>
      </c>
      <c r="K152" s="50"/>
      <c r="M152" s="23"/>
      <c r="N152" s="23"/>
    </row>
    <row r="153" spans="1:14" s="25" customFormat="1" ht="12">
      <c r="A153" s="72">
        <f t="shared" ref="A153:A156" si="2">A152+1</f>
        <v>40</v>
      </c>
      <c r="B153" s="191" t="s">
        <v>45</v>
      </c>
      <c r="C153" s="197" t="s">
        <v>2445</v>
      </c>
      <c r="D153" s="197" t="s">
        <v>2623</v>
      </c>
      <c r="E153" s="191" t="s">
        <v>20</v>
      </c>
      <c r="F153" s="195">
        <v>16.079999999999998</v>
      </c>
      <c r="G153" s="179"/>
      <c r="H153" s="179">
        <f t="shared" si="1"/>
        <v>0</v>
      </c>
      <c r="I153" s="23"/>
      <c r="J153" s="42">
        <v>767</v>
      </c>
      <c r="K153" s="50"/>
      <c r="M153" s="23"/>
      <c r="N153" s="23"/>
    </row>
    <row r="154" spans="1:14" s="25" customFormat="1" ht="24">
      <c r="A154" s="72">
        <f t="shared" si="2"/>
        <v>41</v>
      </c>
      <c r="B154" s="191" t="s">
        <v>45</v>
      </c>
      <c r="C154" s="197" t="s">
        <v>2446</v>
      </c>
      <c r="D154" s="197" t="s">
        <v>2624</v>
      </c>
      <c r="E154" s="191" t="s">
        <v>20</v>
      </c>
      <c r="F154" s="195">
        <v>5.55</v>
      </c>
      <c r="G154" s="179"/>
      <c r="H154" s="179">
        <f t="shared" si="1"/>
        <v>0</v>
      </c>
      <c r="I154" s="23"/>
      <c r="J154" s="42">
        <v>767</v>
      </c>
      <c r="K154" s="50"/>
      <c r="M154" s="23"/>
      <c r="N154" s="23"/>
    </row>
    <row r="155" spans="1:14" s="25" customFormat="1" ht="12">
      <c r="A155" s="72">
        <f t="shared" si="2"/>
        <v>42</v>
      </c>
      <c r="B155" s="191" t="s">
        <v>45</v>
      </c>
      <c r="C155" s="197" t="s">
        <v>2447</v>
      </c>
      <c r="D155" s="197" t="s">
        <v>2625</v>
      </c>
      <c r="E155" s="191" t="s">
        <v>20</v>
      </c>
      <c r="F155" s="195">
        <f>15*0.87</f>
        <v>13.05</v>
      </c>
      <c r="G155" s="179"/>
      <c r="H155" s="179"/>
      <c r="I155" s="23"/>
      <c r="J155" s="42"/>
      <c r="K155" s="50"/>
      <c r="M155" s="23"/>
      <c r="N155" s="23"/>
    </row>
    <row r="156" spans="1:14" s="25" customFormat="1" ht="12">
      <c r="A156" s="72">
        <f t="shared" si="2"/>
        <v>43</v>
      </c>
      <c r="B156" s="191" t="s">
        <v>45</v>
      </c>
      <c r="C156" s="197" t="s">
        <v>2448</v>
      </c>
      <c r="D156" s="197" t="s">
        <v>2626</v>
      </c>
      <c r="E156" s="191" t="s">
        <v>20</v>
      </c>
      <c r="F156" s="195">
        <v>15.36</v>
      </c>
      <c r="G156" s="179"/>
      <c r="H156" s="179">
        <f t="shared" si="1"/>
        <v>0</v>
      </c>
      <c r="I156" s="23"/>
      <c r="J156" s="42">
        <v>767</v>
      </c>
      <c r="K156" s="50"/>
      <c r="M156" s="23"/>
      <c r="N156" s="23"/>
    </row>
    <row r="157" spans="1:14" s="25" customFormat="1" ht="24">
      <c r="A157" s="72">
        <f>A156+1</f>
        <v>44</v>
      </c>
      <c r="B157" s="79">
        <v>767</v>
      </c>
      <c r="C157" s="80" t="s">
        <v>2449</v>
      </c>
      <c r="D157" s="80" t="s">
        <v>2450</v>
      </c>
      <c r="E157" s="79" t="s">
        <v>20</v>
      </c>
      <c r="F157" s="75">
        <f>F159</f>
        <v>51.2</v>
      </c>
      <c r="G157" s="71"/>
      <c r="H157" s="71">
        <f>ROUND(F157*G157,2)</f>
        <v>0</v>
      </c>
      <c r="I157" s="23"/>
      <c r="J157" s="42">
        <v>767</v>
      </c>
      <c r="K157" s="50">
        <f>ROUND(F157/1000,3)</f>
        <v>5.0999999999999997E-2</v>
      </c>
      <c r="M157" s="23"/>
      <c r="N157" s="23"/>
    </row>
    <row r="158" spans="1:14" s="25" customFormat="1" ht="22.5">
      <c r="A158" s="64"/>
      <c r="B158" s="1"/>
      <c r="C158" s="1"/>
      <c r="D158" s="59" t="s">
        <v>2451</v>
      </c>
      <c r="E158" s="200"/>
      <c r="F158" s="78">
        <f>4*12.8</f>
        <v>51.2</v>
      </c>
      <c r="G158" s="1"/>
      <c r="H158" s="65"/>
      <c r="I158" s="26"/>
      <c r="J158" s="40"/>
      <c r="K158" s="51"/>
      <c r="M158" s="23"/>
      <c r="N158" s="23"/>
    </row>
    <row r="159" spans="1:14" s="25" customFormat="1" ht="12">
      <c r="A159" s="64"/>
      <c r="B159" s="1"/>
      <c r="C159" s="1"/>
      <c r="D159" s="61" t="s">
        <v>26</v>
      </c>
      <c r="E159" s="62"/>
      <c r="F159" s="63">
        <f>SUM(F158:F158)</f>
        <v>51.2</v>
      </c>
      <c r="G159" s="1"/>
      <c r="H159" s="65"/>
      <c r="I159" s="26"/>
      <c r="J159" s="40"/>
      <c r="K159" s="51"/>
      <c r="M159" s="23"/>
      <c r="N159" s="23"/>
    </row>
    <row r="160" spans="1:14" s="25" customFormat="1" ht="24">
      <c r="A160" s="72">
        <f>A157+1</f>
        <v>45</v>
      </c>
      <c r="B160" s="191" t="s">
        <v>45</v>
      </c>
      <c r="C160" s="197" t="s">
        <v>2326</v>
      </c>
      <c r="D160" s="197" t="s">
        <v>2619</v>
      </c>
      <c r="E160" s="191" t="s">
        <v>20</v>
      </c>
      <c r="F160" s="195">
        <v>51.2</v>
      </c>
      <c r="G160" s="179"/>
      <c r="H160" s="179">
        <f t="shared" ref="H160" si="3">ROUND(F160*G160,2)</f>
        <v>0</v>
      </c>
      <c r="I160" s="23"/>
      <c r="J160" s="42">
        <v>767</v>
      </c>
      <c r="K160" s="50"/>
      <c r="M160" s="23"/>
      <c r="N160" s="23"/>
    </row>
    <row r="161" spans="1:17" s="25" customFormat="1" ht="24">
      <c r="A161" s="72">
        <f>A160+1</f>
        <v>46</v>
      </c>
      <c r="B161" s="79" t="s">
        <v>29</v>
      </c>
      <c r="C161" s="80" t="s">
        <v>2452</v>
      </c>
      <c r="D161" s="80" t="s">
        <v>2453</v>
      </c>
      <c r="E161" s="79" t="s">
        <v>20</v>
      </c>
      <c r="F161" s="75">
        <f>F163</f>
        <v>268.8</v>
      </c>
      <c r="G161" s="71"/>
      <c r="H161" s="71">
        <f>ROUND(F161*G161,2)</f>
        <v>0</v>
      </c>
      <c r="I161" s="23"/>
      <c r="J161" s="42">
        <v>767</v>
      </c>
      <c r="K161" s="50">
        <f>ROUND(F161/1000,3)</f>
        <v>0.26900000000000002</v>
      </c>
      <c r="M161" s="23"/>
      <c r="N161" s="23"/>
    </row>
    <row r="162" spans="1:17" s="25" customFormat="1" ht="22.5">
      <c r="A162" s="64"/>
      <c r="B162" s="1"/>
      <c r="C162" s="1"/>
      <c r="D162" s="59" t="s">
        <v>2454</v>
      </c>
      <c r="E162" s="60"/>
      <c r="F162" s="78">
        <f>8*33.6</f>
        <v>268.8</v>
      </c>
      <c r="G162" s="1"/>
      <c r="H162" s="65"/>
      <c r="I162" s="26"/>
      <c r="J162" s="40"/>
      <c r="K162" s="51"/>
      <c r="M162" s="23"/>
      <c r="N162" s="23"/>
    </row>
    <row r="163" spans="1:17" s="25" customFormat="1" ht="12">
      <c r="A163" s="64"/>
      <c r="B163" s="1"/>
      <c r="C163" s="1"/>
      <c r="D163" s="61" t="s">
        <v>26</v>
      </c>
      <c r="E163" s="62"/>
      <c r="F163" s="63">
        <f>SUM(F162:F162)</f>
        <v>268.8</v>
      </c>
      <c r="G163" s="1"/>
      <c r="H163" s="65"/>
      <c r="I163" s="26"/>
      <c r="J163" s="40"/>
      <c r="K163" s="51"/>
      <c r="M163" s="23"/>
      <c r="N163" s="23"/>
    </row>
    <row r="164" spans="1:17" s="25" customFormat="1" ht="24">
      <c r="A164" s="72">
        <f>A161+1</f>
        <v>47</v>
      </c>
      <c r="B164" s="191" t="s">
        <v>45</v>
      </c>
      <c r="C164" s="197" t="s">
        <v>2340</v>
      </c>
      <c r="D164" s="197" t="s">
        <v>2620</v>
      </c>
      <c r="E164" s="191" t="s">
        <v>20</v>
      </c>
      <c r="F164" s="195">
        <v>268.8</v>
      </c>
      <c r="G164" s="179"/>
      <c r="H164" s="179">
        <f t="shared" ref="H164" si="4">ROUND(F164*G164,2)</f>
        <v>0</v>
      </c>
      <c r="I164" s="23"/>
      <c r="J164" s="42">
        <v>767</v>
      </c>
      <c r="K164" s="50"/>
      <c r="M164" s="23"/>
      <c r="N164" s="23"/>
    </row>
    <row r="165" spans="1:17" s="24" customFormat="1" ht="23.25" customHeight="1">
      <c r="A165" s="11"/>
      <c r="B165" s="2"/>
      <c r="C165" s="14">
        <v>783</v>
      </c>
      <c r="D165" s="68" t="s">
        <v>80</v>
      </c>
      <c r="E165" s="69"/>
      <c r="F165" s="70"/>
      <c r="G165" s="2"/>
      <c r="H165" s="67">
        <f>SUM(H166:H171)</f>
        <v>0</v>
      </c>
      <c r="I165" s="46"/>
      <c r="J165" s="42">
        <v>783</v>
      </c>
      <c r="K165" s="51"/>
      <c r="L165" s="47"/>
      <c r="M165" s="23"/>
      <c r="N165" s="23"/>
      <c r="O165" s="25"/>
      <c r="P165" s="25"/>
    </row>
    <row r="166" spans="1:17" s="25" customFormat="1" ht="24">
      <c r="A166" s="72">
        <f>A164+1</f>
        <v>48</v>
      </c>
      <c r="B166" s="79">
        <v>783</v>
      </c>
      <c r="C166" s="80">
        <v>783726200</v>
      </c>
      <c r="D166" s="80" t="s">
        <v>2455</v>
      </c>
      <c r="E166" s="79" t="s">
        <v>13</v>
      </c>
      <c r="F166" s="75">
        <f>F168</f>
        <v>155.01</v>
      </c>
      <c r="G166" s="71"/>
      <c r="H166" s="71">
        <f>ROUND(F166*G166,2)</f>
        <v>0</v>
      </c>
      <c r="I166" s="23"/>
      <c r="J166" s="42">
        <v>783</v>
      </c>
      <c r="K166" s="50"/>
      <c r="L166" s="47"/>
      <c r="M166" s="23"/>
      <c r="N166" s="23"/>
    </row>
    <row r="167" spans="1:17" s="25" customFormat="1" ht="45">
      <c r="A167" s="64"/>
      <c r="B167" s="1"/>
      <c r="C167" s="1"/>
      <c r="D167" s="59" t="s">
        <v>2456</v>
      </c>
      <c r="E167" s="77"/>
      <c r="F167" s="57">
        <f>ROUND(6*4*0.1+2*2*0.1*0.1+34*4*0.12+2*12*0.12*0.12+20*4*0.16+2*20*0.16*0.16+110.4*2*(0.16+0.22)+19*2*0.16*0.22+20.8*4*0.2+8*2*0.2*0.2+5*6*2*2*0.16+5*6*2*0.06*0.1,2)</f>
        <v>155.01</v>
      </c>
      <c r="G167" s="1"/>
      <c r="H167" s="65"/>
      <c r="I167" s="26"/>
      <c r="J167" s="40"/>
      <c r="K167" s="51"/>
      <c r="L167" s="47"/>
      <c r="M167" s="23"/>
      <c r="N167" s="23"/>
    </row>
    <row r="168" spans="1:17" s="25" customFormat="1" ht="14.25">
      <c r="A168" s="64"/>
      <c r="B168" s="1"/>
      <c r="C168" s="1"/>
      <c r="D168" s="61" t="s">
        <v>26</v>
      </c>
      <c r="E168" s="62"/>
      <c r="F168" s="63">
        <f>SUM(F167:F167)</f>
        <v>155.01</v>
      </c>
      <c r="G168" s="1"/>
      <c r="H168" s="65"/>
      <c r="I168" s="26"/>
      <c r="J168" s="40"/>
      <c r="K168" s="51"/>
      <c r="L168" s="47"/>
      <c r="M168" s="23"/>
      <c r="N168" s="23"/>
    </row>
    <row r="169" spans="1:17" s="25" customFormat="1" ht="24">
      <c r="A169" s="72">
        <f>A166+1</f>
        <v>49</v>
      </c>
      <c r="B169" s="79">
        <v>783</v>
      </c>
      <c r="C169" s="186">
        <v>783782203</v>
      </c>
      <c r="D169" s="190" t="s">
        <v>2457</v>
      </c>
      <c r="E169" s="210" t="s">
        <v>13</v>
      </c>
      <c r="F169" s="211">
        <f>F171</f>
        <v>155.01</v>
      </c>
      <c r="G169" s="71"/>
      <c r="H169" s="71">
        <f>ROUND(F169*G169,2)</f>
        <v>0</v>
      </c>
      <c r="I169" s="23"/>
      <c r="J169" s="42">
        <v>783</v>
      </c>
      <c r="K169" s="50"/>
      <c r="M169" s="23"/>
      <c r="N169" s="23"/>
    </row>
    <row r="170" spans="1:17" s="25" customFormat="1" ht="12">
      <c r="A170" s="64"/>
      <c r="B170" s="1"/>
      <c r="C170" s="3"/>
      <c r="D170" s="59" t="s">
        <v>2458</v>
      </c>
      <c r="E170" s="212"/>
      <c r="F170" s="213">
        <f>F166</f>
        <v>155.01</v>
      </c>
      <c r="G170" s="1"/>
      <c r="H170" s="65"/>
      <c r="I170" s="26"/>
      <c r="J170" s="40"/>
      <c r="K170" s="51"/>
      <c r="M170" s="23"/>
      <c r="N170" s="23"/>
    </row>
    <row r="171" spans="1:17" s="25" customFormat="1" ht="12">
      <c r="A171" s="64"/>
      <c r="B171" s="1"/>
      <c r="C171" s="33"/>
      <c r="D171" s="214" t="s">
        <v>26</v>
      </c>
      <c r="E171" s="215"/>
      <c r="F171" s="216">
        <f>SUM(F170:F170)</f>
        <v>155.01</v>
      </c>
      <c r="G171" s="1"/>
      <c r="H171" s="65"/>
      <c r="I171" s="26"/>
      <c r="J171" s="40"/>
      <c r="K171" s="51"/>
      <c r="M171" s="23"/>
      <c r="N171" s="23"/>
    </row>
    <row r="172" spans="1:17" ht="12" customHeight="1">
      <c r="D172" s="19"/>
      <c r="E172" s="20"/>
      <c r="F172" s="21"/>
    </row>
    <row r="173" spans="1:17" s="50" customFormat="1" ht="18" customHeight="1">
      <c r="A173" s="33"/>
      <c r="B173" s="33"/>
      <c r="C173" s="33"/>
      <c r="D173" s="37" t="s">
        <v>23</v>
      </c>
      <c r="E173" s="34"/>
      <c r="F173" s="22"/>
      <c r="G173" s="35"/>
      <c r="H173" s="38">
        <f>SUM(H9,H112)</f>
        <v>0</v>
      </c>
      <c r="I173" s="23"/>
      <c r="J173" s="48" t="s">
        <v>46</v>
      </c>
      <c r="L173" s="24"/>
      <c r="M173" s="54"/>
      <c r="N173" s="54"/>
      <c r="O173" s="33"/>
      <c r="P173" s="33"/>
      <c r="Q173" s="33"/>
    </row>
  </sheetData>
  <mergeCells count="1">
    <mergeCell ref="A1:H1"/>
  </mergeCells>
  <printOptions horizontalCentered="1"/>
  <pageMargins left="0.59055118110236227" right="0.39370078740157483" top="0.59055118110236227" bottom="0.39370078740157483" header="0.31496062992125984" footer="0.11811023622047245"/>
  <pageSetup paperSize="9" scale="73" fitToHeight="0" orientation="portrait" horizontalDpi="4294967295" verticalDpi="4294967295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24</vt:i4>
      </vt:variant>
      <vt:variant>
        <vt:lpstr>Pomenované rozsahy</vt:lpstr>
      </vt:variant>
      <vt:variant>
        <vt:i4>4</vt:i4>
      </vt:variant>
    </vt:vector>
  </HeadingPairs>
  <TitlesOfParts>
    <vt:vector size="28" baseType="lpstr">
      <vt:lpstr>Krycí list</vt:lpstr>
      <vt:lpstr>Rekapitulácia</vt:lpstr>
      <vt:lpstr>SO 01-E1.1,2</vt:lpstr>
      <vt:lpstr>SO 01-E1.3</vt:lpstr>
      <vt:lpstr>SO 01-E1.4</vt:lpstr>
      <vt:lpstr>SO 01-E1.5</vt:lpstr>
      <vt:lpstr>SO 02</vt:lpstr>
      <vt:lpstr>SO 03</vt:lpstr>
      <vt:lpstr>SO 04</vt:lpstr>
      <vt:lpstr>SO 05</vt:lpstr>
      <vt:lpstr>SO 06</vt:lpstr>
      <vt:lpstr>SO 07</vt:lpstr>
      <vt:lpstr>SO 08</vt:lpstr>
      <vt:lpstr>SO 09</vt:lpstr>
      <vt:lpstr>SO 10</vt:lpstr>
      <vt:lpstr>SO 11</vt:lpstr>
      <vt:lpstr>SO 12-1</vt:lpstr>
      <vt:lpstr>SO 12-2</vt:lpstr>
      <vt:lpstr>SO 12-3</vt:lpstr>
      <vt:lpstr>SO 12-5</vt:lpstr>
      <vt:lpstr>SO 13</vt:lpstr>
      <vt:lpstr>SO 14</vt:lpstr>
      <vt:lpstr>SO 15</vt:lpstr>
      <vt:lpstr>leg.miestností</vt:lpstr>
      <vt:lpstr>leg.miestností!Názvy_tlače</vt:lpstr>
      <vt:lpstr>'SO 01-E1.1,2'!Názvy_tlače</vt:lpstr>
      <vt:lpstr>'SO 01-E1.1,2'!Oblasť_tlače</vt:lpstr>
      <vt:lpstr>'SO 01-E1.5'!Oblasť_tlače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Tataiova</dc:creator>
  <cp:lastModifiedBy>Mgr. Renata Gregušová</cp:lastModifiedBy>
  <cp:lastPrinted>2022-04-27T16:40:03Z</cp:lastPrinted>
  <dcterms:created xsi:type="dcterms:W3CDTF">2013-09-06T18:24:40Z</dcterms:created>
  <dcterms:modified xsi:type="dcterms:W3CDTF">2022-04-29T05:27:37Z</dcterms:modified>
</cp:coreProperties>
</file>