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4D1C537B-E38A-612A-F078-A93A15B4B7F4}"/>
  <workbookPr filterPrivacy="1" showInkAnnotation="0" codeName="Tento_zošit" hidePivotFieldList="1" defaultThemeVersion="124226"/>
  <bookViews>
    <workbookView xWindow="-120" yWindow="-120" windowWidth="29040" windowHeight="15840"/>
  </bookViews>
  <sheets>
    <sheet name="Výkaz_výmer" sheetId="4" r:id="rId1"/>
  </sheets>
  <definedNames>
    <definedName name="_xlnm.Print_Area" localSheetId="0">Výkaz_výmer!$A$1:$J$274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4" i="4" l="1"/>
  <c r="C272" i="4"/>
  <c r="E271" i="4"/>
  <c r="J271" i="4" s="1"/>
  <c r="I270" i="4"/>
  <c r="J270" i="4" s="1"/>
  <c r="E270" i="4"/>
  <c r="G270" i="4" s="1"/>
  <c r="J269" i="4"/>
  <c r="G269" i="4"/>
  <c r="E269" i="4"/>
  <c r="G268" i="4"/>
  <c r="E268" i="4"/>
  <c r="J268" i="4" s="1"/>
  <c r="E267" i="4"/>
  <c r="J267" i="4" s="1"/>
  <c r="E266" i="4"/>
  <c r="G266" i="4" s="1"/>
  <c r="I265" i="4"/>
  <c r="E264" i="4"/>
  <c r="J264" i="4" s="1"/>
  <c r="C260" i="4"/>
  <c r="J259" i="4"/>
  <c r="G259" i="4"/>
  <c r="J258" i="4"/>
  <c r="G258" i="4"/>
  <c r="J257" i="4"/>
  <c r="G257" i="4"/>
  <c r="J256" i="4"/>
  <c r="G256" i="4"/>
  <c r="J255" i="4"/>
  <c r="G255" i="4"/>
  <c r="J254" i="4"/>
  <c r="G254" i="4"/>
  <c r="J253" i="4"/>
  <c r="G253" i="4"/>
  <c r="J252" i="4"/>
  <c r="G252" i="4"/>
  <c r="J251" i="4"/>
  <c r="G251" i="4"/>
  <c r="J250" i="4"/>
  <c r="G250" i="4"/>
  <c r="J249" i="4"/>
  <c r="G249" i="4"/>
  <c r="J248" i="4"/>
  <c r="G248" i="4"/>
  <c r="J247" i="4"/>
  <c r="G247" i="4"/>
  <c r="J246" i="4"/>
  <c r="G246" i="4"/>
  <c r="J245" i="4"/>
  <c r="G245" i="4"/>
  <c r="C244" i="4"/>
  <c r="C243" i="4"/>
  <c r="J242" i="4"/>
  <c r="G242" i="4"/>
  <c r="I241" i="4"/>
  <c r="J241" i="4" s="1"/>
  <c r="G241" i="4"/>
  <c r="C240" i="4"/>
  <c r="I239" i="4"/>
  <c r="J239" i="4" s="1"/>
  <c r="G239" i="4"/>
  <c r="I238" i="4"/>
  <c r="J238" i="4" s="1"/>
  <c r="G238" i="4"/>
  <c r="I237" i="4"/>
  <c r="J237" i="4" s="1"/>
  <c r="G237" i="4"/>
  <c r="I236" i="4"/>
  <c r="J236" i="4" s="1"/>
  <c r="G236" i="4"/>
  <c r="I235" i="4"/>
  <c r="J235" i="4" s="1"/>
  <c r="G235" i="4"/>
  <c r="I234" i="4"/>
  <c r="J234" i="4" s="1"/>
  <c r="G234" i="4"/>
  <c r="I233" i="4"/>
  <c r="J233" i="4" s="1"/>
  <c r="G233" i="4"/>
  <c r="I232" i="4"/>
  <c r="J232" i="4" s="1"/>
  <c r="G232" i="4"/>
  <c r="I231" i="4"/>
  <c r="J231" i="4" s="1"/>
  <c r="G231" i="4"/>
  <c r="I230" i="4"/>
  <c r="J230" i="4" s="1"/>
  <c r="G230" i="4"/>
  <c r="I229" i="4"/>
  <c r="J229" i="4" s="1"/>
  <c r="G229" i="4"/>
  <c r="I228" i="4"/>
  <c r="J228" i="4" s="1"/>
  <c r="G228" i="4"/>
  <c r="I227" i="4"/>
  <c r="J227" i="4" s="1"/>
  <c r="G227" i="4"/>
  <c r="I226" i="4"/>
  <c r="J226" i="4" s="1"/>
  <c r="G226" i="4"/>
  <c r="I225" i="4"/>
  <c r="J225" i="4" s="1"/>
  <c r="G225" i="4"/>
  <c r="I224" i="4"/>
  <c r="J224" i="4" s="1"/>
  <c r="G224" i="4"/>
  <c r="I223" i="4"/>
  <c r="J223" i="4" s="1"/>
  <c r="G223" i="4"/>
  <c r="I222" i="4"/>
  <c r="J222" i="4" s="1"/>
  <c r="G222" i="4"/>
  <c r="C221" i="4"/>
  <c r="C220" i="4"/>
  <c r="E217" i="4"/>
  <c r="H217" i="4" s="1"/>
  <c r="E216" i="4"/>
  <c r="H216" i="4" s="1"/>
  <c r="E215" i="4"/>
  <c r="H215" i="4" s="1"/>
  <c r="H214" i="4"/>
  <c r="E213" i="4"/>
  <c r="H213" i="4" s="1"/>
  <c r="E212" i="4"/>
  <c r="H212" i="4" s="1"/>
  <c r="E211" i="4"/>
  <c r="H211" i="4" s="1"/>
  <c r="H210" i="4"/>
  <c r="E209" i="4"/>
  <c r="H209" i="4" s="1"/>
  <c r="E207" i="4"/>
  <c r="H207" i="4" s="1"/>
  <c r="E206" i="4"/>
  <c r="H206" i="4" s="1"/>
  <c r="E205" i="4"/>
  <c r="H205" i="4" s="1"/>
  <c r="E203" i="4"/>
  <c r="E202" i="4"/>
  <c r="H202" i="4" s="1"/>
  <c r="E201" i="4"/>
  <c r="H201" i="4" s="1"/>
  <c r="E200" i="4"/>
  <c r="H200" i="4" s="1"/>
  <c r="E199" i="4"/>
  <c r="H199" i="4" s="1"/>
  <c r="E198" i="4"/>
  <c r="H198" i="4" s="1"/>
  <c r="H197" i="4"/>
  <c r="H195" i="4"/>
  <c r="H194" i="4"/>
  <c r="E194" i="4"/>
  <c r="E193" i="4"/>
  <c r="H193" i="4" s="1"/>
  <c r="D185" i="4"/>
  <c r="E178" i="4"/>
  <c r="J178" i="4" s="1"/>
  <c r="E177" i="4"/>
  <c r="H177" i="4" s="1"/>
  <c r="E173" i="4"/>
  <c r="H173" i="4" s="1"/>
  <c r="H168" i="4"/>
  <c r="E168" i="4"/>
  <c r="E169" i="4" s="1"/>
  <c r="H165" i="4"/>
  <c r="E165" i="4"/>
  <c r="E166" i="4" s="1"/>
  <c r="H166" i="4" s="1"/>
  <c r="H164" i="4"/>
  <c r="E161" i="4"/>
  <c r="E162" i="4" s="1"/>
  <c r="J160" i="4"/>
  <c r="H160" i="4"/>
  <c r="D155" i="4"/>
  <c r="H151" i="4"/>
  <c r="H150" i="4"/>
  <c r="H149" i="4"/>
  <c r="H147" i="4"/>
  <c r="E147" i="4"/>
  <c r="E146" i="4"/>
  <c r="G146" i="4" s="1"/>
  <c r="G145" i="4"/>
  <c r="E143" i="4"/>
  <c r="H143" i="4" s="1"/>
  <c r="E142" i="4"/>
  <c r="G142" i="4" s="1"/>
  <c r="G141" i="4"/>
  <c r="D136" i="4"/>
  <c r="H132" i="4"/>
  <c r="E130" i="4"/>
  <c r="H130" i="4" s="1"/>
  <c r="E129" i="4"/>
  <c r="H129" i="4" s="1"/>
  <c r="H128" i="4"/>
  <c r="H127" i="4"/>
  <c r="E127" i="4"/>
  <c r="E128" i="4" s="1"/>
  <c r="H126" i="4"/>
  <c r="E126" i="4"/>
  <c r="H125" i="4"/>
  <c r="H124" i="4"/>
  <c r="E124" i="4"/>
  <c r="E121" i="4"/>
  <c r="J121" i="4" s="1"/>
  <c r="E119" i="4"/>
  <c r="H119" i="4" s="1"/>
  <c r="G118" i="4"/>
  <c r="H117" i="4"/>
  <c r="E117" i="4"/>
  <c r="G116" i="4"/>
  <c r="G134" i="4" s="1"/>
  <c r="I134" i="4" s="1"/>
  <c r="D112" i="4"/>
  <c r="H108" i="4"/>
  <c r="E106" i="4"/>
  <c r="H106" i="4" s="1"/>
  <c r="G105" i="4"/>
  <c r="E104" i="4"/>
  <c r="H104" i="4" s="1"/>
  <c r="G103" i="4"/>
  <c r="E102" i="4"/>
  <c r="H102" i="4" s="1"/>
  <c r="G101" i="4"/>
  <c r="E100" i="4"/>
  <c r="H100" i="4" s="1"/>
  <c r="G99" i="4"/>
  <c r="D96" i="4"/>
  <c r="H92" i="4"/>
  <c r="E90" i="4"/>
  <c r="H90" i="4" s="1"/>
  <c r="G89" i="4"/>
  <c r="E88" i="4"/>
  <c r="H88" i="4" s="1"/>
  <c r="G87" i="4"/>
  <c r="E86" i="4"/>
  <c r="H86" i="4" s="1"/>
  <c r="G85" i="4"/>
  <c r="E84" i="4"/>
  <c r="H84" i="4" s="1"/>
  <c r="G83" i="4"/>
  <c r="D80" i="4"/>
  <c r="H76" i="4"/>
  <c r="H75" i="4"/>
  <c r="H74" i="4"/>
  <c r="H73" i="4"/>
  <c r="E71" i="4"/>
  <c r="H71" i="4" s="1"/>
  <c r="G70" i="4"/>
  <c r="E69" i="4"/>
  <c r="H69" i="4" s="1"/>
  <c r="G68" i="4"/>
  <c r="G67" i="4"/>
  <c r="D64" i="4"/>
  <c r="H60" i="4"/>
  <c r="H59" i="4"/>
  <c r="H58" i="4"/>
  <c r="H57" i="4"/>
  <c r="H55" i="4"/>
  <c r="E55" i="4"/>
  <c r="G54" i="4"/>
  <c r="H53" i="4"/>
  <c r="E53" i="4"/>
  <c r="G52" i="4"/>
  <c r="G51" i="4"/>
  <c r="E50" i="4"/>
  <c r="H50" i="4" s="1"/>
  <c r="G49" i="4"/>
  <c r="E48" i="4"/>
  <c r="H48" i="4" s="1"/>
  <c r="G47" i="4"/>
  <c r="G46" i="4"/>
  <c r="D42" i="4"/>
  <c r="E40" i="4"/>
  <c r="H40" i="4" s="1"/>
  <c r="A40" i="4"/>
  <c r="H39" i="4"/>
  <c r="E39" i="4"/>
  <c r="A39" i="4"/>
  <c r="J38" i="4"/>
  <c r="H38" i="4"/>
  <c r="A38" i="4"/>
  <c r="A37" i="4"/>
  <c r="A36" i="4"/>
  <c r="A35" i="4"/>
  <c r="E34" i="4"/>
  <c r="J34" i="4" s="1"/>
  <c r="A34" i="4"/>
  <c r="J32" i="4"/>
  <c r="H32" i="4"/>
  <c r="A32" i="4"/>
  <c r="A30" i="4"/>
  <c r="A27" i="4"/>
  <c r="D19" i="4"/>
  <c r="D18" i="4"/>
  <c r="D17" i="4"/>
  <c r="D16" i="4"/>
  <c r="D15" i="4"/>
  <c r="D14" i="4"/>
  <c r="D13" i="4"/>
  <c r="D12" i="4"/>
  <c r="D11" i="4"/>
  <c r="G267" i="4" l="1"/>
  <c r="E265" i="4"/>
  <c r="J265" i="4" s="1"/>
  <c r="G94" i="4"/>
  <c r="I94" i="4" s="1"/>
  <c r="H203" i="4"/>
  <c r="E262" i="4"/>
  <c r="J262" i="4" s="1"/>
  <c r="H34" i="4"/>
  <c r="G271" i="4"/>
  <c r="J266" i="4"/>
  <c r="G260" i="4"/>
  <c r="I260" i="4" s="1"/>
  <c r="H152" i="4"/>
  <c r="J152" i="4" s="1"/>
  <c r="G153" i="4"/>
  <c r="I153" i="4" s="1"/>
  <c r="H109" i="4"/>
  <c r="J109" i="4" s="1"/>
  <c r="H93" i="4"/>
  <c r="J93" i="4" s="1"/>
  <c r="H61" i="4"/>
  <c r="J61" i="4" s="1"/>
  <c r="E170" i="4"/>
  <c r="H169" i="4"/>
  <c r="G62" i="4"/>
  <c r="I62" i="4" s="1"/>
  <c r="H77" i="4"/>
  <c r="J77" i="4" s="1"/>
  <c r="G265" i="4"/>
  <c r="J260" i="4"/>
  <c r="E35" i="4"/>
  <c r="H162" i="4"/>
  <c r="E163" i="4"/>
  <c r="H163" i="4" s="1"/>
  <c r="E174" i="4"/>
  <c r="E181" i="4"/>
  <c r="E30" i="4"/>
  <c r="H30" i="4" s="1"/>
  <c r="E122" i="4"/>
  <c r="H122" i="4" s="1"/>
  <c r="E179" i="4"/>
  <c r="G264" i="4"/>
  <c r="G110" i="4"/>
  <c r="I110" i="4" s="1"/>
  <c r="H161" i="4"/>
  <c r="E123" i="4"/>
  <c r="H123" i="4" s="1"/>
  <c r="J161" i="4"/>
  <c r="E175" i="4"/>
  <c r="E263" i="4"/>
  <c r="H121" i="4"/>
  <c r="E171" i="4"/>
  <c r="G178" i="4"/>
  <c r="G262" i="4" l="1"/>
  <c r="E189" i="4"/>
  <c r="F155" i="4"/>
  <c r="J155" i="4" s="1"/>
  <c r="F96" i="4"/>
  <c r="F14" i="4" s="1"/>
  <c r="H14" i="4" s="1"/>
  <c r="F64" i="4"/>
  <c r="F12" i="4" s="1"/>
  <c r="G78" i="4"/>
  <c r="I78" i="4" s="1"/>
  <c r="J189" i="4"/>
  <c r="H189" i="4"/>
  <c r="E190" i="4"/>
  <c r="H190" i="4" s="1"/>
  <c r="J181" i="4"/>
  <c r="G181" i="4"/>
  <c r="F112" i="4"/>
  <c r="J174" i="4"/>
  <c r="G174" i="4"/>
  <c r="E36" i="4"/>
  <c r="H36" i="4" s="1"/>
  <c r="H35" i="4"/>
  <c r="E37" i="4"/>
  <c r="H37" i="4" s="1"/>
  <c r="E180" i="4"/>
  <c r="H179" i="4"/>
  <c r="H133" i="4"/>
  <c r="J133" i="4" s="1"/>
  <c r="H171" i="4"/>
  <c r="E172" i="4"/>
  <c r="J263" i="4"/>
  <c r="J272" i="4" s="1"/>
  <c r="G263" i="4"/>
  <c r="E176" i="4"/>
  <c r="H175" i="4"/>
  <c r="J170" i="4"/>
  <c r="G170" i="4"/>
  <c r="E192" i="4" l="1"/>
  <c r="H192" i="4" s="1"/>
  <c r="G272" i="4"/>
  <c r="I272" i="4" s="1"/>
  <c r="F17" i="4"/>
  <c r="H17" i="4" s="1"/>
  <c r="H155" i="4"/>
  <c r="J96" i="4"/>
  <c r="J14" i="4"/>
  <c r="H96" i="4"/>
  <c r="H64" i="4"/>
  <c r="J64" i="4"/>
  <c r="F80" i="4"/>
  <c r="H80" i="4" s="1"/>
  <c r="F42" i="4"/>
  <c r="H112" i="4"/>
  <c r="F15" i="4"/>
  <c r="J112" i="4"/>
  <c r="J180" i="4"/>
  <c r="G180" i="4"/>
  <c r="E191" i="4"/>
  <c r="H191" i="4" s="1"/>
  <c r="F136" i="4"/>
  <c r="J12" i="4"/>
  <c r="H12" i="4"/>
  <c r="J172" i="4"/>
  <c r="G172" i="4"/>
  <c r="J176" i="4"/>
  <c r="G176" i="4"/>
  <c r="E159" i="4" l="1"/>
  <c r="H159" i="4" s="1"/>
  <c r="H218" i="4"/>
  <c r="J218" i="4" s="1"/>
  <c r="G183" i="4"/>
  <c r="I183" i="4" s="1"/>
  <c r="J17" i="4"/>
  <c r="A146" i="4"/>
  <c r="J80" i="4"/>
  <c r="F13" i="4"/>
  <c r="J13" i="4" s="1"/>
  <c r="A54" i="4"/>
  <c r="A60" i="4"/>
  <c r="A57" i="4"/>
  <c r="A67" i="4"/>
  <c r="A171" i="4"/>
  <c r="A166" i="4"/>
  <c r="A69" i="4"/>
  <c r="A89" i="4"/>
  <c r="A123" i="4"/>
  <c r="A46" i="4"/>
  <c r="A179" i="4"/>
  <c r="A92" i="4"/>
  <c r="A102" i="4"/>
  <c r="A126" i="4"/>
  <c r="A122" i="4"/>
  <c r="A163" i="4"/>
  <c r="A116" i="4"/>
  <c r="A83" i="4"/>
  <c r="A75" i="4"/>
  <c r="A90" i="4"/>
  <c r="A119" i="4"/>
  <c r="A147" i="4"/>
  <c r="A100" i="4"/>
  <c r="A50" i="4"/>
  <c r="A84" i="4"/>
  <c r="A162" i="4"/>
  <c r="A125" i="4"/>
  <c r="A49" i="4"/>
  <c r="A103" i="4"/>
  <c r="A51" i="4"/>
  <c r="A149" i="4"/>
  <c r="A71" i="4"/>
  <c r="A132" i="4"/>
  <c r="A101" i="4"/>
  <c r="F11" i="4"/>
  <c r="J11" i="4" s="1"/>
  <c r="A161" i="4"/>
  <c r="A47" i="4"/>
  <c r="J42" i="4"/>
  <c r="A170" i="4"/>
  <c r="A129" i="4"/>
  <c r="H42" i="4"/>
  <c r="A76" i="4"/>
  <c r="A48" i="4"/>
  <c r="A105" i="4"/>
  <c r="A87" i="4"/>
  <c r="A55" i="4"/>
  <c r="A58" i="4"/>
  <c r="A68" i="4"/>
  <c r="A73" i="4"/>
  <c r="A88" i="4"/>
  <c r="A177" i="4"/>
  <c r="A99" i="4"/>
  <c r="A85" i="4"/>
  <c r="A127" i="4"/>
  <c r="A145" i="4"/>
  <c r="A117" i="4"/>
  <c r="A106" i="4"/>
  <c r="A142" i="4"/>
  <c r="A121" i="4"/>
  <c r="A74" i="4"/>
  <c r="A53" i="4"/>
  <c r="A86" i="4"/>
  <c r="A141" i="4"/>
  <c r="A118" i="4"/>
  <c r="A104" i="4"/>
  <c r="A52" i="4"/>
  <c r="A70" i="4"/>
  <c r="A124" i="4"/>
  <c r="A108" i="4"/>
  <c r="A130" i="4"/>
  <c r="A59" i="4"/>
  <c r="A160" i="4"/>
  <c r="H182" i="4"/>
  <c r="J182" i="4" s="1"/>
  <c r="J136" i="4"/>
  <c r="F16" i="4"/>
  <c r="H136" i="4"/>
  <c r="A172" i="4"/>
  <c r="A159" i="4"/>
  <c r="A144" i="4"/>
  <c r="A169" i="4"/>
  <c r="A150" i="4"/>
  <c r="J15" i="4"/>
  <c r="H15" i="4"/>
  <c r="A164" i="4"/>
  <c r="A173" i="4"/>
  <c r="A176" i="4"/>
  <c r="A174" i="4"/>
  <c r="F274" i="4"/>
  <c r="A168" i="4"/>
  <c r="A165" i="4"/>
  <c r="A181" i="4"/>
  <c r="H11" i="4"/>
  <c r="A143" i="4"/>
  <c r="A175" i="4"/>
  <c r="H13" i="4"/>
  <c r="A151" i="4"/>
  <c r="A180" i="4"/>
  <c r="J274" i="4" l="1"/>
  <c r="H274" i="4"/>
  <c r="F19" i="4"/>
  <c r="J16" i="4"/>
  <c r="H16" i="4"/>
  <c r="F185" i="4"/>
  <c r="J185" i="4" l="1"/>
  <c r="H185" i="4"/>
  <c r="F18" i="4"/>
  <c r="A266" i="4"/>
  <c r="A259" i="4"/>
  <c r="A227" i="4"/>
  <c r="A214" i="4"/>
  <c r="A226" i="4"/>
  <c r="A191" i="4"/>
  <c r="A267" i="4"/>
  <c r="A194" i="4"/>
  <c r="A229" i="4"/>
  <c r="A239" i="4"/>
  <c r="A223" i="4"/>
  <c r="A241" i="4"/>
  <c r="A209" i="4"/>
  <c r="A269" i="4"/>
  <c r="A235" i="4"/>
  <c r="A197" i="4"/>
  <c r="A224" i="4"/>
  <c r="A231" i="4"/>
  <c r="A212" i="4"/>
  <c r="A255" i="4"/>
  <c r="A198" i="4"/>
  <c r="A192" i="4"/>
  <c r="A247" i="4"/>
  <c r="A210" i="4"/>
  <c r="A217" i="4"/>
  <c r="A199" i="4"/>
  <c r="A249" i="4"/>
  <c r="A262" i="4"/>
  <c r="A271" i="4"/>
  <c r="A215" i="4"/>
  <c r="A230" i="4"/>
  <c r="A242" i="4"/>
  <c r="A268" i="4"/>
  <c r="A222" i="4"/>
  <c r="A250" i="4"/>
  <c r="A190" i="4"/>
  <c r="A203" i="4"/>
  <c r="A216" i="4"/>
  <c r="A256" i="4"/>
  <c r="A265" i="4"/>
  <c r="A211" i="4"/>
  <c r="A238" i="4"/>
  <c r="A253" i="4"/>
  <c r="A200" i="4"/>
  <c r="A189" i="4"/>
  <c r="A207" i="4"/>
  <c r="A225" i="4"/>
  <c r="A236" i="4"/>
  <c r="A202" i="4"/>
  <c r="A246" i="4"/>
  <c r="A228" i="4"/>
  <c r="A206" i="4"/>
  <c r="A248" i="4"/>
  <c r="A263" i="4"/>
  <c r="A234" i="4"/>
  <c r="A251" i="4"/>
  <c r="A245" i="4"/>
  <c r="A252" i="4"/>
  <c r="A257" i="4"/>
  <c r="A270" i="4"/>
  <c r="A213" i="4"/>
  <c r="A201" i="4"/>
  <c r="A258" i="4"/>
  <c r="A195" i="4"/>
  <c r="A237" i="4"/>
  <c r="A233" i="4"/>
  <c r="A193" i="4"/>
  <c r="A232" i="4"/>
  <c r="A205" i="4"/>
  <c r="A254" i="4"/>
  <c r="A264" i="4"/>
  <c r="J19" i="4"/>
  <c r="H19" i="4"/>
  <c r="J18" i="4" l="1"/>
  <c r="H18" i="4"/>
  <c r="F20" i="4"/>
  <c r="J20" i="4" l="1"/>
  <c r="H20" i="4"/>
</calcChain>
</file>

<file path=xl/sharedStrings.xml><?xml version="1.0" encoding="utf-8"?>
<sst xmlns="http://schemas.openxmlformats.org/spreadsheetml/2006/main" count="1024" uniqueCount="230">
  <si>
    <t>Číslo položky cenníka</t>
  </si>
  <si>
    <t>Skrátený popis</t>
  </si>
  <si>
    <t>ks</t>
  </si>
  <si>
    <t>t</t>
  </si>
  <si>
    <t>Výsadba drevín s balom so zaliatím pri ø balu – do 200 mm</t>
  </si>
  <si>
    <t>m</t>
  </si>
  <si>
    <t xml:space="preserve"> </t>
  </si>
  <si>
    <t>Plošná úprava terénu pri nerovnostiach ± 10 cm</t>
  </si>
  <si>
    <t>bal</t>
  </si>
  <si>
    <t>kg</t>
  </si>
  <si>
    <t>Výsadba drevín s balom so zaliatím pri ø balu – do 800 mm</t>
  </si>
  <si>
    <t>m³</t>
  </si>
  <si>
    <t>-</t>
  </si>
  <si>
    <t>Uviazanie dreviny ku kolom</t>
  </si>
  <si>
    <t>m²</t>
  </si>
  <si>
    <t>Presun hmôt pre sadové úpravy - vnútrostaveniskový</t>
  </si>
  <si>
    <t>bez DPH:</t>
  </si>
  <si>
    <t>s DPH:</t>
  </si>
  <si>
    <t>s DPH :</t>
  </si>
  <si>
    <t>Rastlinný materiál</t>
  </si>
  <si>
    <t>Ostatný materiál</t>
  </si>
  <si>
    <t>Práce - spolu:</t>
  </si>
  <si>
    <t>Voda</t>
  </si>
  <si>
    <t>Vyzdvihnutie dreviny k presadeniu pri ø balu 600 -1000 mm</t>
  </si>
  <si>
    <t>Obrobenie pôdy prekopaním, hĺbky do 10 cm</t>
  </si>
  <si>
    <t>mont</t>
  </si>
  <si>
    <t>m³*km</t>
  </si>
  <si>
    <t xml:space="preserve"> + 20% DPH:</t>
  </si>
  <si>
    <t>Osadenie kolu dĺžky do 3 m (3 na strom)</t>
  </si>
  <si>
    <t>Presun hmôt - vnútrostaveniskový</t>
  </si>
  <si>
    <t>Rozpočet nezahrňuje údržbu a povýsadbovú starostlivosť: v prvom roku výsadby je zálievka sadeníc nevyhnutná.</t>
  </si>
  <si>
    <t>Návrh nezahrňuje lišty na oddelenie mulčovaných plôch kríkových záhonov a ráta s postupným zarastením trávnika po okrajoch.</t>
  </si>
  <si>
    <t>Vhodné kultivarové zámeny navrhovaného sortimentu sú prípustné.</t>
  </si>
  <si>
    <t>Kôl - polovica 250cm (1 na strom)</t>
  </si>
  <si>
    <t>Poradie položky</t>
  </si>
  <si>
    <t>Práce - Výsadba stromov</t>
  </si>
  <si>
    <t>Práce - Výsadba krov</t>
  </si>
  <si>
    <t>18 1 301 104</t>
  </si>
  <si>
    <t>Vodorovné premiestnením ornice do 10 000 m</t>
  </si>
  <si>
    <t xml:space="preserve">Mulčovanie kôrou – do 10 cm </t>
  </si>
  <si>
    <t>Zemina - kompostovaný substrát - pre hĺbenie jám s výmenou pôdy</t>
  </si>
  <si>
    <t>Množstvo
[m.j]</t>
  </si>
  <si>
    <t>Materiál -
Dodávka
[€ bez DPH]</t>
  </si>
  <si>
    <t>Práce - 
montáž
[€ bez DPH]</t>
  </si>
  <si>
    <t xml:space="preserve">                      Náklady</t>
  </si>
  <si>
    <t xml:space="preserve">                          Hmotnosť</t>
  </si>
  <si>
    <t>Jednotková cena
[€ bez DPH/m.j.]</t>
  </si>
  <si>
    <t>Merná jednotka (m.j.)</t>
  </si>
  <si>
    <t>Jednotková hmotnosť
 [...]</t>
  </si>
  <si>
    <t>Celková hmotnosť
 [t]</t>
  </si>
  <si>
    <t>Mulčovacia kôra (80l bal), alebo vhodný ekvivalent
(7cm)</t>
  </si>
  <si>
    <t>Koly 250cm x 5 cm s hrotom (3 na strom)</t>
  </si>
  <si>
    <t xml:space="preserve">Spolu rekapitulácia: </t>
  </si>
  <si>
    <t>Prípravné práce - Práce a materiál</t>
  </si>
  <si>
    <t>Vodorovné premiestnenie výkopku do 50 m</t>
  </si>
  <si>
    <t>Príplatok za každý ďalší 1km</t>
  </si>
  <si>
    <t>MAT</t>
  </si>
  <si>
    <t>181 10 1102</t>
  </si>
  <si>
    <t>Štrkodrva fr. 16-32 mm s dodávkou</t>
  </si>
  <si>
    <t>Podklad zo štrkodrvy s rozprestretím a zhutnením hr. do 50 mm</t>
  </si>
  <si>
    <t>Štrkodrva fr. 8-16 mm s dodávkou</t>
  </si>
  <si>
    <t>Vápencová drva fr. 0-4 mm s dodávkou</t>
  </si>
  <si>
    <t>Úprava pláne v hornine tr. 1-4 so zhutnením
(šírka chodníka 1,6m)</t>
  </si>
  <si>
    <t>Zálievka - nad 20 m² 
(kropenie pochôdznej vrstvy pri hutnení: 10l /m²)</t>
  </si>
  <si>
    <t>Jutový pás, rolka šírky 1,1m
(ochrana kmeňa v mieste úväzu kotvenia - dotyku kmeňa a popruhu)</t>
  </si>
  <si>
    <t>Popruh - kotviaci pás pre úväz kotvenia stromov, šírka min. 30 mm (bal 50m )</t>
  </si>
  <si>
    <t>Práce - ostatné</t>
  </si>
  <si>
    <t xml:space="preserve">Voda </t>
  </si>
  <si>
    <t xml:space="preserve"> + príplatok za každých 1 000 m</t>
  </si>
  <si>
    <t xml:space="preserve">Investor: Mesto Košice, Trieda SNP 48/A, 040 11 Košice
</t>
  </si>
  <si>
    <t xml:space="preserve"> 1 Asanácie - búracie práce</t>
  </si>
  <si>
    <t>Materiál - spolu:</t>
  </si>
  <si>
    <t>Acer platanoides Royal Red</t>
  </si>
  <si>
    <t>Celtis occidentalis</t>
  </si>
  <si>
    <t>Fraxinus excelsior Altena</t>
  </si>
  <si>
    <t>Fraxinus ornus</t>
  </si>
  <si>
    <t>Koelreuteria paniculata</t>
  </si>
  <si>
    <t>Liquidambar styraciflua</t>
  </si>
  <si>
    <t>Tilia cordata Greenspire</t>
  </si>
  <si>
    <t>Deutzia x hybrida Mont Rose</t>
  </si>
  <si>
    <t>Philadelphus coronarius</t>
  </si>
  <si>
    <t>minimálna veľkosť:</t>
  </si>
  <si>
    <t>14-16</t>
  </si>
  <si>
    <t>60-80</t>
  </si>
  <si>
    <t>Magnolia x soulangeana (prípadne viackmeň 350cm)</t>
  </si>
  <si>
    <t>Inštalácia mobiliáru</t>
  </si>
  <si>
    <t>Parkový odpadkový kôš:</t>
  </si>
  <si>
    <t>Ostatné práce:</t>
  </si>
  <si>
    <t>Doprava tovaru na miesto určenia</t>
  </si>
  <si>
    <t>Doprava montážnikov</t>
  </si>
  <si>
    <t>Doprava montážnikov v predstihu na vybudovanie spodných stavieb</t>
  </si>
  <si>
    <t>Poplatok za ulož.a znešk.stav.odp na urč.sklád.-hlušina a kamenivo "O"- ost.odpad</t>
  </si>
  <si>
    <t>Demontáž jestvujúceho mobiliáru alebo ihriskových prvkov  - lavičiek a košov alebo iných drobných technických prvkov + zásyp jám pôvodnou zeminou</t>
  </si>
  <si>
    <t>183 40 3153</t>
  </si>
  <si>
    <t xml:space="preserve">Uhrabanie 2x </t>
  </si>
  <si>
    <t>183 40 3161</t>
  </si>
  <si>
    <t>Valcovanie 2x</t>
  </si>
  <si>
    <t>185 80 4312</t>
  </si>
  <si>
    <t>Zálievka nad 20 m² (0,01m³ / m²)</t>
  </si>
  <si>
    <t xml:space="preserve">Zodpovedný projektant: Ing. Arch. Alexander Lami 
</t>
  </si>
  <si>
    <t xml:space="preserve">Revitalizácia verejného priestranstva a parku pri Lidickom námestí - Košice
</t>
  </si>
  <si>
    <t>2 Plocha A - detské ihrisko</t>
  </si>
  <si>
    <t>3 Plocha B - detské ihrisko</t>
  </si>
  <si>
    <t>4 Plocha C - fitness ihrisko</t>
  </si>
  <si>
    <t>Výsadbu je vhodné realizovať až po dokončení stavebných prác.</t>
  </si>
  <si>
    <t>MAT+mont</t>
  </si>
  <si>
    <t>Dopadová plocha oválneho tvaru - praný štrk 30cm. Bez použitia obrubníkov. Certifikovaná do výšky pádu 2,9m. Odporúčaná farba - sivá. 38m2.
- stavebné práce na podloží (výkop zeminy, odvoz zeminy do 10km - bez poplatku za uskladnenie, montáž,
doprava materiálu)
- vymývaný riečny štrk - dodávka a montáž</t>
  </si>
  <si>
    <t>5 Plocha D - agility kynologické ihrisko - hracie prvky</t>
  </si>
  <si>
    <t>6 Plocha D - agility kynologické ihrisko - ostatné</t>
  </si>
  <si>
    <t>Lokalita: mestská časť Košice - Dargovských Hrdinov, katastrálne územie: Furča</t>
  </si>
  <si>
    <t>Nakladanie a doprava vybúraných hmôt, do 5 km (lavičky, konštrukcie pieskovísk, základy)</t>
  </si>
  <si>
    <t>Búranie betónových plôch, konštrukcií vrátane podkladu po úroveň rastlého terénu
-pieskovisko 2ks (1ks:  16 m² * 0.5m)
-odstránený rad betónov (štvorcového tvaru) cca: 29 ks (1ks cca: 0.6*0.6*0.4) 
-ďalšie betóny (cca 5m3)</t>
  </si>
  <si>
    <t>Asanácie - Mobiliár</t>
  </si>
  <si>
    <t>Asanácie - Pieskoviská 2ks a ostatné</t>
  </si>
  <si>
    <t>Doprava montážnikov a tovaru na miesto určenia a odvoz zeminy</t>
  </si>
  <si>
    <t>7 Lavičky a koše</t>
  </si>
  <si>
    <t>Vytvorenie pochôdznej vrstv v okolí lavičky kde trávnik nie je udržateľný</t>
  </si>
  <si>
    <t>Dovoz vody pre zálievku rastlín do 20 km</t>
  </si>
  <si>
    <t>Acer platanoides Drummondii</t>
  </si>
  <si>
    <t>Acer saccharinum</t>
  </si>
  <si>
    <t>Fagus sylvatica Tricolor</t>
  </si>
  <si>
    <t>Platanus x acerifolia</t>
  </si>
  <si>
    <t>Prunus serrulata Kanzan</t>
  </si>
  <si>
    <t>Sorbus aria Magnifica (alebo Lutescens)</t>
  </si>
  <si>
    <t>Sorbus torminalis</t>
  </si>
  <si>
    <t>Tilia platyphyllos</t>
  </si>
  <si>
    <t>Kolkwitzia amabilis</t>
  </si>
  <si>
    <t>Lavandula angustifolia Hidcote</t>
  </si>
  <si>
    <t>Potentila fruticosa (kultivary)</t>
  </si>
  <si>
    <t>Spiraea Goldflame</t>
  </si>
  <si>
    <t>Spiraea Shirobana</t>
  </si>
  <si>
    <t>Spiraea Grefsheim / S. thunbergii</t>
  </si>
  <si>
    <t>Symphoricarpos albus</t>
  </si>
  <si>
    <t>Viburnum lantana</t>
  </si>
  <si>
    <t>Viburnum opulus</t>
  </si>
  <si>
    <t>Acer ginnala (Acer tataricum subsp. ginnala) (prípadne viackmeň 350cm)</t>
  </si>
  <si>
    <t>Caryopteris x clandonensis Heavenly Blue</t>
  </si>
  <si>
    <t>Hibiscus syriacus</t>
  </si>
  <si>
    <t>Hypericum Hidcote</t>
  </si>
  <si>
    <t>Physocarpus opulifolius</t>
  </si>
  <si>
    <t>Úprava pláne v hornine tr. 1-4 so zhutnením</t>
  </si>
  <si>
    <t>8 Chodníky z betónových tvárnic - zaštrkované, priepustné</t>
  </si>
  <si>
    <t>9 Sadové úpravy</t>
  </si>
  <si>
    <t>Chodník</t>
  </si>
  <si>
    <t>Štrkodrva fr. 4-8 mm s dodávkou</t>
  </si>
  <si>
    <t>564 83 1111</t>
  </si>
  <si>
    <t>451 57 7777</t>
  </si>
  <si>
    <t>Štrkodrva fr. 0-4 (alebo zmes štrkodrvy a piesku 0-4mm) s dodávkou</t>
  </si>
  <si>
    <t>596 81 1111</t>
  </si>
  <si>
    <t>Zásyp jám je v časti - Sadové úpravy.</t>
  </si>
  <si>
    <t>Rozprestretie ornice, sklon do 1:5 do 500 m² hr. do 25 cm 
(hromady výšky podľa potreby, dočasná skládka)</t>
  </si>
  <si>
    <t>Práce - terénne úpravy a obnova trávnika aj na stavbou poškodených plochách</t>
  </si>
  <si>
    <t>Dovoz vody do 20 km</t>
  </si>
  <si>
    <t>Dátum: VII.2020</t>
  </si>
  <si>
    <t>Dopadová plocha oválneho tvaru - z prýžovej monolitickej štiepky (gumená liata štiepka). Bez použitia obrubníkov. Certifikovaná do výšky pádu 2,9m. Odporúčaná farba - sivá. alebo vhodná alternatíva.
140m2
- stavebné práce na podloží (výkop zeminy, odvoz zeminy do 10km - bez poplatku za uskladnenie)
- dodávka a montáž</t>
  </si>
  <si>
    <t>Dopadová plocha oválneho tvaru - z prýžovej monolitickej štiepky (gumená liata štiepka). Bez použitia obrubníkov. Certifikovaná do výšky pádu 2,9m. Odporúčaná farba - sivá. alebo vhodná alternatíva.
110m2
- stavebné práce na podloží (výkop zeminy, odvoz zeminy do 10km - bez poplatku za uskladnenie)
- dodávka a montáž</t>
  </si>
  <si>
    <t>20-25</t>
  </si>
  <si>
    <t>Založenie trávnika výsevom</t>
  </si>
  <si>
    <t>Zemina - kompostovaný substrát - pre terénne úpravy</t>
  </si>
  <si>
    <t>Odstránenie (a kompostovanie) mačiny 
(pri vyrovnávaní a vyzdvihovaní terénu nad 5cm je nutné odstránenie pôvodnej mačiny a následná obnova trávnika)</t>
  </si>
  <si>
    <t>Stromoveža (pozri Prílohy - navrhované vybavenie), alebo vhodná alternatíva.
3x podesta, sieťový tunel, šmýkačka, 3x lezecká stena, horizontálna preliezačka s madlami, vertikálny výlez s dierami, šikmý rebrík, vertikálny rebrík, kosoštvorcová zakrivená sieť, sieťový výlez šikmý, vertikálna sieť, šikmý lanový rebrík, 3x skrýša, 2x horizontálne lano. Max. výška pádu: 2,1m. Počet užívateľov: 21. Potrebná plocha 12,4 x 13,6 m.</t>
  </si>
  <si>
    <t>Jednosmerná lanová dráha (pozri Prílohy - navrhované vybavenie), alebo vhodná alternatíva.
Lanová dráha so sedacím závesom a nástupná rampa. Veková skupina: 3 - 14 rokov. Rozmery: 20,0 x 2,3 x 4,2m. Potrebná plocha: 24,0 x 5,3 m. Povrch tmliaci náraz: 93,5 m2. Max. výška pádu 0,95 m. Počet používateľov: 1.
Bez dopadovej plochy (ponechaný pôvodný trávnik).</t>
  </si>
  <si>
    <t>Lanová preliezačka s motívom pavúka (pozri Prílohy - navrhované vybavenie), alebo vhodná alternatíva.
Lanová preliezačka s motívom pavúka. Šikmý výlez, 2x rebrík, slide tyče, lano na ručkovanie, lanová preliezačka, šplhacia sieť a balančné lano. Veková skupina: 3 - 14 rokov. Rozmery: 9,7 x 7,5 x 3,2 m. Potrebná plocha: 12,5 x 10,2 m. Povrch tmliaci náraz: 88 m2. Max. výška pádu 1,85 m.</t>
  </si>
  <si>
    <t>Obiehacie koly (pozri Prílohy - navrhované vybavenie), alebo vhodná alternatíva.
Koly s rôznou výškou od 2,2 do 3,4 m. Veková skupina: 3 - 14 rokov. Rozmery: 0,2 x 0,2 x cca 3,0 m. Potrebná plocha: 3,0 x 3,0 m. Povrch tmliaci náraz: 17 m2. Max. výška pádu do 0,6 m.
Bez dopadovej plochy (ponechaný pôvdný trávnik).</t>
  </si>
  <si>
    <t>Balansovaný prvok krokodíl s odrazovým mostíkom (pozri Prílohy - navrhované vybavenie), alebo vhodná alternatíva.
Balančný prvok krokodíl s odrazovým mostíkom. Balančný pružiňák, balačné lavice, balančné koly, stĺpikové schodíky a odrazový mostík.  Veková skupina: 3 - 14 rokov. Rozmery: 5,6 x 1,2 x cca 0,8 m. Potrebná plocha: 8,6 x 4,5 m. Povrch tmliaci náraz: 31 m2. Max. výška pádu 0,8 m.</t>
  </si>
  <si>
    <t>Kolotoč so sedadlami (pozri Prílohy - navrhované vybavenie), alebo vhodná alternatíva.
Kolotoč s tromi sedákmi a volantom. Oceľový kolotoč s tromi plastovými oblúkovými sedákmi, stredovým volantom, kruhovým operadlom - obvodovým madlom, protišmykovou podlahou z profilového AL plechu.  Veková skupina: 2 - 6 rokov. Rozmery: 1,5 x 1,5 x 0,7 m. Potrebná plocha: 5,5 x 5,5 m. Povrch tlmiaci náraz: 24m2. Max. výška pádu do 0,6m. Počet používateľov: 2. Bez dopadovej plochy (ponechaný pôvdný trávnik).</t>
  </si>
  <si>
    <t>Precvičovanie chôdze - single (pozri Prílohy - navrhované vybavenie), alebo vhodná alternatíva.
Funkcia: Zvyšovanie pohyblivosti dolných končatín, zlepšovanie koordinácie a rovnováhy tela, zvyšovanie kapacity srdca a pľúc, posilňovanie nôh a sedacích svalov. 
Rozmery (mm): 1169 x 514 x 1274. 
Cvičebné stroje vyrobené zložením ocele až 3,5 mm hrúbky a kompozitného materiálu - imitácie dreva WPC (skratka WPC = Wood Plastic Composite- drevo-plastový kompozit) bez povrchovej úpravy. Vonkajšie kovové časti sú galvanicky zinkované a následne povrchovo upravené komaxitom – práškovým lakovaním.</t>
  </si>
  <si>
    <t>Šliapacie zariadenie (pozri Prílohy - navrhované vybavenie), alebo vhodná alternatíva.
Funkcia: posilňovanie a rozvoj svalov dolných končatín a pásu, konkrétne štvorhlavého stehenného svalu, lýtok, sedacích svalov a spodných brušných svalov.
Rozmery (mm): 1957 x 530 x 1745.
Cvičebné stroje vyrobené zložením ocele až 3,5 mm hrúbky a kompozitného materiálu - imitácie dreva WPC (skratka WPC = Wood Plastic Composite- drevo-plastový kompozit) bez povrchovej úpravy. Vonkajšie kovové časti sú galvanicky zinkované a následne povrchovo upravené komaxitom – práškovým lakovaním.</t>
  </si>
  <si>
    <t>Precvičovanie pásu (pozri Prílohy - navrhované vybavenie), alebo vhodná alternatíva.
Funkcia: Precvičovanie pásu a uvoľnenie svalov pásu a chrbta, zvyšuje obratnosť a pohyblivosť bedrovej oblasti. Rozmery (mm): 2010 x 480 x 1285. 
Cvičebné stroje vyrobené zložením ocele až 3,5 mm hrúbky a kompozitného materiálu - imitácie dreva WPC (skratka WPC = Wood Plastic Composite- drevo-plastový kompozit) bez povrchovej úpravy. Vonkajšie kovové časti sú galvanicky zinkované a následne povrchovo upravené komaxitom – práškovým lakovaním.</t>
  </si>
  <si>
    <t>Posilovanie - bench (pozri Prílohy - navrhované vybavenie), alebo vhodná alternatíva.
Funkcia: Posilňovanie a rozvoj svalov horných končatín, hrudníku a chrbta, zvyšovanie kardiopulmorálnej kapacity. Rozmery (mm): 1630 x 690 x 2170. 
Cvičebné stroje vyrobené zložením ocele až 3,5 mm hrúbky a kompozitného materiálu - imitácie dreva WPC (skratka WPC = Wood Plastic Composite- drevo-plastový kompozit) bez povrchovej úpravy. Vonkajšie kovové časti sú galvanicky zinkované a následne povrchovo upravené komaxitom – práškovým lakovaním.</t>
  </si>
  <si>
    <t>Kruh (pozri Prílohy - navrhované vybavenie), alebo vhodná alternatíva.
Pozinkovaná konštrukcia, kruh kotvený na kvalitnej nerezovej reťazi, kruh tvorený vode odolným materiálom (preglejka, plast)</t>
  </si>
  <si>
    <t>Slalom (pozri Prílohy - navrhované vybavenie), alebo vhodná alternatíva.
Nerezová konštrukcia, zložená z 12 tyčí výšky 1,0m, s pravidelným rozostupom, pevne kotvená do podložia</t>
  </si>
  <si>
    <t>Hojdačka (pozri Prílohy - navrhované vybavenie), alebo vhodná alternatíva.
Ooceľová pozinkovaná konštrukcia, nerezový prevažovací mechanizmus, vode odolná protišmyková preglejka, gumový protišmykový povrch, zvýraznené kontaktné zóny, pevne kotvené do podložia</t>
  </si>
  <si>
    <t>Skoková prekážka (pozri Prílohy - navrhované vybavenie), alebo vhodná alternatíva.
Pozinkovaná konštrukcia pevne kotvená do zeme, nerezový mechanizmus nastavovania výšky skoku v troch polohách, preskakovacia tyč kontrastne farbená, z kvalitného dreva prípadne plastu nevyberateľne pripojená k nastavovaciemu mechanizmu.</t>
  </si>
  <si>
    <t>Parková lavička s operadlom - drevená (pozri Prílohy - navrhované vybavenie), alebo vhodná alternatíva.</t>
  </si>
  <si>
    <t>Odpadkový kôš (pozri Prílohy - navrhované vybavenie), alebo vhodná alternatíva.</t>
  </si>
  <si>
    <t>388 99 5212</t>
  </si>
  <si>
    <t>Štrkopiesok frakcia 0-8 mm</t>
  </si>
  <si>
    <t xml:space="preserve">Osadenie chráničky káblov nad DN 80 do DN 110 - kábel verejného osvetlenia a dátové káble (vrátane mat.) </t>
  </si>
  <si>
    <t>Vypracoval: Ing. Marek Tomko</t>
  </si>
  <si>
    <t>sada</t>
  </si>
  <si>
    <t>Parková lavička s operadlom - drevená:</t>
  </si>
  <si>
    <t>Certifikácia detského ihriska.</t>
  </si>
  <si>
    <t>Certifikácia detského ihriska - inšpekčný certifikát</t>
  </si>
  <si>
    <t>Zelkova serrata Green Vase</t>
  </si>
  <si>
    <t>Phellodendron amurense</t>
  </si>
  <si>
    <t>strom</t>
  </si>
  <si>
    <t>Ošetrenie stromu certifikovaným arboristom - odborný orez.
+ terénny prieskum a vytipovanie stromov najviac potrebujúcich ošetrenie.</t>
  </si>
  <si>
    <r>
      <t xml:space="preserve">Odkopávka a prekopávka nezapažená v hornine 1 a 2, do 100 m3
</t>
    </r>
    <r>
      <rPr>
        <b/>
        <sz val="10"/>
        <rFont val="Calibri"/>
        <family val="2"/>
        <scheme val="minor"/>
      </rPr>
      <t>(cca 50mm)</t>
    </r>
  </si>
  <si>
    <r>
      <rPr>
        <b/>
        <sz val="10"/>
        <rFont val="Calibri"/>
        <family val="2"/>
        <scheme val="minor"/>
      </rPr>
      <t>Parková lavička s operadlom - plastová</t>
    </r>
    <r>
      <rPr>
        <sz val="10"/>
        <rFont val="Calibri"/>
        <family val="2"/>
        <scheme val="minor"/>
      </rPr>
      <t xml:space="preserve"> (pozri Prílohy - navrhované vybavenie), alebo vhodná alternatíva.
Charakter konštrukcie: celoplastová lavička 2+2 (dve sedákové a dve operadlové dosky). Bez lakťovej opierky. Sedák: dve 5 cm hrubé dosky na sedenie, vystužené v strede. Obdĺžnikového prierezu dĺžky 180 cm. Operadlo: dve 3,5 cm hrubé dosky na opieranie, vystužené v strede. Obdĺžnikového prierezu dĺžky 180 cm. Farebné prevedenie: hnedá (svetlohnedá – pozri fotografie). Kotvenie: kotvenie pod terén do betónového základu pomocou závitových tyčí.</t>
    </r>
  </si>
  <si>
    <r>
      <rPr>
        <b/>
        <sz val="10"/>
        <rFont val="Calibri"/>
        <family val="2"/>
        <scheme val="minor"/>
      </rPr>
      <t>Drevené oplotenie kruhového pôdorysu pre ochranu vysadených stromov pred psami</t>
    </r>
    <r>
      <rPr>
        <sz val="10"/>
        <rFont val="Calibri"/>
        <family val="2"/>
        <scheme val="minor"/>
      </rPr>
      <t xml:space="preserve"> (pozri Prílohy - navrhované vybavenie), alebo vhodná alternatíva. 
1ks sada: 10 ks koly, lano, nátery a spojovací materiál podľa špecifikácie v prílohe.</t>
    </r>
  </si>
  <si>
    <r>
      <t xml:space="preserve">Odstránenie (a kompostovanie) mačiny
</t>
    </r>
    <r>
      <rPr>
        <b/>
        <sz val="10"/>
        <rFont val="Calibri"/>
        <family val="2"/>
        <scheme val="minor"/>
      </rPr>
      <t>(cca 30 mm)</t>
    </r>
  </si>
  <si>
    <r>
      <t xml:space="preserve">Odkopávka a prekopávka nezapažená v hornine 1 a 2, do 100 m3
</t>
    </r>
    <r>
      <rPr>
        <b/>
        <sz val="10"/>
        <rFont val="Calibri"/>
        <family val="2"/>
        <scheme val="minor"/>
      </rPr>
      <t>(280mm)</t>
    </r>
  </si>
  <si>
    <t>Obsyp potrubia sypaninou z vhodných hornín 1 až 4 bez prehodenia sypaniny
(dĺžka * 0,2*0.2m)</t>
  </si>
  <si>
    <r>
      <t xml:space="preserve">Podklad zo štrdodrvy s rozprestretím a zhutnením, po zhutnení hr. do </t>
    </r>
    <r>
      <rPr>
        <b/>
        <sz val="10"/>
        <rFont val="Calibri"/>
        <family val="2"/>
        <scheme val="minor"/>
      </rPr>
      <t>100 mm</t>
    </r>
  </si>
  <si>
    <r>
      <t xml:space="preserve">Podklad zo štrkodrvy  s rozprestretím a zhutnením hr. </t>
    </r>
    <r>
      <rPr>
        <b/>
        <sz val="10"/>
        <rFont val="Calibri"/>
        <family val="2"/>
        <scheme val="minor"/>
      </rPr>
      <t>do 50 mm</t>
    </r>
  </si>
  <si>
    <r>
      <t xml:space="preserve">Podklad pod dlažbu v rovine alebo sklone 1:5, hr 30 - 100 mm
</t>
    </r>
    <r>
      <rPr>
        <b/>
        <sz val="10"/>
        <rFont val="Calibri"/>
        <family val="2"/>
        <scheme val="minor"/>
      </rPr>
      <t>(30mm)</t>
    </r>
  </si>
  <si>
    <r>
      <t xml:space="preserve">Kladenie dlažby z betónových zatrávňovacích tvárnic (so škárovým rozostupom 3-5mm) komunikácií pre peších do veľkosti dlaždíc 0,25 m2 s vyplnením škár (po vyplnení otvorov štrkodrvou), </t>
    </r>
    <r>
      <rPr>
        <strike/>
        <sz val="10"/>
        <rFont val="Calibri"/>
        <family val="2"/>
        <scheme val="minor"/>
      </rPr>
      <t>s dvojitým hutnením vibrovaním</t>
    </r>
    <r>
      <rPr>
        <sz val="10"/>
        <rFont val="Calibri"/>
        <family val="2"/>
        <scheme val="minor"/>
      </rPr>
      <t xml:space="preserve"> a so zmetením prebytočného materiálu z tvárnic. </t>
    </r>
  </si>
  <si>
    <r>
      <t xml:space="preserve">Zatrávňovacia dlažba, šírka: 40,5 cm * dĺžka: 61 cm * </t>
    </r>
    <r>
      <rPr>
        <b/>
        <sz val="10"/>
        <rFont val="Calibri"/>
        <family val="2"/>
        <scheme val="minor"/>
      </rPr>
      <t>hrúbka: 8 cm</t>
    </r>
    <r>
      <rPr>
        <sz val="10"/>
        <rFont val="Calibri"/>
        <family val="2"/>
        <scheme val="minor"/>
      </rPr>
      <t xml:space="preserve"> (4ks / 1m2) s dodávkou.
Betónové tvárnice z prostého betónu vybrolisované, dvojvrstvové. Spodná vrstva zabezpečuje pevnosť v ťahu pri ohybe a v tlaku. Vrchná vrstva zabezpečuje odolnosť proti mrazu a rozmrazovacím látkam, proti obrusnosti a mechanickým vplyvom. Tvarovky majú priebežne štvorhranné otvory, ktoré slúžia na zatrávnenie, resp. vyplnenie štrkom. Vrchné hrany so skosením. Škáry medzi tvarovkami sú vytvorené vymedzovacími výčnelkami. Okraje vytvoríme rezaním a štiepaním. Otvory tvoria 40% plochy.
</t>
    </r>
    <r>
      <rPr>
        <b/>
        <sz val="10"/>
        <rFont val="Calibri"/>
        <family val="2"/>
        <scheme val="minor"/>
      </rPr>
      <t>Tvarovky nevybrujeme !</t>
    </r>
  </si>
  <si>
    <r>
      <t>Podklad zo štrdodrvy s rozprestretím a zhutnením, po zhutnení hr. do 100 mm
(</t>
    </r>
    <r>
      <rPr>
        <b/>
        <sz val="10"/>
        <rFont val="Calibri"/>
        <family val="2"/>
        <scheme val="minor"/>
      </rPr>
      <t>80 mm *</t>
    </r>
    <r>
      <rPr>
        <sz val="10"/>
        <rFont val="Calibri"/>
        <family val="2"/>
        <scheme val="minor"/>
      </rPr>
      <t xml:space="preserve"> 40 % plochy otvorov tvárnic pre vyplnenie)</t>
    </r>
  </si>
  <si>
    <r>
      <t xml:space="preserve">Špárovací materiál - kremičitý piesok fr. 0-2 mm s dodávkou 
</t>
    </r>
    <r>
      <rPr>
        <b/>
        <sz val="10"/>
        <rFont val="Calibri"/>
        <family val="2"/>
        <scheme val="minor"/>
      </rPr>
      <t>(5 mm)</t>
    </r>
  </si>
  <si>
    <r>
      <t>Hĺbenie jám s 50% výmenou pôdy – do 1,0 m</t>
    </r>
    <r>
      <rPr>
        <vertAlign val="superscript"/>
        <sz val="10"/>
        <rFont val="Calibri"/>
        <family val="2"/>
        <scheme val="minor"/>
      </rPr>
      <t>3</t>
    </r>
  </si>
  <si>
    <t xml:space="preserve">Montáž chráničky proti koseniu
(okrem stromov rozkonarujúcich sa nad zemov a Cotylus) </t>
  </si>
  <si>
    <r>
      <t>Hĺbenie jám s 50% výmenou pôdy – do 0,02 m</t>
    </r>
    <r>
      <rPr>
        <vertAlign val="superscript"/>
        <sz val="10"/>
        <rFont val="Calibri"/>
        <family val="2"/>
        <scheme val="minor"/>
      </rPr>
      <t>3</t>
    </r>
  </si>
  <si>
    <t>Mulčovanie kôrou – do 10 cm (7cm)</t>
  </si>
  <si>
    <t>Rozprestretie a urovnanie ornice s príp. nutným premiestnenie hromád alebo dočasných skládok na miesto spotreby zo vzdialenosti do 30 m pri súvislej vrstve do 500 m², hrúbky vrstvy – do 250 mm
(vyrovnanie a vyzdvihnutie terén; zásyp jám; úprava terénu v okolí inštalovaných prvkov, mobiliáru a chodníkov)
(podľa potreby aj viac vrstiev až do vyrovnania)
(+ zemina z dočasných skládok z výkopov bude použitá ako spodná vrstva )</t>
  </si>
  <si>
    <t>Doplnenie ornice na trávnatých plochách s premiestnením do 3 m vodorovne, hrúbky 
– do 50 mm
(dovyrovnanie terénu v okolí obnovovaného trávnika a ihriskových prvkov , priemerne 3cm)</t>
  </si>
  <si>
    <r>
      <t xml:space="preserve">Acer platanoides </t>
    </r>
    <r>
      <rPr>
        <u/>
        <sz val="10"/>
        <rFont val="Calibri"/>
        <family val="2"/>
        <scheme val="minor"/>
      </rPr>
      <t xml:space="preserve">PRESADZOVANÝ, NENACEŇUJTE, CENA 0 €
</t>
    </r>
    <r>
      <rPr>
        <sz val="10"/>
        <rFont val="Calibri"/>
        <family val="2"/>
        <scheme val="minor"/>
      </rPr>
      <t>(Strom rastúci na riešenom území je nevhodne kompozične umiestnený a navrhovaný na presadenie. Vysadiť ihneď po vyzdvihnutí z pôdy)</t>
    </r>
  </si>
  <si>
    <t>Ochranná kovová (nie plastová) chránička proti koseniu na stromy s korunou na kmienku, alebo vhodný ekvivalent.
Zviazaná drôtom do valca väčšieho ako kmeň, voľne položeného na zemi. Inštalujeme ako ochranu kmeňa proti koseniu a spáleniu močom psov - teda s dostatočným odstupom od kmeňa - medzera medzi kmeňom a chráničkou je po celom obvode aspoň 5 cm.
V prípade nákupu sadeníc viakmeňov (Acer ginnala, Magnolia) postačuje chráničiek menej</t>
  </si>
  <si>
    <r>
      <t>Trávne osivo (30g/m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</si>
  <si>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t>Rekapitulácia rozpočtu:</t>
  </si>
  <si>
    <r>
      <t xml:space="preserve">Montáž, osadenie, spodná stavba, odvoz zeminy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            </t>
    </r>
    <r>
      <rPr>
        <i/>
        <sz val="10"/>
        <color rgb="FFFF0000"/>
        <rFont val="Calibri"/>
        <family val="2"/>
        <charset val="238"/>
        <scheme val="minor"/>
      </rPr>
      <t xml:space="preserve">                                                                         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</si>
  <si>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  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</si>
  <si>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</t>
    </r>
    <r>
      <rPr>
        <sz val="10"/>
        <color rgb="FFFF0000"/>
        <rFont val="Calibri"/>
        <family val="2"/>
        <charset val="238"/>
        <scheme val="minor"/>
      </rPr>
      <t xml:space="preserve">    </t>
    </r>
    <r>
      <rPr>
        <sz val="10"/>
        <rFont val="Calibri"/>
        <family val="2"/>
        <scheme val="minor"/>
      </rPr>
      <t xml:space="preserve">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</si>
  <si>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</t>
    </r>
    <r>
      <rPr>
        <sz val="10"/>
        <rFont val="Calibri"/>
        <family val="2"/>
        <scheme val="minor"/>
      </rPr>
      <t xml:space="preserve">     </t>
    </r>
  </si>
  <si>
    <r>
      <t xml:space="preserve">Osadenie informačnej tabuľky detského ihriska.      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>Popis položky:                                                                                                                                                           Samostatne stojaca tabuľka formátu A4 na kovovom stĺpiku v betónovom základe C12/15. Vrátane materiálu tabuľky, kovoého stĺpika a kotvenia.                                                                                                                           Alebo vhodná alternatíva.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</si>
  <si>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scheme val="minor"/>
      </rPr>
      <t xml:space="preserve">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</si>
  <si>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</t>
    </r>
    <r>
      <rPr>
        <sz val="10"/>
        <color rgb="FFFF0000"/>
        <rFont val="Calibri"/>
        <family val="2"/>
        <charset val="238"/>
        <scheme val="minor"/>
      </rPr>
      <t xml:space="preserve">        </t>
    </r>
  </si>
  <si>
    <r>
      <t xml:space="preserve">Osadenie informačnej tabuľky detského ihriska.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>Popis položky:                                                                                                                                                           Samostatne stojaca tabuľka formátu A4 na kovovom stĺpiku v betónovom základe C12/15. Vrátane materiálu tabuľky, kovoého stĺpika a kotvenia.                                                                                                                           Alebo vhodná alternatíva.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</si>
  <si>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</si>
  <si>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</si>
  <si>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</t>
    </r>
    <r>
      <rPr>
        <sz val="10"/>
        <color rgb="FFFF0000"/>
        <rFont val="Calibri"/>
        <family val="2"/>
        <charset val="238"/>
        <scheme val="minor"/>
      </rPr>
      <t xml:space="preserve">      </t>
    </r>
    <r>
      <rPr>
        <sz val="10"/>
        <rFont val="Calibri"/>
        <family val="2"/>
        <scheme val="minor"/>
      </rPr>
      <t xml:space="preserve">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</si>
  <si>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</t>
    </r>
    <r>
      <rPr>
        <sz val="10"/>
        <rFont val="Calibri"/>
        <family val="2"/>
        <scheme val="minor"/>
      </rPr>
      <t xml:space="preserve"> 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</si>
  <si>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</t>
    </r>
    <r>
      <rPr>
        <sz val="10"/>
        <color rgb="FFFF0000"/>
        <rFont val="Calibri"/>
        <family val="2"/>
        <charset val="238"/>
        <scheme val="minor"/>
      </rPr>
      <t xml:space="preserve">       </t>
    </r>
  </si>
  <si>
    <r>
      <t xml:space="preserve">Montáž, osadenie, spodná stavba, odvoz zeminy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herného prvku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</t>
    </r>
    <r>
      <rPr>
        <sz val="10"/>
        <color rgb="FFFF0000"/>
        <rFont val="Calibri"/>
        <family val="2"/>
        <charset val="238"/>
        <scheme val="minor"/>
      </rPr>
      <t xml:space="preserve">      </t>
    </r>
  </si>
  <si>
    <r>
      <t xml:space="preserve">Montáž, osadenie, spodná stavba, odvoz zeminy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oplotenie kruhového pôdorysu pre ochranu vysadených stromov pred psami                                                  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- pre spodnú časť kola, ktorá bude ukotvená v zemi + 10 cm nad terénom aplikácia asfaltovej farby na drevo zapúšťané do zeme pre ochranu proti vlhkosti. Vodou riediteľná náterová hmota na báze asfaltu - disperzia asfaltov modifikovaných syntetickým kaučukom k použitiu na suché a mierne vlhké podklady. Drevo sa natrie prvým -základným náterom - rozriedenou vrchnou asfaltovou farbou, druhý náter podľa postupu výrobcu.
- osadenie prvku vykopaných jám (spôsob ukotvenia podľa technického listu výrobku)  </t>
    </r>
    <r>
      <rPr>
        <sz val="10"/>
        <color theme="1" tint="0.34998626667073579"/>
        <rFont val="Calibri"/>
        <family val="2"/>
        <charset val="238"/>
        <scheme val="minor"/>
      </rPr>
      <t xml:space="preserve">        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</t>
    </r>
  </si>
  <si>
    <r>
      <t xml:space="preserve"> - spodná stavba (materiál kotvenia)                      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parkových lavičiek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     </t>
    </r>
    <r>
      <rPr>
        <i/>
        <sz val="10"/>
        <color rgb="FFFF0000"/>
        <rFont val="Calibri"/>
        <family val="2"/>
        <charset val="238"/>
        <scheme val="minor"/>
      </rPr>
      <t xml:space="preserve">                                                       </t>
    </r>
  </si>
  <si>
    <r>
      <t xml:space="preserve">montáž, osadenie                                                       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 - osadenie prvku do betónových pätiek / osadenie prvku na betónový základ pomocou chemických kotiev a závitových tyčí  (spôsob ukotvenia podľa technického listu výrobku)        </t>
    </r>
    <r>
      <rPr>
        <sz val="10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</si>
  <si>
    <r>
      <t xml:space="preserve"> - spodná stavba (materiál kotvenia)                                                                                                                </t>
    </r>
    <r>
      <rPr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- vytýčenie umiestnenia parkových lavičiek                                                                                                                    - ručný výkop (tr. horniny 3-4) jám pre kotevné pätky s odvozom prebytočnej zeminy vrátane poplatku za uskladnenie (rozmer podľa technického listu výrobku)                                                                                                                                                              - betón, betonárske práce, kotevné prvky vrátane pomocného materiálu                                                                     - osadenie prvku do betónových pätiek pomocou kotevných prvkov           </t>
    </r>
  </si>
  <si>
    <r>
      <t xml:space="preserve">montáž, osadenie                                                                                                                                                 </t>
    </r>
    <r>
      <rPr>
        <i/>
        <sz val="10"/>
        <color theme="1" tint="0.34998626667073579"/>
        <rFont val="Calibri"/>
        <family val="2"/>
        <charset val="238"/>
        <scheme val="minor"/>
      </rPr>
      <t xml:space="preserve">Popis položky:                                                                                                                                                          - osadenie prvku do betónových pätiek / osadenie prvku na betónový základ pomocou chemických kotiev a závitových tyčí  (spôsob ukotvenia podľa technického listu výrobku)        </t>
    </r>
    <r>
      <rPr>
        <sz val="10"/>
        <color theme="1" tint="0.34998626667073579"/>
        <rFont val="Calibri"/>
        <family val="2"/>
        <charset val="238"/>
        <scheme val="minor"/>
      </rPr>
      <t xml:space="preserve">     </t>
    </r>
    <r>
      <rPr>
        <sz val="10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</si>
</sst>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4" formatCode="_-* #,##0.00\ &quot;€&quot;_-;\-* #,##0.00\ &quot;€&quot;_-;_-* &quot;-&quot;??\ &quot;€&quot;_-;_-@_-"/>
    <numFmt numFmtId="164" formatCode="_-* #,##0.00\ &quot;Sk&quot;_-;\-* #,##0.00\ &quot;Sk&quot;_-;_-* &quot;-&quot;??\ &quot;Sk&quot;_-;_-@_-"/>
    <numFmt numFmtId="165" formatCode="0.000"/>
    <numFmt numFmtId="166" formatCode="0.000&quot; t&quot;"/>
    <numFmt numFmtId="167" formatCode="0.0000&quot; t&quot;"/>
    <numFmt numFmtId="168" formatCode="0&quot;.&quot;"/>
    <numFmt numFmtId="169" formatCode="000&quot; &quot;00&quot; &quot;0000"/>
    <numFmt numFmtId="170" formatCode=";;;"/>
    <numFmt numFmtId="171" formatCode="0&quot; ks&quot;"/>
    <numFmt numFmtId="172" formatCode="_-* #,##0.00\ [$€-1]_-;\-* #,##0.00\ [$€-1]_-;_-* &quot;-&quot;??\ [$€-1]_-;_-@_-"/>
    <numFmt numFmtId="173" formatCode="0.00;\-0.00"/>
    <numFmt numFmtId="174" formatCode="&quot;stromy spolu: &quot;0&quot; ks&quot;"/>
    <numFmt numFmtId="175" formatCode="#,##0.00\ &quot;€&quot;"/>
    <numFmt numFmtId="176" formatCode="&quot;(z toho kry pre živý plot bez geotextílie (5ks/m): &quot;0&quot; ks)&quot;"/>
    <numFmt numFmtId="177" formatCode="&quot;(z toho stromy s korunou na kmienku, bez geotextílie: &quot;0&quot; ks)&quot;"/>
    <numFmt numFmtId="178" formatCode="&quot;kry spolu: &quot;0&quot; ks &quot;"/>
    <numFmt numFmtId="179" formatCode="&quot;stromy spolu: &quot;0&quot; ks &quot;"/>
    <numFmt numFmtId="180" formatCode="@&quot; cm&quot;"/>
    <numFmt numFmtId="181" formatCode="_-* #,##0.00\ _S_k_-;\-* #,##0.00\ _S_k_-;_-* &quot;-&quot;??\ _S_k_-;_-@_-"/>
    <numFmt numFmtId="182" formatCode="&quot;(z toho veľké kry až menšie stromy na nízkom kmienku alebo viackmene, bez geotextílie: &quot;0&quot; ks)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Arial"/>
      <family val="2"/>
    </font>
    <font>
      <sz val="10"/>
      <name val="Arial CE"/>
      <charset val="238"/>
    </font>
    <font>
      <sz val="8"/>
      <name val="MS Sans Serif"/>
      <charset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0">
    <xf numFmtId="44" fontId="0" fillId="0" borderId="0"/>
    <xf numFmtId="44" fontId="1" fillId="0" borderId="1"/>
    <xf numFmtId="0" fontId="3" fillId="0" borderId="0"/>
    <xf numFmtId="44" fontId="3" fillId="0" borderId="0"/>
    <xf numFmtId="44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181" fontId="2" fillId="0" borderId="0" applyFont="0" applyFill="0" applyBorder="0" applyAlignment="0" applyProtection="0"/>
    <xf numFmtId="0" fontId="8" fillId="0" borderId="0"/>
    <xf numFmtId="0" fontId="10" fillId="0" borderId="0" applyAlignment="0">
      <alignment vertical="top"/>
      <protection locked="0"/>
    </xf>
  </cellStyleXfs>
  <cellXfs count="240">
    <xf numFmtId="44" fontId="0" fillId="0" borderId="0" xfId="0"/>
    <xf numFmtId="0" fontId="4" fillId="0" borderId="1" xfId="0" applyNumberFormat="1" applyFont="1" applyFill="1" applyBorder="1" applyAlignment="1">
      <alignment vertical="center" wrapText="1"/>
    </xf>
    <xf numFmtId="173" fontId="4" fillId="0" borderId="1" xfId="0" applyNumberFormat="1" applyFont="1" applyFill="1" applyBorder="1" applyAlignment="1">
      <alignment horizontal="right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168" fontId="4" fillId="4" borderId="4" xfId="0" applyNumberFormat="1" applyFont="1" applyFill="1" applyBorder="1" applyAlignment="1">
      <alignment horizontal="right"/>
    </xf>
    <xf numFmtId="169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/>
    <xf numFmtId="49" fontId="4" fillId="4" borderId="1" xfId="0" applyNumberFormat="1" applyFont="1" applyFill="1" applyBorder="1" applyAlignment="1">
      <alignment horizontal="center"/>
    </xf>
    <xf numFmtId="173" fontId="4" fillId="4" borderId="1" xfId="0" applyNumberFormat="1" applyFont="1" applyFill="1" applyBorder="1" applyAlignment="1">
      <alignment horizontal="right" wrapText="1"/>
    </xf>
    <xf numFmtId="172" fontId="4" fillId="4" borderId="1" xfId="0" applyNumberFormat="1" applyFont="1" applyFill="1" applyBorder="1" applyAlignment="1">
      <alignment horizontal="right"/>
    </xf>
    <xf numFmtId="44" fontId="5" fillId="4" borderId="1" xfId="0" applyFont="1" applyFill="1" applyBorder="1" applyAlignment="1">
      <alignment horizontal="center"/>
    </xf>
    <xf numFmtId="170" fontId="4" fillId="4" borderId="1" xfId="0" applyNumberFormat="1" applyFont="1" applyFill="1" applyBorder="1"/>
    <xf numFmtId="165" fontId="5" fillId="4" borderId="1" xfId="0" applyNumberFormat="1" applyFont="1" applyFill="1" applyBorder="1" applyAlignment="1">
      <alignment horizontal="center"/>
    </xf>
    <xf numFmtId="169" fontId="4" fillId="0" borderId="1" xfId="0" applyNumberFormat="1" applyFont="1" applyBorder="1" applyAlignment="1">
      <alignment horizontal="center" vertical="center"/>
    </xf>
    <xf numFmtId="44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44" fontId="5" fillId="0" borderId="0" xfId="0" applyFont="1" applyFill="1" applyAlignment="1">
      <alignment vertical="center"/>
    </xf>
    <xf numFmtId="44" fontId="4" fillId="0" borderId="0" xfId="0" applyFont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44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44" fontId="5" fillId="0" borderId="0" xfId="0" applyFont="1" applyAlignment="1">
      <alignment vertical="center"/>
    </xf>
    <xf numFmtId="165" fontId="4" fillId="0" borderId="0" xfId="0" applyNumberFormat="1" applyFont="1" applyBorder="1" applyAlignment="1">
      <alignment horizontal="left" vertical="center"/>
    </xf>
    <xf numFmtId="44" fontId="4" fillId="0" borderId="0" xfId="0" applyFont="1" applyFill="1" applyBorder="1" applyAlignment="1">
      <alignment horizontal="right" vertical="center"/>
    </xf>
    <xf numFmtId="44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5" fillId="4" borderId="2" xfId="0" applyNumberFormat="1" applyFont="1" applyFill="1" applyBorder="1" applyAlignment="1">
      <alignment vertical="center"/>
    </xf>
    <xf numFmtId="44" fontId="4" fillId="4" borderId="15" xfId="0" applyFont="1" applyFill="1" applyBorder="1" applyAlignment="1">
      <alignment horizontal="center" vertical="center"/>
    </xf>
    <xf numFmtId="44" fontId="4" fillId="4" borderId="15" xfId="0" applyFont="1" applyFill="1" applyBorder="1" applyAlignment="1">
      <alignment vertical="center"/>
    </xf>
    <xf numFmtId="165" fontId="4" fillId="4" borderId="24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165" fontId="4" fillId="0" borderId="26" xfId="0" applyNumberFormat="1" applyFont="1" applyFill="1" applyBorder="1" applyAlignment="1">
      <alignment horizontal="left" vertical="center" indent="1"/>
    </xf>
    <xf numFmtId="44" fontId="5" fillId="0" borderId="7" xfId="0" applyNumberFormat="1" applyFont="1" applyFill="1" applyBorder="1" applyAlignment="1">
      <alignment horizontal="right" vertical="center"/>
    </xf>
    <xf numFmtId="165" fontId="4" fillId="0" borderId="8" xfId="0" applyNumberFormat="1" applyFont="1" applyFill="1" applyBorder="1" applyAlignment="1">
      <alignment horizontal="right" vertical="center"/>
    </xf>
    <xf numFmtId="44" fontId="4" fillId="0" borderId="7" xfId="1" applyFont="1" applyBorder="1" applyAlignment="1">
      <alignment vertical="center"/>
    </xf>
    <xf numFmtId="44" fontId="4" fillId="0" borderId="20" xfId="1" applyFont="1" applyBorder="1" applyAlignment="1">
      <alignment vertical="center"/>
    </xf>
    <xf numFmtId="0" fontId="5" fillId="0" borderId="7" xfId="0" applyNumberFormat="1" applyFont="1" applyFill="1" applyBorder="1" applyAlignment="1">
      <alignment horizontal="right" vertical="center"/>
    </xf>
    <xf numFmtId="165" fontId="4" fillId="0" borderId="11" xfId="0" applyNumberFormat="1" applyFont="1" applyFill="1" applyBorder="1" applyAlignment="1">
      <alignment horizontal="right" vertical="center"/>
    </xf>
    <xf numFmtId="44" fontId="4" fillId="0" borderId="10" xfId="1" applyFont="1" applyBorder="1" applyAlignment="1">
      <alignment vertical="center"/>
    </xf>
    <xf numFmtId="44" fontId="4" fillId="0" borderId="22" xfId="1" applyFont="1" applyBorder="1" applyAlignment="1">
      <alignment vertical="center"/>
    </xf>
    <xf numFmtId="0" fontId="5" fillId="4" borderId="14" xfId="0" applyNumberFormat="1" applyFont="1" applyFill="1" applyBorder="1" applyAlignment="1">
      <alignment horizontal="right" vertical="center"/>
    </xf>
    <xf numFmtId="165" fontId="5" fillId="4" borderId="18" xfId="0" applyNumberFormat="1" applyFont="1" applyFill="1" applyBorder="1" applyAlignment="1">
      <alignment horizontal="left" vertical="center" indent="1"/>
    </xf>
    <xf numFmtId="0" fontId="5" fillId="4" borderId="19" xfId="0" applyNumberFormat="1" applyFont="1" applyFill="1" applyBorder="1" applyAlignment="1">
      <alignment horizontal="right" vertical="center"/>
    </xf>
    <xf numFmtId="165" fontId="5" fillId="4" borderId="29" xfId="0" applyNumberFormat="1" applyFont="1" applyFill="1" applyBorder="1" applyAlignment="1">
      <alignment horizontal="right" vertical="center"/>
    </xf>
    <xf numFmtId="44" fontId="5" fillId="4" borderId="18" xfId="1" applyFont="1" applyFill="1" applyBorder="1" applyAlignment="1">
      <alignment vertical="center"/>
    </xf>
    <xf numFmtId="165" fontId="5" fillId="4" borderId="14" xfId="0" applyNumberFormat="1" applyFont="1" applyFill="1" applyBorder="1" applyAlignment="1">
      <alignment horizontal="right" vertical="center"/>
    </xf>
    <xf numFmtId="44" fontId="5" fillId="4" borderId="17" xfId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44" fontId="4" fillId="0" borderId="0" xfId="0" applyFont="1" applyFill="1" applyAlignment="1">
      <alignment horizontal="center"/>
    </xf>
    <xf numFmtId="44" fontId="4" fillId="0" borderId="0" xfId="0" applyFont="1" applyFill="1"/>
    <xf numFmtId="44" fontId="4" fillId="0" borderId="0" xfId="0" applyFont="1"/>
    <xf numFmtId="165" fontId="4" fillId="0" borderId="0" xfId="0" applyNumberFormat="1" applyFont="1"/>
    <xf numFmtId="44" fontId="4" fillId="0" borderId="0" xfId="0" applyFont="1" applyFill="1" applyAlignment="1">
      <alignment horizontal="left"/>
    </xf>
    <xf numFmtId="164" fontId="5" fillId="0" borderId="9" xfId="0" applyNumberFormat="1" applyFont="1" applyBorder="1" applyAlignment="1">
      <alignment horizontal="left" vertical="center"/>
    </xf>
    <xf numFmtId="44" fontId="5" fillId="0" borderId="3" xfId="0" applyFont="1" applyBorder="1" applyAlignment="1">
      <alignment vertical="center" wrapText="1"/>
    </xf>
    <xf numFmtId="44" fontId="5" fillId="0" borderId="2" xfId="0" applyFont="1" applyBorder="1" applyAlignment="1">
      <alignment vertical="center"/>
    </xf>
    <xf numFmtId="44" fontId="5" fillId="0" borderId="9" xfId="0" applyFont="1" applyBorder="1" applyAlignment="1">
      <alignment horizontal="center" vertical="center" textRotation="90" wrapText="1"/>
    </xf>
    <xf numFmtId="44" fontId="5" fillId="0" borderId="9" xfId="0" applyFont="1" applyBorder="1" applyAlignment="1">
      <alignment horizontal="center" vertical="center" wrapText="1"/>
    </xf>
    <xf numFmtId="44" fontId="5" fillId="0" borderId="9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44" fontId="5" fillId="0" borderId="18" xfId="0" applyFont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vertical="center"/>
    </xf>
    <xf numFmtId="169" fontId="4" fillId="4" borderId="17" xfId="0" applyNumberFormat="1" applyFont="1" applyFill="1" applyBorder="1" applyAlignment="1">
      <alignment horizontal="center" vertical="center"/>
    </xf>
    <xf numFmtId="173" fontId="5" fillId="4" borderId="17" xfId="0" applyNumberFormat="1" applyFont="1" applyFill="1" applyBorder="1" applyAlignment="1">
      <alignment horizontal="right" vertical="center"/>
    </xf>
    <xf numFmtId="2" fontId="4" fillId="4" borderId="17" xfId="0" applyNumberFormat="1" applyFont="1" applyFill="1" applyBorder="1" applyAlignment="1">
      <alignment horizontal="right" vertical="center"/>
    </xf>
    <xf numFmtId="172" fontId="5" fillId="4" borderId="17" xfId="0" applyNumberFormat="1" applyFont="1" applyFill="1" applyBorder="1" applyAlignment="1">
      <alignment horizontal="right" vertical="center"/>
    </xf>
    <xf numFmtId="2" fontId="5" fillId="4" borderId="17" xfId="0" applyNumberFormat="1" applyFont="1" applyFill="1" applyBorder="1" applyAlignment="1">
      <alignment vertical="center"/>
    </xf>
    <xf numFmtId="165" fontId="5" fillId="4" borderId="17" xfId="0" applyNumberFormat="1" applyFont="1" applyFill="1" applyBorder="1" applyAlignment="1">
      <alignment horizontal="center" vertical="center"/>
    </xf>
    <xf numFmtId="172" fontId="5" fillId="4" borderId="18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center" vertical="center"/>
    </xf>
    <xf numFmtId="44" fontId="12" fillId="0" borderId="0" xfId="0" applyFont="1"/>
    <xf numFmtId="44" fontId="11" fillId="4" borderId="14" xfId="0" applyFont="1" applyFill="1" applyBorder="1" applyAlignment="1">
      <alignment vertical="center"/>
    </xf>
    <xf numFmtId="44" fontId="6" fillId="4" borderId="17" xfId="0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168" fontId="4" fillId="0" borderId="4" xfId="0" applyNumberFormat="1" applyFont="1" applyBorder="1" applyAlignment="1">
      <alignment horizontal="right" vertical="center"/>
    </xf>
    <xf numFmtId="44" fontId="4" fillId="0" borderId="1" xfId="1" applyFont="1" applyBorder="1" applyAlignment="1">
      <alignment vertical="center"/>
    </xf>
    <xf numFmtId="44" fontId="4" fillId="0" borderId="1" xfId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168" fontId="4" fillId="4" borderId="4" xfId="0" applyNumberFormat="1" applyFont="1" applyFill="1" applyBorder="1" applyAlignment="1">
      <alignment horizontal="right" vertical="center"/>
    </xf>
    <xf numFmtId="169" fontId="4" fillId="4" borderId="1" xfId="0" applyNumberFormat="1" applyFont="1" applyFill="1" applyBorder="1" applyAlignment="1">
      <alignment horizontal="center" vertical="center"/>
    </xf>
    <xf numFmtId="44" fontId="6" fillId="4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right" vertical="center"/>
    </xf>
    <xf numFmtId="173" fontId="4" fillId="4" borderId="1" xfId="0" applyNumberFormat="1" applyFont="1" applyFill="1" applyBorder="1" applyAlignment="1">
      <alignment horizontal="right" vertical="center" wrapText="1"/>
    </xf>
    <xf numFmtId="172" fontId="4" fillId="4" borderId="1" xfId="0" applyNumberFormat="1" applyFont="1" applyFill="1" applyBorder="1" applyAlignment="1">
      <alignment horizontal="right" vertical="center"/>
    </xf>
    <xf numFmtId="44" fontId="5" fillId="4" borderId="1" xfId="0" applyFont="1" applyFill="1" applyBorder="1" applyAlignment="1">
      <alignment horizontal="center" vertical="center"/>
    </xf>
    <xf numFmtId="172" fontId="4" fillId="4" borderId="5" xfId="0" applyNumberFormat="1" applyFont="1" applyFill="1" applyBorder="1" applyAlignment="1">
      <alignment horizontal="right" vertical="center"/>
    </xf>
    <xf numFmtId="3" fontId="4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right" vertical="center"/>
    </xf>
    <xf numFmtId="2" fontId="4" fillId="0" borderId="1" xfId="9" applyNumberFormat="1" applyFont="1" applyBorder="1" applyAlignment="1">
      <alignment horizontal="right" vertical="center"/>
    </xf>
    <xf numFmtId="44" fontId="4" fillId="0" borderId="1" xfId="9" applyNumberFormat="1" applyFont="1" applyBorder="1" applyAlignment="1">
      <alignment horizontal="right" vertical="center"/>
    </xf>
    <xf numFmtId="44" fontId="4" fillId="0" borderId="1" xfId="1" applyFont="1" applyAlignment="1">
      <alignment horizontal="center" vertical="center"/>
    </xf>
    <xf numFmtId="44" fontId="4" fillId="0" borderId="1" xfId="9" applyNumberFormat="1" applyFont="1" applyBorder="1" applyAlignment="1">
      <alignment horizontal="left" vertical="center"/>
    </xf>
    <xf numFmtId="167" fontId="4" fillId="0" borderId="1" xfId="0" applyNumberFormat="1" applyFont="1" applyFill="1" applyBorder="1" applyAlignment="1">
      <alignment vertical="center"/>
    </xf>
    <xf numFmtId="166" fontId="4" fillId="0" borderId="5" xfId="0" applyNumberFormat="1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/>
    </xf>
    <xf numFmtId="44" fontId="4" fillId="0" borderId="1" xfId="9" applyNumberFormat="1" applyFont="1" applyFill="1" applyBorder="1" applyAlignment="1">
      <alignment horizontal="right"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horizontal="right" vertical="center"/>
    </xf>
    <xf numFmtId="2" fontId="4" fillId="0" borderId="1" xfId="9" applyNumberFormat="1" applyFont="1" applyFill="1" applyBorder="1" applyAlignment="1">
      <alignment horizontal="right" vertical="center"/>
    </xf>
    <xf numFmtId="169" fontId="4" fillId="0" borderId="1" xfId="0" applyNumberFormat="1" applyFont="1" applyFill="1" applyBorder="1" applyAlignment="1">
      <alignment horizontal="center" vertical="center" wrapText="1"/>
    </xf>
    <xf numFmtId="173" fontId="4" fillId="0" borderId="1" xfId="0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vertical="center"/>
    </xf>
    <xf numFmtId="44" fontId="4" fillId="3" borderId="21" xfId="0" applyFont="1" applyFill="1" applyBorder="1" applyAlignment="1">
      <alignment horizontal="right" vertical="center"/>
    </xf>
    <xf numFmtId="169" fontId="4" fillId="3" borderId="0" xfId="0" applyNumberFormat="1" applyFont="1" applyFill="1" applyAlignment="1">
      <alignment horizontal="center" vertical="center"/>
    </xf>
    <xf numFmtId="44" fontId="6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173" fontId="4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44" fontId="5" fillId="3" borderId="0" xfId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vertical="center"/>
    </xf>
    <xf numFmtId="166" fontId="5" fillId="2" borderId="30" xfId="0" applyNumberFormat="1" applyFont="1" applyFill="1" applyBorder="1" applyAlignment="1">
      <alignment vertical="center"/>
    </xf>
    <xf numFmtId="172" fontId="4" fillId="4" borderId="17" xfId="0" applyNumberFormat="1" applyFont="1" applyFill="1" applyBorder="1" applyAlignment="1">
      <alignment horizontal="right" vertical="center"/>
    </xf>
    <xf numFmtId="44" fontId="4" fillId="4" borderId="17" xfId="0" applyFont="1" applyFill="1" applyBorder="1" applyAlignment="1">
      <alignment horizontal="center" vertical="center"/>
    </xf>
    <xf numFmtId="0" fontId="11" fillId="4" borderId="17" xfId="0" applyNumberFormat="1" applyFont="1" applyFill="1" applyBorder="1" applyAlignment="1">
      <alignment horizontal="right" vertical="center"/>
    </xf>
    <xf numFmtId="165" fontId="4" fillId="4" borderId="14" xfId="0" applyNumberFormat="1" applyFont="1" applyFill="1" applyBorder="1" applyAlignment="1">
      <alignment horizontal="right" vertical="center"/>
    </xf>
    <xf numFmtId="44" fontId="4" fillId="4" borderId="18" xfId="0" applyFont="1" applyFill="1" applyBorder="1" applyAlignment="1">
      <alignment vertical="center"/>
    </xf>
    <xf numFmtId="165" fontId="13" fillId="4" borderId="14" xfId="0" applyNumberFormat="1" applyFont="1" applyFill="1" applyBorder="1" applyAlignment="1">
      <alignment horizontal="right" vertical="center"/>
    </xf>
    <xf numFmtId="44" fontId="14" fillId="4" borderId="18" xfId="0" applyNumberFormat="1" applyFont="1" applyFill="1" applyBorder="1" applyAlignment="1" applyProtection="1">
      <alignment vertical="center"/>
    </xf>
    <xf numFmtId="44" fontId="4" fillId="0" borderId="0" xfId="0" applyFont="1" applyFill="1" applyBorder="1" applyAlignment="1">
      <alignment horizontal="left" vertical="center"/>
    </xf>
    <xf numFmtId="0" fontId="4" fillId="0" borderId="1" xfId="9" applyFont="1" applyBorder="1" applyAlignment="1">
      <alignment horizontal="center" vertical="center"/>
    </xf>
    <xf numFmtId="0" fontId="4" fillId="5" borderId="1" xfId="9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169" fontId="4" fillId="4" borderId="1" xfId="0" applyNumberFormat="1" applyFont="1" applyFill="1" applyBorder="1" applyAlignment="1">
      <alignment horizontal="right" vertical="center" wrapText="1"/>
    </xf>
    <xf numFmtId="174" fontId="6" fillId="4" borderId="1" xfId="0" applyNumberFormat="1" applyFont="1" applyFill="1" applyBorder="1" applyAlignment="1">
      <alignment horizontal="left" vertical="center"/>
    </xf>
    <xf numFmtId="171" fontId="4" fillId="4" borderId="1" xfId="0" applyNumberFormat="1" applyFont="1" applyFill="1" applyBorder="1" applyAlignment="1">
      <alignment horizontal="right" vertical="center" wrapText="1"/>
    </xf>
    <xf numFmtId="44" fontId="4" fillId="4" borderId="1" xfId="1" applyFont="1" applyFill="1" applyAlignment="1">
      <alignment vertical="center"/>
    </xf>
    <xf numFmtId="44" fontId="4" fillId="4" borderId="1" xfId="1" applyFont="1" applyFill="1" applyAlignment="1">
      <alignment horizontal="center" vertical="center"/>
    </xf>
    <xf numFmtId="167" fontId="4" fillId="4" borderId="1" xfId="0" applyNumberFormat="1" applyFont="1" applyFill="1" applyBorder="1" applyAlignment="1">
      <alignment vertical="center"/>
    </xf>
    <xf numFmtId="166" fontId="4" fillId="4" borderId="5" xfId="0" applyNumberFormat="1" applyFont="1" applyFill="1" applyBorder="1" applyAlignment="1">
      <alignment vertical="center"/>
    </xf>
    <xf numFmtId="44" fontId="4" fillId="0" borderId="1" xfId="0" applyFont="1" applyFill="1" applyBorder="1" applyAlignment="1">
      <alignment vertical="center" wrapText="1"/>
    </xf>
    <xf numFmtId="44" fontId="4" fillId="0" borderId="1" xfId="1" applyFont="1" applyFill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168" fontId="4" fillId="0" borderId="4" xfId="0" applyNumberFormat="1" applyFont="1" applyFill="1" applyBorder="1" applyAlignment="1">
      <alignment horizontal="right" vertical="center"/>
    </xf>
    <xf numFmtId="0" fontId="5" fillId="4" borderId="1" xfId="0" applyNumberFormat="1" applyFont="1" applyFill="1" applyBorder="1" applyAlignment="1">
      <alignment horizontal="right" vertical="center"/>
    </xf>
    <xf numFmtId="173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4" fontId="5" fillId="4" borderId="1" xfId="1" applyFont="1" applyFill="1" applyBorder="1" applyAlignment="1">
      <alignment vertical="center"/>
    </xf>
    <xf numFmtId="44" fontId="5" fillId="4" borderId="5" xfId="1" applyFont="1" applyFill="1" applyBorder="1" applyAlignment="1">
      <alignment vertical="center"/>
    </xf>
    <xf numFmtId="44" fontId="4" fillId="0" borderId="4" xfId="0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right" vertical="center"/>
    </xf>
    <xf numFmtId="166" fontId="5" fillId="4" borderId="5" xfId="0" applyNumberFormat="1" applyFont="1" applyFill="1" applyBorder="1" applyAlignment="1">
      <alignment vertical="center"/>
    </xf>
    <xf numFmtId="44" fontId="4" fillId="3" borderId="25" xfId="0" applyFont="1" applyFill="1" applyBorder="1" applyAlignment="1">
      <alignment horizontal="right" vertical="center"/>
    </xf>
    <xf numFmtId="169" fontId="4" fillId="3" borderId="26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vertical="center"/>
    </xf>
    <xf numFmtId="49" fontId="4" fillId="2" borderId="26" xfId="0" applyNumberFormat="1" applyFont="1" applyFill="1" applyBorder="1" applyAlignment="1">
      <alignment horizontal="right" vertical="center"/>
    </xf>
    <xf numFmtId="173" fontId="4" fillId="2" borderId="26" xfId="0" applyNumberFormat="1" applyFont="1" applyFill="1" applyBorder="1" applyAlignment="1">
      <alignment horizontal="right" vertical="center"/>
    </xf>
    <xf numFmtId="2" fontId="4" fillId="2" borderId="26" xfId="0" applyNumberFormat="1" applyFont="1" applyFill="1" applyBorder="1" applyAlignment="1">
      <alignment horizontal="right" vertical="center"/>
    </xf>
    <xf numFmtId="44" fontId="5" fillId="3" borderId="26" xfId="1" applyFont="1" applyFill="1" applyBorder="1" applyAlignment="1">
      <alignment vertical="center"/>
    </xf>
    <xf numFmtId="4" fontId="4" fillId="2" borderId="26" xfId="0" applyNumberFormat="1" applyFont="1" applyFill="1" applyBorder="1" applyAlignment="1">
      <alignment horizontal="right" vertical="center"/>
    </xf>
    <xf numFmtId="166" fontId="4" fillId="2" borderId="26" xfId="0" applyNumberFormat="1" applyFont="1" applyFill="1" applyBorder="1" applyAlignment="1">
      <alignment vertical="center"/>
    </xf>
    <xf numFmtId="166" fontId="5" fillId="2" borderId="22" xfId="0" applyNumberFormat="1" applyFont="1" applyFill="1" applyBorder="1" applyAlignment="1">
      <alignment vertical="center"/>
    </xf>
    <xf numFmtId="44" fontId="4" fillId="4" borderId="18" xfId="0" applyNumberFormat="1" applyFont="1" applyFill="1" applyBorder="1" applyAlignment="1" applyProtection="1">
      <alignment vertical="center"/>
    </xf>
    <xf numFmtId="44" fontId="12" fillId="0" borderId="0" xfId="0" applyFont="1" applyAlignment="1">
      <alignment horizontal="right" vertical="center"/>
    </xf>
    <xf numFmtId="44" fontId="4" fillId="0" borderId="1" xfId="1" applyFont="1" applyFill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169" fontId="4" fillId="4" borderId="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9" fontId="4" fillId="4" borderId="5" xfId="0" applyNumberFormat="1" applyFont="1" applyFill="1" applyBorder="1" applyAlignment="1">
      <alignment horizontal="center" vertical="center"/>
    </xf>
    <xf numFmtId="173" fontId="4" fillId="0" borderId="1" xfId="0" applyNumberFormat="1" applyFont="1" applyBorder="1" applyAlignment="1">
      <alignment horizontal="right" vertical="center" wrapText="1"/>
    </xf>
    <xf numFmtId="44" fontId="6" fillId="4" borderId="1" xfId="0" applyFont="1" applyFill="1" applyBorder="1" applyAlignment="1">
      <alignment horizontal="right" vertical="center"/>
    </xf>
    <xf numFmtId="44" fontId="4" fillId="4" borderId="4" xfId="0" applyFont="1" applyFill="1" applyBorder="1" applyAlignment="1">
      <alignment horizontal="right" vertical="center"/>
    </xf>
    <xf numFmtId="44" fontId="4" fillId="4" borderId="5" xfId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right" vertical="center" wrapText="1"/>
    </xf>
    <xf numFmtId="174" fontId="4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71" fontId="4" fillId="0" borderId="1" xfId="0" applyNumberFormat="1" applyFont="1" applyBorder="1" applyAlignment="1">
      <alignment horizontal="right" vertical="center" wrapText="1"/>
    </xf>
    <xf numFmtId="170" fontId="4" fillId="0" borderId="1" xfId="1" applyNumberFormat="1" applyFont="1" applyAlignment="1">
      <alignment vertical="center"/>
    </xf>
    <xf numFmtId="167" fontId="4" fillId="0" borderId="1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44" fontId="4" fillId="0" borderId="1" xfId="0" applyFont="1" applyBorder="1" applyAlignment="1">
      <alignment vertical="center" wrapText="1"/>
    </xf>
    <xf numFmtId="173" fontId="4" fillId="0" borderId="1" xfId="0" applyNumberFormat="1" applyFont="1" applyBorder="1" applyAlignment="1">
      <alignment horizontal="right" vertical="center"/>
    </xf>
    <xf numFmtId="44" fontId="4" fillId="0" borderId="1" xfId="1" applyFont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6" fillId="4" borderId="4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/>
    </xf>
    <xf numFmtId="170" fontId="4" fillId="4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right" vertical="center"/>
    </xf>
    <xf numFmtId="0" fontId="6" fillId="4" borderId="27" xfId="0" applyNumberFormat="1" applyFont="1" applyFill="1" applyBorder="1" applyAlignment="1">
      <alignment vertical="center"/>
    </xf>
    <xf numFmtId="169" fontId="4" fillId="4" borderId="6" xfId="0" applyNumberFormat="1" applyFont="1" applyFill="1" applyBorder="1" applyAlignment="1">
      <alignment horizontal="right" vertical="center" wrapText="1"/>
    </xf>
    <xf numFmtId="0" fontId="6" fillId="4" borderId="6" xfId="0" applyNumberFormat="1" applyFont="1" applyFill="1" applyBorder="1" applyAlignment="1">
      <alignment vertical="center"/>
    </xf>
    <xf numFmtId="49" fontId="4" fillId="4" borderId="6" xfId="0" applyNumberFormat="1" applyFont="1" applyFill="1" applyBorder="1" applyAlignment="1">
      <alignment horizontal="right" vertical="center"/>
    </xf>
    <xf numFmtId="173" fontId="4" fillId="4" borderId="6" xfId="0" applyNumberFormat="1" applyFont="1" applyFill="1" applyBorder="1" applyAlignment="1">
      <alignment horizontal="right" vertical="center"/>
    </xf>
    <xf numFmtId="2" fontId="4" fillId="4" borderId="6" xfId="0" applyNumberFormat="1" applyFont="1" applyFill="1" applyBorder="1" applyAlignment="1">
      <alignment horizontal="right" vertical="center"/>
    </xf>
    <xf numFmtId="170" fontId="4" fillId="4" borderId="6" xfId="0" applyNumberFormat="1" applyFont="1" applyFill="1" applyBorder="1" applyAlignment="1">
      <alignment vertical="center"/>
    </xf>
    <xf numFmtId="4" fontId="4" fillId="4" borderId="6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vertical="center"/>
    </xf>
    <xf numFmtId="2" fontId="4" fillId="4" borderId="28" xfId="0" applyNumberFormat="1" applyFont="1" applyFill="1" applyBorder="1" applyAlignment="1">
      <alignment vertical="center"/>
    </xf>
    <xf numFmtId="179" fontId="4" fillId="4" borderId="1" xfId="0" applyNumberFormat="1" applyFont="1" applyFill="1" applyBorder="1" applyAlignment="1">
      <alignment horizontal="right" vertical="center"/>
    </xf>
    <xf numFmtId="171" fontId="4" fillId="0" borderId="1" xfId="0" applyNumberFormat="1" applyFont="1" applyFill="1" applyBorder="1" applyAlignment="1">
      <alignment horizontal="right" vertical="center" wrapText="1"/>
    </xf>
    <xf numFmtId="170" fontId="4" fillId="0" borderId="1" xfId="1" applyNumberFormat="1" applyFont="1" applyBorder="1" applyAlignment="1">
      <alignment vertical="center"/>
    </xf>
    <xf numFmtId="169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4" fontId="15" fillId="4" borderId="1" xfId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69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178" fontId="4" fillId="4" borderId="1" xfId="0" applyNumberFormat="1" applyFont="1" applyFill="1" applyBorder="1" applyAlignment="1">
      <alignment horizontal="right" vertical="center"/>
    </xf>
    <xf numFmtId="169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68" fontId="4" fillId="0" borderId="16" xfId="0" applyNumberFormat="1" applyFont="1" applyFill="1" applyBorder="1" applyAlignment="1">
      <alignment horizontal="right" vertical="center"/>
    </xf>
    <xf numFmtId="169" fontId="4" fillId="0" borderId="12" xfId="0" applyNumberFormat="1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173" fontId="4" fillId="4" borderId="12" xfId="0" applyNumberFormat="1" applyFont="1" applyFill="1" applyBorder="1" applyAlignment="1">
      <alignment horizontal="right" vertical="center"/>
    </xf>
    <xf numFmtId="2" fontId="4" fillId="4" borderId="12" xfId="0" applyNumberFormat="1" applyFont="1" applyFill="1" applyBorder="1" applyAlignment="1">
      <alignment horizontal="right" vertical="center"/>
    </xf>
    <xf numFmtId="44" fontId="5" fillId="4" borderId="12" xfId="1" applyFont="1" applyFill="1" applyBorder="1" applyAlignment="1">
      <alignment vertical="center"/>
    </xf>
    <xf numFmtId="166" fontId="5" fillId="4" borderId="13" xfId="0" applyNumberFormat="1" applyFont="1" applyFill="1" applyBorder="1" applyAlignment="1">
      <alignment vertical="center"/>
    </xf>
    <xf numFmtId="169" fontId="4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167" fontId="4" fillId="4" borderId="28" xfId="0" applyNumberFormat="1" applyFont="1" applyFill="1" applyBorder="1" applyAlignment="1">
      <alignment vertical="center"/>
    </xf>
    <xf numFmtId="175" fontId="4" fillId="0" borderId="1" xfId="1" applyNumberFormat="1" applyFont="1" applyFill="1" applyBorder="1" applyAlignment="1">
      <alignment vertical="center"/>
    </xf>
    <xf numFmtId="44" fontId="4" fillId="0" borderId="0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44" fontId="4" fillId="0" borderId="0" xfId="0" applyFont="1" applyFill="1" applyAlignment="1">
      <alignment horizontal="left" vertical="center"/>
    </xf>
    <xf numFmtId="49" fontId="4" fillId="0" borderId="1" xfId="9" applyNumberFormat="1" applyFont="1" applyBorder="1" applyAlignment="1">
      <alignment horizontal="left" vertical="center" wrapText="1"/>
    </xf>
    <xf numFmtId="49" fontId="4" fillId="0" borderId="1" xfId="9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</cellXfs>
  <cellStyles count="20">
    <cellStyle name="2016 mena" xfId="1"/>
    <cellStyle name="čiarky 2" xfId="17"/>
    <cellStyle name="Normal 2" xfId="19"/>
    <cellStyle name="Normálna" xfId="0" builtinId="0" customBuiltin="1"/>
    <cellStyle name="Normálna 2" xfId="2"/>
    <cellStyle name="Normálna 2 2" xfId="5"/>
    <cellStyle name="Normálna 3" xfId="3"/>
    <cellStyle name="Normálna 4" xfId="6"/>
    <cellStyle name="Normálna 5" xfId="7"/>
    <cellStyle name="Normálna 6" xfId="9"/>
    <cellStyle name="Normálna 7" xfId="11"/>
    <cellStyle name="Normálna 9" xfId="4"/>
    <cellStyle name="normálne 2" xfId="8"/>
    <cellStyle name="normálne 2 2" xfId="10"/>
    <cellStyle name="normálne 3" xfId="12"/>
    <cellStyle name="normálne 3 2" xfId="16"/>
    <cellStyle name="normálne 4" xfId="15"/>
    <cellStyle name="normálne 5" xfId="14"/>
    <cellStyle name="normálne_Hárok1" xfId="13"/>
    <cellStyle name="normální_TS Športová hala - Cassovia" xfId="18"/>
  </cellStyles>
  <dxfs count="20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00&quot; t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.000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.0000&quot; t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.000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2" formatCode="_-* #,##0.00\ [$€-1]_-;\-* #,##0.00\ [$€-1]_-;_-* &quot;-&quot;??\ [$€-1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2" formatCode="_-* #,##0.00\ [$€-1]_-;\-* #,##0.00\ [$€-1]_-;_-* &quot;-&quot;??\ [$€-1]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.000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3" formatCode="0.00;\-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30" formatCode="@"/>
      <alignment horizontal="right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72" formatCode="_-* #,##0.00\ [$€-1]_-;\-* #,##0.00\ [$€-1]_-;_-* &quot;-&quot;??\ [$€-1]_-;_-@_-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9" formatCode="000&quot; &quot;00&quot; &quot;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0&quot;.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0"/>
        <name val="Calibri"/>
        <scheme val="none"/>
      </font>
      <alignment vertical="center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sz val="10"/>
        <color auto="1"/>
        <name val="Calibri"/>
        <scheme val="none"/>
      </font>
      <alignment vertical="center" indent="0" justifyLastLine="0" shrinkToFit="0" readingOrder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indent="0" justifyLastLine="0" shrinkToFit="0" readingOrder="0"/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 val="0"/>
        <i val="0"/>
        <strike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59996337778862885"/>
        </patternFill>
      </fill>
    </dxf>
  </dxfs>
  <tableStyles count="1" defaultTableStyle="TableStyleMedium9" defaultPivotStyle="PivotStyleLight16">
    <tableStyle name="Štýl tabuľky 1" pivot="0" count="0"/>
  </tableStyles>
  <colors>
    <mruColors>
      <color rgb="FFDCFFBD"/>
      <color rgb="FFF2FFE7"/>
      <color rgb="FFFFE5FF"/>
      <color rgb="FFFFFF99"/>
      <color rgb="FFFFB3B3"/>
      <color rgb="FFFFCDCD"/>
      <color rgb="FFCCFFCC"/>
      <color rgb="FFFFFFCC"/>
      <color rgb="FFD1FFFF"/>
      <color rgb="FFF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uľka335" displayName="Tabuľka335" ref="A26:J27" totalsRowShown="0" headerRowDxfId="23" dataDxfId="22" totalsRowDxfId="20" tableBorderDxfId="21">
  <autoFilter ref="A26:J27"/>
  <tableColumns count="10">
    <tableColumn id="1" name="Poradie položky" dataDxfId="19" totalsRowDxfId="18">
      <calculatedColumnFormula>B2</calculatedColumnFormula>
    </tableColumn>
    <tableColumn id="2" name="Číslo položky cenníka" dataDxfId="17" totalsRowDxfId="16"/>
    <tableColumn id="3" name="Skrátený popis" dataDxfId="15" totalsRowDxfId="14"/>
    <tableColumn id="4" name="Merná jednotka (m.j.)" dataDxfId="13" totalsRowDxfId="12"/>
    <tableColumn id="6" name="Množstvo_x000a_[m.j]" dataDxfId="11" totalsRowDxfId="10"/>
    <tableColumn id="5" name="Jednotková cena_x000a_[€ bez DPH/m.j.]" dataDxfId="9" totalsRowDxfId="8"/>
    <tableColumn id="7" name="Materiál -_x000a_Dodávka_x000a_[€ bez DPH]" dataDxfId="7" totalsRowDxfId="6" dataCellStyle="2016 mena"/>
    <tableColumn id="8" name="Práce - _x000a_montáž_x000a_[€ bez DPH]" dataDxfId="5" totalsRowDxfId="4" dataCellStyle="2016 mena"/>
    <tableColumn id="9" name="Jednotková hmotnosť_x000a_ [...]" dataDxfId="3" totalsRowDxfId="2"/>
    <tableColumn id="10" name="Celková hmotnosť_x000a_ [t]" dataDxfId="1" totalsRowDxfId="0" dataCellStyle="2016 mena"/>
  </tableColumns>
  <tableStyleInfo name="Štýl tabuľky 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abSelected="1" view="pageBreakPreview" topLeftCell="A139" zoomScale="95" zoomScaleNormal="100" zoomScaleSheetLayoutView="95" workbookViewId="0">
      <selection activeCell="N70" sqref="N70"/>
    </sheetView>
  </sheetViews>
  <sheetFormatPr defaultRowHeight="12.75" x14ac:dyDescent="0.25"/>
  <cols>
    <col min="1" max="1" width="5.85546875" style="20" customWidth="1"/>
    <col min="2" max="2" width="14.28515625" style="20" customWidth="1"/>
    <col min="3" max="3" width="76.28515625" style="20" customWidth="1"/>
    <col min="4" max="4" width="7.7109375" style="23" customWidth="1"/>
    <col min="5" max="5" width="10.7109375" style="20" customWidth="1"/>
    <col min="6" max="8" width="13.7109375" style="20" customWidth="1"/>
    <col min="9" max="9" width="14.7109375" style="235" customWidth="1"/>
    <col min="10" max="10" width="15.42578125" style="236" customWidth="1"/>
    <col min="11" max="16384" width="9.140625" style="26"/>
  </cols>
  <sheetData>
    <row r="1" spans="1:10" x14ac:dyDescent="0.25">
      <c r="B1" s="21"/>
      <c r="C1" s="22"/>
      <c r="E1" s="24"/>
      <c r="H1" s="25"/>
      <c r="I1" s="22"/>
      <c r="J1" s="22"/>
    </row>
    <row r="2" spans="1:10" x14ac:dyDescent="0.25">
      <c r="B2" s="27" t="s">
        <v>100</v>
      </c>
      <c r="C2" s="22"/>
      <c r="E2" s="24"/>
      <c r="F2" s="28"/>
      <c r="G2" s="23"/>
      <c r="H2" s="29"/>
      <c r="I2" s="30"/>
      <c r="J2" s="20"/>
    </row>
    <row r="3" spans="1:10" x14ac:dyDescent="0.25">
      <c r="B3" s="27" t="s">
        <v>109</v>
      </c>
      <c r="C3" s="22"/>
      <c r="E3" s="24"/>
      <c r="F3" s="31"/>
      <c r="G3" s="23"/>
      <c r="H3" s="29"/>
      <c r="I3" s="30"/>
      <c r="J3" s="20"/>
    </row>
    <row r="4" spans="1:10" x14ac:dyDescent="0.25">
      <c r="B4" s="21" t="s">
        <v>69</v>
      </c>
      <c r="C4" s="22"/>
      <c r="E4" s="24"/>
      <c r="F4" s="31"/>
      <c r="H4" s="29"/>
      <c r="I4" s="30"/>
      <c r="J4" s="20"/>
    </row>
    <row r="5" spans="1:10" x14ac:dyDescent="0.25">
      <c r="B5" s="21" t="s">
        <v>99</v>
      </c>
      <c r="C5" s="22"/>
      <c r="E5" s="24"/>
      <c r="F5" s="31"/>
      <c r="H5" s="29"/>
      <c r="I5" s="30"/>
      <c r="J5" s="20"/>
    </row>
    <row r="6" spans="1:10" x14ac:dyDescent="0.25">
      <c r="B6" s="21" t="s">
        <v>179</v>
      </c>
      <c r="C6" s="22"/>
      <c r="E6" s="32"/>
      <c r="F6" s="31"/>
      <c r="H6" s="29"/>
      <c r="I6" s="30"/>
      <c r="J6" s="20"/>
    </row>
    <row r="7" spans="1:10" x14ac:dyDescent="0.25">
      <c r="A7" s="26"/>
      <c r="B7" s="21" t="s">
        <v>153</v>
      </c>
      <c r="C7" s="22"/>
      <c r="E7" s="32"/>
      <c r="F7" s="31"/>
      <c r="H7" s="29"/>
      <c r="I7" s="30"/>
      <c r="J7" s="20"/>
    </row>
    <row r="8" spans="1:10" x14ac:dyDescent="0.25">
      <c r="A8" s="26"/>
      <c r="B8" s="21"/>
      <c r="C8" s="22"/>
      <c r="E8" s="32"/>
      <c r="F8" s="31"/>
      <c r="H8" s="29"/>
      <c r="I8" s="30"/>
      <c r="J8" s="20"/>
    </row>
    <row r="9" spans="1:10" ht="13.5" thickBot="1" x14ac:dyDescent="0.3">
      <c r="A9" s="21"/>
      <c r="B9" s="33"/>
      <c r="C9" s="22"/>
      <c r="E9" s="32"/>
      <c r="F9" s="31"/>
      <c r="H9" s="29"/>
      <c r="I9" s="30"/>
      <c r="J9" s="20"/>
    </row>
    <row r="10" spans="1:10" x14ac:dyDescent="0.25">
      <c r="A10" s="21"/>
      <c r="B10" s="34" t="s">
        <v>210</v>
      </c>
      <c r="C10" s="35"/>
      <c r="D10" s="35"/>
      <c r="E10" s="36"/>
      <c r="F10" s="36"/>
      <c r="G10" s="36"/>
      <c r="H10" s="36"/>
      <c r="I10" s="37"/>
      <c r="J10" s="38"/>
    </row>
    <row r="11" spans="1:10" x14ac:dyDescent="0.25">
      <c r="A11" s="21"/>
      <c r="B11" s="39"/>
      <c r="C11" s="40"/>
      <c r="D11" s="41" t="str">
        <f>A29</f>
        <v xml:space="preserve"> 1 Asanácie - búracie práce</v>
      </c>
      <c r="E11" s="42" t="s">
        <v>16</v>
      </c>
      <c r="F11" s="43">
        <f>F42</f>
        <v>0</v>
      </c>
      <c r="G11" s="42" t="s">
        <v>27</v>
      </c>
      <c r="H11" s="43">
        <f t="shared" ref="H11:H18" si="0">ROUND(F11*0.2,2)</f>
        <v>0</v>
      </c>
      <c r="I11" s="42" t="s">
        <v>17</v>
      </c>
      <c r="J11" s="44">
        <f t="shared" ref="J11:J18" si="1">F11*1.2</f>
        <v>0</v>
      </c>
    </row>
    <row r="12" spans="1:10" x14ac:dyDescent="0.25">
      <c r="A12" s="21"/>
      <c r="B12" s="39"/>
      <c r="C12" s="40"/>
      <c r="D12" s="41" t="str">
        <f>A45</f>
        <v>2 Plocha A - detské ihrisko</v>
      </c>
      <c r="E12" s="42" t="s">
        <v>16</v>
      </c>
      <c r="F12" s="43">
        <f>F64</f>
        <v>0</v>
      </c>
      <c r="G12" s="42" t="s">
        <v>27</v>
      </c>
      <c r="H12" s="43">
        <f t="shared" si="0"/>
        <v>0</v>
      </c>
      <c r="I12" s="42" t="s">
        <v>17</v>
      </c>
      <c r="J12" s="44">
        <f t="shared" si="1"/>
        <v>0</v>
      </c>
    </row>
    <row r="13" spans="1:10" x14ac:dyDescent="0.25">
      <c r="A13" s="21"/>
      <c r="B13" s="39"/>
      <c r="C13" s="40"/>
      <c r="D13" s="45" t="str">
        <f>A66</f>
        <v>3 Plocha B - detské ihrisko</v>
      </c>
      <c r="E13" s="42" t="s">
        <v>16</v>
      </c>
      <c r="F13" s="43">
        <f>F80</f>
        <v>0</v>
      </c>
      <c r="G13" s="42" t="s">
        <v>27</v>
      </c>
      <c r="H13" s="43">
        <f t="shared" si="0"/>
        <v>0</v>
      </c>
      <c r="I13" s="42" t="s">
        <v>17</v>
      </c>
      <c r="J13" s="44">
        <f t="shared" si="1"/>
        <v>0</v>
      </c>
    </row>
    <row r="14" spans="1:10" x14ac:dyDescent="0.25">
      <c r="A14" s="21"/>
      <c r="B14" s="39"/>
      <c r="C14" s="40"/>
      <c r="D14" s="45" t="str">
        <f>A82</f>
        <v>4 Plocha C - fitness ihrisko</v>
      </c>
      <c r="E14" s="42" t="s">
        <v>16</v>
      </c>
      <c r="F14" s="43">
        <f>F96</f>
        <v>0</v>
      </c>
      <c r="G14" s="42" t="s">
        <v>27</v>
      </c>
      <c r="H14" s="43">
        <f t="shared" si="0"/>
        <v>0</v>
      </c>
      <c r="I14" s="42" t="s">
        <v>17</v>
      </c>
      <c r="J14" s="44">
        <f t="shared" si="1"/>
        <v>0</v>
      </c>
    </row>
    <row r="15" spans="1:10" x14ac:dyDescent="0.25">
      <c r="A15" s="21"/>
      <c r="B15" s="39"/>
      <c r="C15" s="40"/>
      <c r="D15" s="45" t="str">
        <f>A98</f>
        <v>5 Plocha D - agility kynologické ihrisko - hracie prvky</v>
      </c>
      <c r="E15" s="42" t="s">
        <v>16</v>
      </c>
      <c r="F15" s="43">
        <f>F112</f>
        <v>0</v>
      </c>
      <c r="G15" s="42" t="s">
        <v>27</v>
      </c>
      <c r="H15" s="43">
        <f t="shared" si="0"/>
        <v>0</v>
      </c>
      <c r="I15" s="42" t="s">
        <v>17</v>
      </c>
      <c r="J15" s="44">
        <f t="shared" si="1"/>
        <v>0</v>
      </c>
    </row>
    <row r="16" spans="1:10" x14ac:dyDescent="0.25">
      <c r="A16" s="21"/>
      <c r="B16" s="39"/>
      <c r="C16" s="40"/>
      <c r="D16" s="45" t="str">
        <f>A114</f>
        <v>6 Plocha D - agility kynologické ihrisko - ostatné</v>
      </c>
      <c r="E16" s="46" t="s">
        <v>16</v>
      </c>
      <c r="F16" s="47">
        <f>F136</f>
        <v>0</v>
      </c>
      <c r="G16" s="46" t="s">
        <v>27</v>
      </c>
      <c r="H16" s="47">
        <f t="shared" si="0"/>
        <v>0</v>
      </c>
      <c r="I16" s="46" t="s">
        <v>17</v>
      </c>
      <c r="J16" s="48">
        <f t="shared" si="1"/>
        <v>0</v>
      </c>
    </row>
    <row r="17" spans="1:10" x14ac:dyDescent="0.25">
      <c r="A17" s="21"/>
      <c r="B17" s="39"/>
      <c r="C17" s="40"/>
      <c r="D17" s="45" t="str">
        <f>A138</f>
        <v>7 Lavičky a koše</v>
      </c>
      <c r="E17" s="42" t="s">
        <v>16</v>
      </c>
      <c r="F17" s="43">
        <f>F155</f>
        <v>0</v>
      </c>
      <c r="G17" s="42" t="s">
        <v>27</v>
      </c>
      <c r="H17" s="43">
        <f t="shared" si="0"/>
        <v>0</v>
      </c>
      <c r="I17" s="42" t="s">
        <v>17</v>
      </c>
      <c r="J17" s="44">
        <f t="shared" si="1"/>
        <v>0</v>
      </c>
    </row>
    <row r="18" spans="1:10" x14ac:dyDescent="0.25">
      <c r="A18" s="21"/>
      <c r="B18" s="39"/>
      <c r="C18" s="40"/>
      <c r="D18" s="45" t="str">
        <f>A157</f>
        <v>8 Chodníky z betónových tvárnic - zaštrkované, priepustné</v>
      </c>
      <c r="E18" s="42" t="s">
        <v>16</v>
      </c>
      <c r="F18" s="43">
        <f>F185</f>
        <v>0</v>
      </c>
      <c r="G18" s="42" t="s">
        <v>27</v>
      </c>
      <c r="H18" s="43">
        <f t="shared" si="0"/>
        <v>0</v>
      </c>
      <c r="I18" s="42" t="s">
        <v>17</v>
      </c>
      <c r="J18" s="44">
        <f t="shared" si="1"/>
        <v>0</v>
      </c>
    </row>
    <row r="19" spans="1:10" ht="13.5" thickBot="1" x14ac:dyDescent="0.3">
      <c r="A19" s="21"/>
      <c r="B19" s="39"/>
      <c r="C19" s="40"/>
      <c r="D19" s="45" t="str">
        <f>A187</f>
        <v>9 Sadové úpravy</v>
      </c>
      <c r="E19" s="46" t="s">
        <v>16</v>
      </c>
      <c r="F19" s="47">
        <f>F274</f>
        <v>0</v>
      </c>
      <c r="G19" s="46" t="s">
        <v>27</v>
      </c>
      <c r="H19" s="47">
        <f>ROUND(F19*0.2,2)</f>
        <v>0</v>
      </c>
      <c r="I19" s="46" t="s">
        <v>17</v>
      </c>
      <c r="J19" s="48">
        <f>F19*1.2</f>
        <v>0</v>
      </c>
    </row>
    <row r="20" spans="1:10" ht="13.5" thickBot="1" x14ac:dyDescent="0.3">
      <c r="A20" s="21"/>
      <c r="B20" s="49"/>
      <c r="C20" s="50"/>
      <c r="D20" s="51" t="s">
        <v>52</v>
      </c>
      <c r="E20" s="52" t="s">
        <v>16</v>
      </c>
      <c r="F20" s="53">
        <f>SUBTOTAL(109,F10:F19)</f>
        <v>0</v>
      </c>
      <c r="G20" s="54" t="s">
        <v>27</v>
      </c>
      <c r="H20" s="55">
        <f>ROUND(F20*0.2,2)</f>
        <v>0</v>
      </c>
      <c r="I20" s="54" t="s">
        <v>18</v>
      </c>
      <c r="J20" s="53">
        <f>ROUND(F20*1.2,2)</f>
        <v>0</v>
      </c>
    </row>
    <row r="21" spans="1:10" x14ac:dyDescent="0.2">
      <c r="A21" s="21"/>
      <c r="B21" s="56" t="s">
        <v>30</v>
      </c>
      <c r="C21" s="57"/>
      <c r="D21" s="58"/>
      <c r="E21" s="58"/>
      <c r="F21" s="59"/>
      <c r="G21" s="59"/>
      <c r="H21" s="59"/>
      <c r="I21" s="60"/>
      <c r="J21" s="61"/>
    </row>
    <row r="22" spans="1:10" x14ac:dyDescent="0.25">
      <c r="A22" s="21"/>
      <c r="B22" s="56" t="s">
        <v>31</v>
      </c>
      <c r="C22" s="22"/>
      <c r="E22" s="32"/>
      <c r="F22" s="31"/>
      <c r="H22" s="29"/>
      <c r="I22" s="30"/>
      <c r="J22" s="20"/>
    </row>
    <row r="23" spans="1:10" x14ac:dyDescent="0.25">
      <c r="A23" s="21"/>
      <c r="B23" s="56" t="s">
        <v>32</v>
      </c>
      <c r="C23" s="22"/>
      <c r="E23" s="32"/>
      <c r="F23" s="31"/>
      <c r="H23" s="29"/>
      <c r="I23" s="30"/>
      <c r="J23" s="20"/>
    </row>
    <row r="24" spans="1:10" ht="13.5" thickBot="1" x14ac:dyDescent="0.3">
      <c r="A24" s="21"/>
      <c r="B24" s="33" t="s">
        <v>104</v>
      </c>
      <c r="C24" s="22"/>
      <c r="E24" s="32"/>
      <c r="F24" s="31"/>
      <c r="H24" s="29"/>
      <c r="I24" s="30"/>
      <c r="J24" s="20"/>
    </row>
    <row r="25" spans="1:10" ht="13.5" thickBot="1" x14ac:dyDescent="0.3">
      <c r="A25" s="21"/>
      <c r="B25" s="33"/>
      <c r="C25" s="22"/>
      <c r="E25" s="32"/>
      <c r="F25" s="31"/>
      <c r="G25" s="62" t="s">
        <v>44</v>
      </c>
      <c r="H25" s="63"/>
      <c r="I25" s="64" t="s">
        <v>45</v>
      </c>
      <c r="J25" s="63"/>
    </row>
    <row r="26" spans="1:10" ht="46.5" customHeight="1" thickBot="1" x14ac:dyDescent="0.3">
      <c r="A26" s="65" t="s">
        <v>34</v>
      </c>
      <c r="B26" s="66" t="s">
        <v>0</v>
      </c>
      <c r="C26" s="66" t="s">
        <v>1</v>
      </c>
      <c r="D26" s="66" t="s">
        <v>47</v>
      </c>
      <c r="E26" s="66" t="s">
        <v>41</v>
      </c>
      <c r="F26" s="67" t="s">
        <v>46</v>
      </c>
      <c r="G26" s="67" t="s">
        <v>42</v>
      </c>
      <c r="H26" s="67" t="s">
        <v>43</v>
      </c>
      <c r="I26" s="68" t="s">
        <v>48</v>
      </c>
      <c r="J26" s="69" t="s">
        <v>49</v>
      </c>
    </row>
    <row r="27" spans="1:10" ht="18.95" customHeight="1" thickBot="1" x14ac:dyDescent="0.3">
      <c r="A27" s="70" t="str">
        <f>B2</f>
        <v xml:space="preserve">Revitalizácia verejného priestranstva a parku pri Lidickom námestí - Košice
</v>
      </c>
      <c r="B27" s="71"/>
      <c r="C27" s="72"/>
      <c r="D27" s="72"/>
      <c r="E27" s="72"/>
      <c r="F27" s="73"/>
      <c r="G27" s="74"/>
      <c r="H27" s="75"/>
      <c r="I27" s="76"/>
      <c r="J27" s="77"/>
    </row>
    <row r="28" spans="1:10" ht="5.25" customHeight="1" thickBot="1" x14ac:dyDescent="0.3">
      <c r="A28" s="30"/>
      <c r="B28" s="78"/>
      <c r="C28" s="79"/>
      <c r="D28" s="79"/>
      <c r="E28" s="79"/>
      <c r="F28" s="79"/>
      <c r="G28" s="79"/>
      <c r="H28" s="79"/>
      <c r="I28" s="79"/>
      <c r="J28" s="79"/>
    </row>
    <row r="29" spans="1:10" s="79" customFormat="1" ht="19.5" thickBot="1" x14ac:dyDescent="0.3">
      <c r="A29" s="80" t="s">
        <v>70</v>
      </c>
      <c r="B29" s="71"/>
      <c r="C29" s="81"/>
      <c r="D29" s="82"/>
      <c r="E29" s="72"/>
      <c r="F29" s="73"/>
      <c r="G29" s="74"/>
      <c r="H29" s="75"/>
      <c r="I29" s="76"/>
      <c r="J29" s="77"/>
    </row>
    <row r="30" spans="1:10" s="79" customFormat="1" ht="15" x14ac:dyDescent="0.25">
      <c r="A30" s="83">
        <f>SUBTOTAL(102,F$28:F30)</f>
        <v>1</v>
      </c>
      <c r="B30" s="5">
        <v>998222012</v>
      </c>
      <c r="C30" s="1" t="s">
        <v>29</v>
      </c>
      <c r="D30" s="6" t="s">
        <v>3</v>
      </c>
      <c r="E30" s="2">
        <f>SUBTOTAL(109,J29:J40)</f>
        <v>89.97999999999999</v>
      </c>
      <c r="F30" s="84">
        <v>0</v>
      </c>
      <c r="G30" s="85" t="s">
        <v>12</v>
      </c>
      <c r="H30" s="84">
        <f t="shared" ref="H30" si="2">ROUND(ROUND(F30,2)*ROUND(E30,2),2)</f>
        <v>0</v>
      </c>
      <c r="I30" s="85" t="s">
        <v>12</v>
      </c>
      <c r="J30" s="86" t="s">
        <v>12</v>
      </c>
    </row>
    <row r="31" spans="1:10" s="79" customFormat="1" ht="15" x14ac:dyDescent="0.25">
      <c r="A31" s="87"/>
      <c r="B31" s="88"/>
      <c r="C31" s="89" t="s">
        <v>112</v>
      </c>
      <c r="D31" s="90"/>
      <c r="E31" s="91"/>
      <c r="F31" s="92"/>
      <c r="G31" s="93"/>
      <c r="H31" s="92"/>
      <c r="I31" s="92"/>
      <c r="J31" s="94"/>
    </row>
    <row r="32" spans="1:10" s="79" customFormat="1" ht="25.5" x14ac:dyDescent="0.25">
      <c r="A32" s="83">
        <f>SUBTOTAL(102,F$28:F32)</f>
        <v>2</v>
      </c>
      <c r="B32" s="95" t="s">
        <v>25</v>
      </c>
      <c r="C32" s="96" t="s">
        <v>92</v>
      </c>
      <c r="D32" s="97" t="s">
        <v>2</v>
      </c>
      <c r="E32" s="98">
        <v>10</v>
      </c>
      <c r="F32" s="99">
        <v>0</v>
      </c>
      <c r="G32" s="100" t="s">
        <v>12</v>
      </c>
      <c r="H32" s="101">
        <f t="shared" ref="H32" si="3">ROUND(ROUND(E32,2)*ROUND(F32,2),2)</f>
        <v>0</v>
      </c>
      <c r="I32" s="102">
        <v>0.15</v>
      </c>
      <c r="J32" s="103">
        <f>ROUND(ROUND(E32,2)*ROUND(I32,4),3)</f>
        <v>1.5</v>
      </c>
    </row>
    <row r="33" spans="1:10" s="79" customFormat="1" ht="15" x14ac:dyDescent="0.25">
      <c r="A33" s="87"/>
      <c r="B33" s="88"/>
      <c r="C33" s="89" t="s">
        <v>113</v>
      </c>
      <c r="D33" s="90"/>
      <c r="E33" s="91"/>
      <c r="F33" s="92"/>
      <c r="G33" s="93"/>
      <c r="H33" s="92"/>
      <c r="I33" s="92"/>
      <c r="J33" s="94"/>
    </row>
    <row r="34" spans="1:10" s="79" customFormat="1" ht="51" x14ac:dyDescent="0.25">
      <c r="A34" s="83">
        <f>SUBTOTAL(102,F$28:F34)</f>
        <v>3</v>
      </c>
      <c r="B34" s="5">
        <v>965042141</v>
      </c>
      <c r="C34" s="104" t="s">
        <v>111</v>
      </c>
      <c r="D34" s="97" t="s">
        <v>11</v>
      </c>
      <c r="E34" s="98">
        <f>ROUNDUP(2*16*0.5
+29*0.6^2*0.4
+5,1)</f>
        <v>25.200000000000003</v>
      </c>
      <c r="F34" s="99">
        <v>0</v>
      </c>
      <c r="G34" s="100" t="s">
        <v>12</v>
      </c>
      <c r="H34" s="101">
        <f t="shared" ref="H34" si="4">ROUND(ROUND(E34,2)*ROUND(F34,2),2)</f>
        <v>0</v>
      </c>
      <c r="I34" s="102">
        <v>2.4</v>
      </c>
      <c r="J34" s="103">
        <f t="shared" ref="J34" si="5">ROUND(ROUND(E34,2)*ROUND(I34,4),3)</f>
        <v>60.48</v>
      </c>
    </row>
    <row r="35" spans="1:10" s="79" customFormat="1" ht="15" x14ac:dyDescent="0.25">
      <c r="A35" s="83">
        <f>SUBTOTAL(102,F$28:F35)</f>
        <v>4</v>
      </c>
      <c r="B35" s="5">
        <v>979082317</v>
      </c>
      <c r="C35" s="105" t="s">
        <v>110</v>
      </c>
      <c r="D35" s="97" t="s">
        <v>3</v>
      </c>
      <c r="E35" s="98">
        <f>SUBTOTAL(109,J31:J34)</f>
        <v>61.98</v>
      </c>
      <c r="F35" s="106">
        <v>0</v>
      </c>
      <c r="G35" s="100" t="s">
        <v>12</v>
      </c>
      <c r="H35" s="101">
        <f>ROUND(ROUND(E35,2)*ROUND(F35,2),2)</f>
        <v>0</v>
      </c>
      <c r="I35" s="100" t="s">
        <v>12</v>
      </c>
      <c r="J35" s="86" t="s">
        <v>12</v>
      </c>
    </row>
    <row r="36" spans="1:10" s="79" customFormat="1" ht="15" x14ac:dyDescent="0.25">
      <c r="A36" s="83">
        <f>SUBTOTAL(102,F$28:F36)</f>
        <v>5</v>
      </c>
      <c r="B36" s="5">
        <v>979082319</v>
      </c>
      <c r="C36" s="107" t="s">
        <v>55</v>
      </c>
      <c r="D36" s="108" t="s">
        <v>3</v>
      </c>
      <c r="E36" s="109">
        <f>E35</f>
        <v>61.98</v>
      </c>
      <c r="F36" s="106">
        <v>0</v>
      </c>
      <c r="G36" s="100" t="s">
        <v>12</v>
      </c>
      <c r="H36" s="101">
        <f>ROUND(ROUND(E36,2)*ROUND(F36,2),2)</f>
        <v>0</v>
      </c>
      <c r="I36" s="100" t="s">
        <v>12</v>
      </c>
      <c r="J36" s="86" t="s">
        <v>12</v>
      </c>
    </row>
    <row r="37" spans="1:10" s="79" customFormat="1" ht="15" x14ac:dyDescent="0.25">
      <c r="A37" s="145">
        <f>SUBTOTAL(102,F$28:F37)</f>
        <v>6</v>
      </c>
      <c r="B37" s="5">
        <v>979084212</v>
      </c>
      <c r="C37" s="107" t="s">
        <v>91</v>
      </c>
      <c r="D37" s="108" t="s">
        <v>3</v>
      </c>
      <c r="E37" s="109">
        <f>E35</f>
        <v>61.98</v>
      </c>
      <c r="F37" s="106">
        <v>0</v>
      </c>
      <c r="G37" s="100" t="s">
        <v>12</v>
      </c>
      <c r="H37" s="101">
        <f>ROUND(ROUND(E37,2)*ROUND(F37,2),2)</f>
        <v>0</v>
      </c>
      <c r="I37" s="100" t="s">
        <v>12</v>
      </c>
      <c r="J37" s="86" t="s">
        <v>12</v>
      </c>
    </row>
    <row r="38" spans="1:10" s="79" customFormat="1" ht="25.5" x14ac:dyDescent="0.25">
      <c r="A38" s="83">
        <f>SUBTOTAL(102,F$28:F38)</f>
        <v>7</v>
      </c>
      <c r="B38" s="110">
        <v>122101101</v>
      </c>
      <c r="C38" s="1" t="s">
        <v>188</v>
      </c>
      <c r="D38" s="108" t="s">
        <v>11</v>
      </c>
      <c r="E38" s="109">
        <v>20</v>
      </c>
      <c r="F38" s="106">
        <v>0</v>
      </c>
      <c r="G38" s="100" t="s">
        <v>12</v>
      </c>
      <c r="H38" s="101">
        <f t="shared" ref="H38" si="6">ROUND(ROUND(E38,2)*ROUND(F38,2),2)</f>
        <v>0</v>
      </c>
      <c r="I38" s="102">
        <v>1.4</v>
      </c>
      <c r="J38" s="103">
        <f t="shared" ref="J38" si="7">ROUND(ROUND(E38,2)*ROUND(I38,4),3)</f>
        <v>28</v>
      </c>
    </row>
    <row r="39" spans="1:10" s="79" customFormat="1" ht="15" x14ac:dyDescent="0.25">
      <c r="A39" s="83">
        <f>SUBTOTAL(102,F$28:F39)</f>
        <v>8</v>
      </c>
      <c r="B39" s="110">
        <v>162201102</v>
      </c>
      <c r="C39" s="1" t="s">
        <v>54</v>
      </c>
      <c r="D39" s="6" t="s">
        <v>11</v>
      </c>
      <c r="E39" s="111">
        <f>SUBTOTAL(109,E38)</f>
        <v>20</v>
      </c>
      <c r="F39" s="112">
        <v>0</v>
      </c>
      <c r="G39" s="85" t="s">
        <v>12</v>
      </c>
      <c r="H39" s="84">
        <f t="shared" ref="H39" si="8">ROUND(ROUND(F39,2)*ROUND(E39,2),2)</f>
        <v>0</v>
      </c>
      <c r="I39" s="85" t="s">
        <v>12</v>
      </c>
      <c r="J39" s="86" t="s">
        <v>12</v>
      </c>
    </row>
    <row r="40" spans="1:10" s="79" customFormat="1" ht="25.5" x14ac:dyDescent="0.25">
      <c r="A40" s="83">
        <f>SUBTOTAL(102,F$28:F40)</f>
        <v>9</v>
      </c>
      <c r="B40" s="110" t="s">
        <v>37</v>
      </c>
      <c r="C40" s="1" t="s">
        <v>150</v>
      </c>
      <c r="D40" s="108" t="s">
        <v>14</v>
      </c>
      <c r="E40" s="109">
        <f>E38*4</f>
        <v>80</v>
      </c>
      <c r="F40" s="106">
        <v>0</v>
      </c>
      <c r="G40" s="100" t="s">
        <v>12</v>
      </c>
      <c r="H40" s="101">
        <f t="shared" ref="H40" si="9">ROUND(ROUND(E40,2)*ROUND(F40,2),2)</f>
        <v>0</v>
      </c>
      <c r="I40" s="100" t="s">
        <v>12</v>
      </c>
      <c r="J40" s="86" t="s">
        <v>12</v>
      </c>
    </row>
    <row r="41" spans="1:10" s="79" customFormat="1" ht="5.25" customHeight="1" thickBot="1" x14ac:dyDescent="0.3">
      <c r="A41" s="113"/>
      <c r="B41" s="114"/>
      <c r="C41" s="115"/>
      <c r="D41" s="116"/>
      <c r="E41" s="117"/>
      <c r="F41" s="118"/>
      <c r="G41" s="119"/>
      <c r="H41" s="120"/>
      <c r="I41" s="121"/>
      <c r="J41" s="122"/>
    </row>
    <row r="42" spans="1:10" s="79" customFormat="1" ht="19.5" thickBot="1" x14ac:dyDescent="0.3">
      <c r="A42" s="80"/>
      <c r="B42" s="123"/>
      <c r="C42" s="124"/>
      <c r="D42" s="125" t="str">
        <f>CONCATENATE(SUBSTITUTE(A29,"","")," - spolu: ")</f>
        <v xml:space="preserve"> 1 Asanácie - búracie práce - spolu: </v>
      </c>
      <c r="E42" s="126" t="s">
        <v>16</v>
      </c>
      <c r="F42" s="127">
        <f>SUBTOTAL(109,G28:H40)</f>
        <v>0</v>
      </c>
      <c r="G42" s="126" t="s">
        <v>27</v>
      </c>
      <c r="H42" s="127">
        <f>ROUND(F42*0.2,2)</f>
        <v>0</v>
      </c>
      <c r="I42" s="128" t="s">
        <v>17</v>
      </c>
      <c r="J42" s="129">
        <f>ROUND(F42*1.2,2)</f>
        <v>0</v>
      </c>
    </row>
    <row r="43" spans="1:10" ht="15" x14ac:dyDescent="0.25">
      <c r="A43" s="130" t="s">
        <v>149</v>
      </c>
      <c r="B43" s="78"/>
      <c r="C43" s="79"/>
      <c r="D43" s="79"/>
      <c r="E43" s="79"/>
      <c r="F43" s="79"/>
      <c r="G43" s="79"/>
      <c r="H43" s="79"/>
      <c r="I43" s="79"/>
      <c r="J43" s="79"/>
    </row>
    <row r="44" spans="1:10" ht="15.75" thickBot="1" x14ac:dyDescent="0.3">
      <c r="A44" s="30"/>
      <c r="B44" s="78"/>
      <c r="C44" s="79"/>
      <c r="D44" s="79"/>
      <c r="E44" s="79"/>
      <c r="F44" s="79"/>
      <c r="G44" s="79"/>
      <c r="H44" s="79"/>
      <c r="I44" s="79"/>
      <c r="J44" s="79"/>
    </row>
    <row r="45" spans="1:10" ht="19.5" thickBot="1" x14ac:dyDescent="0.3">
      <c r="A45" s="70" t="s">
        <v>101</v>
      </c>
      <c r="B45" s="71"/>
      <c r="C45" s="72"/>
      <c r="D45" s="72"/>
      <c r="E45" s="72"/>
      <c r="F45" s="73"/>
      <c r="G45" s="74"/>
      <c r="H45" s="75"/>
      <c r="I45" s="76"/>
      <c r="J45" s="77"/>
    </row>
    <row r="46" spans="1:10" ht="63.75" x14ac:dyDescent="0.25">
      <c r="A46" s="83">
        <f>SUBTOTAL(102,F$28:F46)</f>
        <v>10</v>
      </c>
      <c r="B46" s="131" t="s">
        <v>56</v>
      </c>
      <c r="C46" s="132" t="s">
        <v>160</v>
      </c>
      <c r="D46" s="97" t="s">
        <v>2</v>
      </c>
      <c r="E46" s="2">
        <v>1</v>
      </c>
      <c r="F46" s="84">
        <v>0</v>
      </c>
      <c r="G46" s="84">
        <f t="shared" ref="G46:G47" si="10">ROUND(ROUND(F46,2)*ROUND(E46,2),2)</f>
        <v>0</v>
      </c>
      <c r="H46" s="85" t="s">
        <v>12</v>
      </c>
      <c r="I46" s="133" t="s">
        <v>12</v>
      </c>
      <c r="J46" s="86" t="s">
        <v>12</v>
      </c>
    </row>
    <row r="47" spans="1:10" ht="89.25" x14ac:dyDescent="0.25">
      <c r="A47" s="83">
        <f>SUBTOTAL(102,F$28:F47)</f>
        <v>11</v>
      </c>
      <c r="B47" s="131" t="s">
        <v>105</v>
      </c>
      <c r="C47" s="96" t="s">
        <v>154</v>
      </c>
      <c r="D47" s="97" t="s">
        <v>2</v>
      </c>
      <c r="E47" s="2">
        <v>1</v>
      </c>
      <c r="F47" s="84">
        <v>0</v>
      </c>
      <c r="G47" s="84">
        <f t="shared" si="10"/>
        <v>0</v>
      </c>
      <c r="H47" s="85" t="s">
        <v>12</v>
      </c>
      <c r="I47" s="133" t="s">
        <v>12</v>
      </c>
      <c r="J47" s="86" t="s">
        <v>12</v>
      </c>
    </row>
    <row r="48" spans="1:10" ht="89.25" x14ac:dyDescent="0.25">
      <c r="A48" s="145">
        <f>SUBTOTAL(102,F$28:F48)</f>
        <v>12</v>
      </c>
      <c r="B48" s="131" t="s">
        <v>105</v>
      </c>
      <c r="C48" s="237" t="s">
        <v>211</v>
      </c>
      <c r="D48" s="97" t="s">
        <v>2</v>
      </c>
      <c r="E48" s="2">
        <f>E46</f>
        <v>1</v>
      </c>
      <c r="F48" s="84">
        <v>0</v>
      </c>
      <c r="G48" s="85" t="s">
        <v>12</v>
      </c>
      <c r="H48" s="84">
        <f t="shared" ref="H48" si="11">ROUND(ROUND(F48,2)*ROUND(E48,2),2)</f>
        <v>0</v>
      </c>
      <c r="I48" s="133" t="s">
        <v>12</v>
      </c>
      <c r="J48" s="86" t="s">
        <v>12</v>
      </c>
    </row>
    <row r="49" spans="1:10" ht="63.75" x14ac:dyDescent="0.25">
      <c r="A49" s="83">
        <f>SUBTOTAL(102,F$28:F49)</f>
        <v>13</v>
      </c>
      <c r="B49" s="131" t="s">
        <v>56</v>
      </c>
      <c r="C49" s="132" t="s">
        <v>161</v>
      </c>
      <c r="D49" s="97" t="s">
        <v>2</v>
      </c>
      <c r="E49" s="2">
        <v>1</v>
      </c>
      <c r="F49" s="84">
        <v>0</v>
      </c>
      <c r="G49" s="84">
        <f t="shared" ref="G49" si="12">ROUND(ROUND(F49,2)*ROUND(E49,2),2)</f>
        <v>0</v>
      </c>
      <c r="H49" s="85" t="s">
        <v>12</v>
      </c>
      <c r="I49" s="133" t="s">
        <v>12</v>
      </c>
      <c r="J49" s="86" t="s">
        <v>12</v>
      </c>
    </row>
    <row r="50" spans="1:10" ht="89.25" x14ac:dyDescent="0.25">
      <c r="A50" s="145">
        <f>SUBTOTAL(102,F$28:F50)</f>
        <v>14</v>
      </c>
      <c r="B50" s="131" t="s">
        <v>105</v>
      </c>
      <c r="C50" s="96" t="s">
        <v>212</v>
      </c>
      <c r="D50" s="97" t="s">
        <v>2</v>
      </c>
      <c r="E50" s="2">
        <f>E49</f>
        <v>1</v>
      </c>
      <c r="F50" s="84">
        <v>0</v>
      </c>
      <c r="G50" s="85" t="s">
        <v>12</v>
      </c>
      <c r="H50" s="84">
        <f t="shared" ref="H50" si="13">ROUND(ROUND(F50,2)*ROUND(E50,2),2)</f>
        <v>0</v>
      </c>
      <c r="I50" s="133" t="s">
        <v>12</v>
      </c>
      <c r="J50" s="86" t="s">
        <v>12</v>
      </c>
    </row>
    <row r="51" spans="1:10" ht="76.5" x14ac:dyDescent="0.25">
      <c r="A51" s="145">
        <f>SUBTOTAL(102,F$28:F51)</f>
        <v>15</v>
      </c>
      <c r="B51" s="131" t="s">
        <v>56</v>
      </c>
      <c r="C51" s="132" t="s">
        <v>162</v>
      </c>
      <c r="D51" s="97" t="s">
        <v>2</v>
      </c>
      <c r="E51" s="2">
        <v>1</v>
      </c>
      <c r="F51" s="84">
        <v>0</v>
      </c>
      <c r="G51" s="84">
        <f t="shared" ref="G51:G52" si="14">ROUND(ROUND(F51,2)*ROUND(E51,2),2)</f>
        <v>0</v>
      </c>
      <c r="H51" s="85" t="s">
        <v>12</v>
      </c>
      <c r="I51" s="133" t="s">
        <v>12</v>
      </c>
      <c r="J51" s="86" t="s">
        <v>12</v>
      </c>
    </row>
    <row r="52" spans="1:10" ht="89.25" x14ac:dyDescent="0.25">
      <c r="A52" s="145">
        <f>SUBTOTAL(102,F$28:F52)</f>
        <v>16</v>
      </c>
      <c r="B52" s="131" t="s">
        <v>105</v>
      </c>
      <c r="C52" s="96" t="s">
        <v>155</v>
      </c>
      <c r="D52" s="97" t="s">
        <v>2</v>
      </c>
      <c r="E52" s="2">
        <v>1</v>
      </c>
      <c r="F52" s="84">
        <v>0</v>
      </c>
      <c r="G52" s="84">
        <f t="shared" si="14"/>
        <v>0</v>
      </c>
      <c r="H52" s="85" t="s">
        <v>12</v>
      </c>
      <c r="I52" s="133" t="s">
        <v>12</v>
      </c>
      <c r="J52" s="86" t="s">
        <v>12</v>
      </c>
    </row>
    <row r="53" spans="1:10" ht="89.25" x14ac:dyDescent="0.25">
      <c r="A53" s="145">
        <f>SUBTOTAL(102,F$28:F53)</f>
        <v>17</v>
      </c>
      <c r="B53" s="131" t="s">
        <v>105</v>
      </c>
      <c r="C53" s="96" t="s">
        <v>213</v>
      </c>
      <c r="D53" s="97" t="s">
        <v>2</v>
      </c>
      <c r="E53" s="2">
        <f>E51</f>
        <v>1</v>
      </c>
      <c r="F53" s="84">
        <v>0</v>
      </c>
      <c r="G53" s="85" t="s">
        <v>12</v>
      </c>
      <c r="H53" s="84">
        <f t="shared" ref="H53" si="15">ROUND(ROUND(F53,2)*ROUND(E53,2),2)</f>
        <v>0</v>
      </c>
      <c r="I53" s="133" t="s">
        <v>12</v>
      </c>
      <c r="J53" s="86" t="s">
        <v>12</v>
      </c>
    </row>
    <row r="54" spans="1:10" ht="51" x14ac:dyDescent="0.25">
      <c r="A54" s="145">
        <f>SUBTOTAL(102,F$28:F54)</f>
        <v>18</v>
      </c>
      <c r="B54" s="131" t="s">
        <v>56</v>
      </c>
      <c r="C54" s="132" t="s">
        <v>163</v>
      </c>
      <c r="D54" s="97" t="s">
        <v>2</v>
      </c>
      <c r="E54" s="2">
        <v>15</v>
      </c>
      <c r="F54" s="84">
        <v>0</v>
      </c>
      <c r="G54" s="84">
        <f t="shared" ref="G54" si="16">ROUND(ROUND(F54,2)*ROUND(E54,2),2)</f>
        <v>0</v>
      </c>
      <c r="H54" s="85" t="s">
        <v>12</v>
      </c>
      <c r="I54" s="133" t="s">
        <v>12</v>
      </c>
      <c r="J54" s="86" t="s">
        <v>12</v>
      </c>
    </row>
    <row r="55" spans="1:10" ht="89.25" x14ac:dyDescent="0.25">
      <c r="A55" s="145">
        <f>SUBTOTAL(102,F$28:F55)</f>
        <v>19</v>
      </c>
      <c r="B55" s="131" t="s">
        <v>105</v>
      </c>
      <c r="C55" s="96" t="s">
        <v>214</v>
      </c>
      <c r="D55" s="97" t="s">
        <v>2</v>
      </c>
      <c r="E55" s="2">
        <f>E54</f>
        <v>15</v>
      </c>
      <c r="F55" s="84">
        <v>0</v>
      </c>
      <c r="G55" s="85" t="s">
        <v>12</v>
      </c>
      <c r="H55" s="84">
        <f t="shared" ref="H55" si="17">ROUND(ROUND(F55,2)*ROUND(E55,2),2)</f>
        <v>0</v>
      </c>
      <c r="I55" s="133" t="s">
        <v>12</v>
      </c>
      <c r="J55" s="86" t="s">
        <v>12</v>
      </c>
    </row>
    <row r="56" spans="1:10" x14ac:dyDescent="0.25">
      <c r="A56" s="87"/>
      <c r="B56" s="134"/>
      <c r="C56" s="135" t="s">
        <v>87</v>
      </c>
      <c r="D56" s="90"/>
      <c r="E56" s="136"/>
      <c r="F56" s="136"/>
      <c r="G56" s="137"/>
      <c r="H56" s="138"/>
      <c r="I56" s="139"/>
      <c r="J56" s="140"/>
    </row>
    <row r="57" spans="1:10" x14ac:dyDescent="0.25">
      <c r="A57" s="83">
        <f>SUBTOTAL(102,F$28:F57)</f>
        <v>20</v>
      </c>
      <c r="B57" s="110" t="s">
        <v>25</v>
      </c>
      <c r="C57" s="141" t="s">
        <v>182</v>
      </c>
      <c r="D57" s="6" t="s">
        <v>2</v>
      </c>
      <c r="E57" s="2">
        <v>1</v>
      </c>
      <c r="F57" s="112">
        <v>0</v>
      </c>
      <c r="G57" s="133" t="s">
        <v>12</v>
      </c>
      <c r="H57" s="112">
        <f t="shared" ref="H57:H60" si="18">ROUND(ROUND(F57,2)*ROUND(E57,2),2)</f>
        <v>0</v>
      </c>
      <c r="I57" s="142" t="s">
        <v>12</v>
      </c>
      <c r="J57" s="143" t="s">
        <v>12</v>
      </c>
    </row>
    <row r="58" spans="1:10" ht="63.75" customHeight="1" x14ac:dyDescent="0.25">
      <c r="A58" s="145">
        <f>SUBTOTAL(102,F$28:F58)</f>
        <v>21</v>
      </c>
      <c r="B58" s="144" t="s">
        <v>105</v>
      </c>
      <c r="C58" s="213" t="s">
        <v>215</v>
      </c>
      <c r="D58" s="6" t="s">
        <v>2</v>
      </c>
      <c r="E58" s="2">
        <v>1</v>
      </c>
      <c r="F58" s="112">
        <v>0</v>
      </c>
      <c r="G58" s="133" t="s">
        <v>12</v>
      </c>
      <c r="H58" s="112">
        <f t="shared" si="18"/>
        <v>0</v>
      </c>
      <c r="I58" s="142" t="s">
        <v>12</v>
      </c>
      <c r="J58" s="143" t="s">
        <v>12</v>
      </c>
    </row>
    <row r="59" spans="1:10" x14ac:dyDescent="0.25">
      <c r="A59" s="83">
        <f>SUBTOTAL(102,F$28:F59)</f>
        <v>22</v>
      </c>
      <c r="B59" s="5" t="s">
        <v>25</v>
      </c>
      <c r="C59" s="141" t="s">
        <v>88</v>
      </c>
      <c r="D59" s="108" t="s">
        <v>2</v>
      </c>
      <c r="E59" s="2">
        <v>1</v>
      </c>
      <c r="F59" s="112">
        <v>0</v>
      </c>
      <c r="G59" s="85" t="s">
        <v>12</v>
      </c>
      <c r="H59" s="84">
        <f t="shared" si="18"/>
        <v>0</v>
      </c>
      <c r="I59" s="100" t="s">
        <v>12</v>
      </c>
      <c r="J59" s="86" t="s">
        <v>12</v>
      </c>
    </row>
    <row r="60" spans="1:10" x14ac:dyDescent="0.25">
      <c r="A60" s="83">
        <f>SUBTOTAL(102,F$28:F60)</f>
        <v>23</v>
      </c>
      <c r="B60" s="5" t="s">
        <v>25</v>
      </c>
      <c r="C60" s="141" t="s">
        <v>89</v>
      </c>
      <c r="D60" s="108" t="s">
        <v>2</v>
      </c>
      <c r="E60" s="2">
        <v>1</v>
      </c>
      <c r="F60" s="112">
        <v>0</v>
      </c>
      <c r="G60" s="85" t="s">
        <v>12</v>
      </c>
      <c r="H60" s="84">
        <f t="shared" si="18"/>
        <v>0</v>
      </c>
      <c r="I60" s="100" t="s">
        <v>12</v>
      </c>
      <c r="J60" s="86" t="s">
        <v>12</v>
      </c>
    </row>
    <row r="61" spans="1:10" x14ac:dyDescent="0.25">
      <c r="A61" s="145"/>
      <c r="B61" s="3"/>
      <c r="C61" s="146" t="s">
        <v>21</v>
      </c>
      <c r="D61" s="90"/>
      <c r="E61" s="147"/>
      <c r="F61" s="148"/>
      <c r="G61" s="148" t="s">
        <v>16</v>
      </c>
      <c r="H61" s="149">
        <f>SUBTOTAL(109,H46:H60)</f>
        <v>0</v>
      </c>
      <c r="I61" s="148" t="s">
        <v>17</v>
      </c>
      <c r="J61" s="150">
        <f>ROUND(H61*1.2,2)</f>
        <v>0</v>
      </c>
    </row>
    <row r="62" spans="1:10" x14ac:dyDescent="0.25">
      <c r="A62" s="151"/>
      <c r="B62" s="3"/>
      <c r="C62" s="152" t="s">
        <v>71</v>
      </c>
      <c r="D62" s="90"/>
      <c r="E62" s="147"/>
      <c r="F62" s="148" t="s">
        <v>16</v>
      </c>
      <c r="G62" s="149">
        <f>SUBTOTAL(109,G45:G60)</f>
        <v>0</v>
      </c>
      <c r="H62" s="148" t="s">
        <v>17</v>
      </c>
      <c r="I62" s="149">
        <f>ROUND(G62*1.2,2)</f>
        <v>0</v>
      </c>
      <c r="J62" s="153"/>
    </row>
    <row r="63" spans="1:10" ht="13.5" thickBot="1" x14ac:dyDescent="0.3">
      <c r="A63" s="154"/>
      <c r="B63" s="155"/>
      <c r="C63" s="156"/>
      <c r="D63" s="157"/>
      <c r="E63" s="158"/>
      <c r="F63" s="159"/>
      <c r="G63" s="160"/>
      <c r="H63" s="161"/>
      <c r="I63" s="162"/>
      <c r="J63" s="163"/>
    </row>
    <row r="64" spans="1:10" ht="19.5" thickBot="1" x14ac:dyDescent="0.3">
      <c r="A64" s="70"/>
      <c r="B64" s="123"/>
      <c r="C64" s="125"/>
      <c r="D64" s="125" t="str">
        <f>CONCATENATE(SUBSTITUTE(A45,"","")," - spolu: ")</f>
        <v xml:space="preserve">2 Plocha A - detské ihrisko - spolu: </v>
      </c>
      <c r="E64" s="126" t="s">
        <v>16</v>
      </c>
      <c r="F64" s="164">
        <f>SUBTOTAL(109,G45:H63)</f>
        <v>0</v>
      </c>
      <c r="G64" s="126" t="s">
        <v>27</v>
      </c>
      <c r="H64" s="164">
        <f>ROUND(F64*0.2,2)</f>
        <v>0</v>
      </c>
      <c r="I64" s="54" t="s">
        <v>17</v>
      </c>
      <c r="J64" s="129">
        <f>ROUND(F64*1.2,2)</f>
        <v>0</v>
      </c>
    </row>
    <row r="65" spans="1:10" ht="15.75" thickBot="1" x14ac:dyDescent="0.3">
      <c r="A65" s="30"/>
      <c r="B65" s="78"/>
      <c r="C65" s="79"/>
      <c r="D65" s="165"/>
      <c r="E65" s="79"/>
      <c r="F65" s="79"/>
      <c r="G65" s="79"/>
      <c r="H65" s="79"/>
      <c r="I65" s="79"/>
      <c r="J65" s="79"/>
    </row>
    <row r="66" spans="1:10" ht="19.5" thickBot="1" x14ac:dyDescent="0.3">
      <c r="A66" s="70" t="s">
        <v>102</v>
      </c>
      <c r="B66" s="71"/>
      <c r="C66" s="72"/>
      <c r="D66" s="72"/>
      <c r="E66" s="72"/>
      <c r="F66" s="73"/>
      <c r="G66" s="74"/>
      <c r="H66" s="75"/>
      <c r="I66" s="76"/>
      <c r="J66" s="77"/>
    </row>
    <row r="67" spans="1:10" ht="76.5" x14ac:dyDescent="0.25">
      <c r="A67" s="83">
        <f>SUBTOTAL(102,F$28:F67)</f>
        <v>24</v>
      </c>
      <c r="B67" s="131" t="s">
        <v>56</v>
      </c>
      <c r="C67" s="132" t="s">
        <v>164</v>
      </c>
      <c r="D67" s="97" t="s">
        <v>2</v>
      </c>
      <c r="E67" s="2">
        <v>1</v>
      </c>
      <c r="F67" s="84">
        <v>0</v>
      </c>
      <c r="G67" s="84">
        <f t="shared" ref="G67:G68" si="19">ROUND(ROUND(F67,2)*ROUND(E67,2),2)</f>
        <v>0</v>
      </c>
      <c r="H67" s="85" t="s">
        <v>12</v>
      </c>
      <c r="I67" s="133" t="s">
        <v>12</v>
      </c>
      <c r="J67" s="86" t="s">
        <v>12</v>
      </c>
    </row>
    <row r="68" spans="1:10" ht="76.5" x14ac:dyDescent="0.25">
      <c r="A68" s="83">
        <f>SUBTOTAL(102,F$28:F68)</f>
        <v>25</v>
      </c>
      <c r="B68" s="131" t="s">
        <v>105</v>
      </c>
      <c r="C68" s="96" t="s">
        <v>106</v>
      </c>
      <c r="D68" s="6" t="s">
        <v>2</v>
      </c>
      <c r="E68" s="2">
        <v>1</v>
      </c>
      <c r="F68" s="84">
        <v>0</v>
      </c>
      <c r="G68" s="84">
        <f t="shared" si="19"/>
        <v>0</v>
      </c>
      <c r="H68" s="85" t="s">
        <v>12</v>
      </c>
      <c r="I68" s="133" t="s">
        <v>12</v>
      </c>
      <c r="J68" s="86" t="s">
        <v>12</v>
      </c>
    </row>
    <row r="69" spans="1:10" ht="89.25" x14ac:dyDescent="0.25">
      <c r="A69" s="145">
        <f>SUBTOTAL(102,F$28:F69)</f>
        <v>26</v>
      </c>
      <c r="B69" s="131" t="s">
        <v>105</v>
      </c>
      <c r="C69" s="237" t="s">
        <v>216</v>
      </c>
      <c r="D69" s="97" t="s">
        <v>2</v>
      </c>
      <c r="E69" s="2">
        <f>E67</f>
        <v>1</v>
      </c>
      <c r="F69" s="84">
        <v>0</v>
      </c>
      <c r="G69" s="85" t="s">
        <v>12</v>
      </c>
      <c r="H69" s="84">
        <f t="shared" ref="H69" si="20">ROUND(ROUND(F69,2)*ROUND(E69,2),2)</f>
        <v>0</v>
      </c>
      <c r="I69" s="133" t="s">
        <v>12</v>
      </c>
      <c r="J69" s="86" t="s">
        <v>12</v>
      </c>
    </row>
    <row r="70" spans="1:10" ht="76.5" x14ac:dyDescent="0.25">
      <c r="A70" s="145">
        <f>SUBTOTAL(102,F$28:F70)</f>
        <v>27</v>
      </c>
      <c r="B70" s="131" t="s">
        <v>56</v>
      </c>
      <c r="C70" s="132" t="s">
        <v>165</v>
      </c>
      <c r="D70" s="97" t="s">
        <v>2</v>
      </c>
      <c r="E70" s="2">
        <v>1</v>
      </c>
      <c r="F70" s="84">
        <v>0</v>
      </c>
      <c r="G70" s="84">
        <f t="shared" ref="G70" si="21">ROUND(ROUND(F70,2)*ROUND(E70,2),2)</f>
        <v>0</v>
      </c>
      <c r="H70" s="85" t="s">
        <v>12</v>
      </c>
      <c r="I70" s="133" t="s">
        <v>12</v>
      </c>
      <c r="J70" s="86" t="s">
        <v>12</v>
      </c>
    </row>
    <row r="71" spans="1:10" ht="89.25" x14ac:dyDescent="0.25">
      <c r="A71" s="145">
        <f>SUBTOTAL(102,F$28:F71)</f>
        <v>28</v>
      </c>
      <c r="B71" s="131" t="s">
        <v>105</v>
      </c>
      <c r="C71" s="237" t="s">
        <v>217</v>
      </c>
      <c r="D71" s="97" t="s">
        <v>2</v>
      </c>
      <c r="E71" s="2">
        <f>E70</f>
        <v>1</v>
      </c>
      <c r="F71" s="84">
        <v>0</v>
      </c>
      <c r="G71" s="85" t="s">
        <v>12</v>
      </c>
      <c r="H71" s="84">
        <f t="shared" ref="H71" si="22">ROUND(ROUND(F71,2)*ROUND(E71,2),2)</f>
        <v>0</v>
      </c>
      <c r="I71" s="133" t="s">
        <v>12</v>
      </c>
      <c r="J71" s="86" t="s">
        <v>12</v>
      </c>
    </row>
    <row r="72" spans="1:10" x14ac:dyDescent="0.25">
      <c r="A72" s="87"/>
      <c r="B72" s="134"/>
      <c r="C72" s="135" t="s">
        <v>87</v>
      </c>
      <c r="D72" s="90"/>
      <c r="E72" s="136"/>
      <c r="F72" s="136"/>
      <c r="G72" s="137"/>
      <c r="H72" s="138"/>
      <c r="I72" s="139"/>
      <c r="J72" s="140"/>
    </row>
    <row r="73" spans="1:10" x14ac:dyDescent="0.25">
      <c r="A73" s="83">
        <f>SUBTOTAL(102,F$28:F73)</f>
        <v>29</v>
      </c>
      <c r="B73" s="110" t="s">
        <v>25</v>
      </c>
      <c r="C73" s="141" t="s">
        <v>183</v>
      </c>
      <c r="D73" s="6" t="s">
        <v>2</v>
      </c>
      <c r="E73" s="2">
        <v>1</v>
      </c>
      <c r="F73" s="112">
        <v>0</v>
      </c>
      <c r="G73" s="133" t="s">
        <v>12</v>
      </c>
      <c r="H73" s="112">
        <f t="shared" ref="H73:H76" si="23">ROUND(ROUND(F73,2)*ROUND(E73,2),2)</f>
        <v>0</v>
      </c>
      <c r="I73" s="142" t="s">
        <v>12</v>
      </c>
      <c r="J73" s="143" t="s">
        <v>12</v>
      </c>
    </row>
    <row r="74" spans="1:10" ht="63.75" x14ac:dyDescent="0.25">
      <c r="A74" s="145">
        <f>SUBTOTAL(102,F$28:F74)</f>
        <v>30</v>
      </c>
      <c r="B74" s="144" t="s">
        <v>105</v>
      </c>
      <c r="C74" s="213" t="s">
        <v>218</v>
      </c>
      <c r="D74" s="6" t="s">
        <v>2</v>
      </c>
      <c r="E74" s="2">
        <v>1</v>
      </c>
      <c r="F74" s="112">
        <v>0</v>
      </c>
      <c r="G74" s="133" t="s">
        <v>12</v>
      </c>
      <c r="H74" s="112">
        <f t="shared" si="23"/>
        <v>0</v>
      </c>
      <c r="I74" s="142" t="s">
        <v>12</v>
      </c>
      <c r="J74" s="143" t="s">
        <v>12</v>
      </c>
    </row>
    <row r="75" spans="1:10" x14ac:dyDescent="0.25">
      <c r="A75" s="83">
        <f>SUBTOTAL(102,F$28:F75)</f>
        <v>31</v>
      </c>
      <c r="B75" s="5" t="s">
        <v>25</v>
      </c>
      <c r="C75" s="141" t="s">
        <v>88</v>
      </c>
      <c r="D75" s="6" t="s">
        <v>2</v>
      </c>
      <c r="E75" s="2">
        <v>1</v>
      </c>
      <c r="F75" s="112">
        <v>0</v>
      </c>
      <c r="G75" s="85" t="s">
        <v>12</v>
      </c>
      <c r="H75" s="84">
        <f t="shared" si="23"/>
        <v>0</v>
      </c>
      <c r="I75" s="100" t="s">
        <v>12</v>
      </c>
      <c r="J75" s="86" t="s">
        <v>12</v>
      </c>
    </row>
    <row r="76" spans="1:10" x14ac:dyDescent="0.25">
      <c r="A76" s="83">
        <f>SUBTOTAL(102,F$28:F76)</f>
        <v>32</v>
      </c>
      <c r="B76" s="5" t="s">
        <v>25</v>
      </c>
      <c r="C76" s="141" t="s">
        <v>89</v>
      </c>
      <c r="D76" s="6" t="s">
        <v>2</v>
      </c>
      <c r="E76" s="2">
        <v>1</v>
      </c>
      <c r="F76" s="112">
        <v>0</v>
      </c>
      <c r="G76" s="85" t="s">
        <v>12</v>
      </c>
      <c r="H76" s="84">
        <f t="shared" si="23"/>
        <v>0</v>
      </c>
      <c r="I76" s="100" t="s">
        <v>12</v>
      </c>
      <c r="J76" s="86" t="s">
        <v>12</v>
      </c>
    </row>
    <row r="77" spans="1:10" x14ac:dyDescent="0.25">
      <c r="A77" s="145"/>
      <c r="B77" s="3"/>
      <c r="C77" s="146" t="s">
        <v>21</v>
      </c>
      <c r="D77" s="90"/>
      <c r="E77" s="147"/>
      <c r="F77" s="148"/>
      <c r="G77" s="148" t="s">
        <v>16</v>
      </c>
      <c r="H77" s="149">
        <f>SUBTOTAL(109,H67:H76)</f>
        <v>0</v>
      </c>
      <c r="I77" s="148" t="s">
        <v>17</v>
      </c>
      <c r="J77" s="150">
        <f>ROUND(H77*1.2,2)</f>
        <v>0</v>
      </c>
    </row>
    <row r="78" spans="1:10" x14ac:dyDescent="0.25">
      <c r="A78" s="151"/>
      <c r="B78" s="3"/>
      <c r="C78" s="152" t="s">
        <v>71</v>
      </c>
      <c r="D78" s="90"/>
      <c r="E78" s="147"/>
      <c r="F78" s="148" t="s">
        <v>16</v>
      </c>
      <c r="G78" s="149">
        <f>SUBTOTAL(109,G45:G77)</f>
        <v>0</v>
      </c>
      <c r="H78" s="148" t="s">
        <v>17</v>
      </c>
      <c r="I78" s="149">
        <f>ROUND(G78*1.2,2)</f>
        <v>0</v>
      </c>
      <c r="J78" s="153"/>
    </row>
    <row r="79" spans="1:10" ht="13.5" thickBot="1" x14ac:dyDescent="0.3">
      <c r="A79" s="154"/>
      <c r="B79" s="155"/>
      <c r="C79" s="156"/>
      <c r="D79" s="157"/>
      <c r="E79" s="158"/>
      <c r="F79" s="159"/>
      <c r="G79" s="160"/>
      <c r="H79" s="161"/>
      <c r="I79" s="162"/>
      <c r="J79" s="163"/>
    </row>
    <row r="80" spans="1:10" ht="19.5" thickBot="1" x14ac:dyDescent="0.3">
      <c r="A80" s="70"/>
      <c r="B80" s="123"/>
      <c r="C80" s="125"/>
      <c r="D80" s="125" t="str">
        <f>CONCATENATE(SUBSTITUTE(A66,"","")," - spolu: ")</f>
        <v xml:space="preserve">3 Plocha B - detské ihrisko - spolu: </v>
      </c>
      <c r="E80" s="126" t="s">
        <v>16</v>
      </c>
      <c r="F80" s="164">
        <f>SUBTOTAL(109,G66:H79)</f>
        <v>0</v>
      </c>
      <c r="G80" s="126" t="s">
        <v>27</v>
      </c>
      <c r="H80" s="164">
        <f>ROUND(F80*0.2,2)</f>
        <v>0</v>
      </c>
      <c r="I80" s="128" t="s">
        <v>17</v>
      </c>
      <c r="J80" s="129">
        <f>ROUND(F80*1.2,2)</f>
        <v>0</v>
      </c>
    </row>
    <row r="81" spans="1:10" ht="15.75" thickBot="1" x14ac:dyDescent="0.3">
      <c r="A81" s="30"/>
      <c r="B81" s="78"/>
      <c r="C81" s="79"/>
      <c r="D81" s="79"/>
      <c r="E81" s="79"/>
      <c r="F81" s="79"/>
      <c r="G81" s="79"/>
      <c r="H81" s="79"/>
      <c r="I81" s="79"/>
      <c r="J81" s="79"/>
    </row>
    <row r="82" spans="1:10" ht="19.5" thickBot="1" x14ac:dyDescent="0.3">
      <c r="A82" s="70" t="s">
        <v>103</v>
      </c>
      <c r="B82" s="71"/>
      <c r="C82" s="72"/>
      <c r="D82" s="72"/>
      <c r="E82" s="72"/>
      <c r="F82" s="73"/>
      <c r="G82" s="74"/>
      <c r="H82" s="75"/>
      <c r="I82" s="76"/>
      <c r="J82" s="77"/>
    </row>
    <row r="83" spans="1:10" ht="114.75" x14ac:dyDescent="0.25">
      <c r="A83" s="83">
        <f>SUBTOTAL(102,F$28:F83)</f>
        <v>33</v>
      </c>
      <c r="B83" s="131" t="s">
        <v>56</v>
      </c>
      <c r="C83" s="104" t="s">
        <v>166</v>
      </c>
      <c r="D83" s="97" t="s">
        <v>2</v>
      </c>
      <c r="E83" s="2">
        <v>1</v>
      </c>
      <c r="F83" s="84">
        <v>0</v>
      </c>
      <c r="G83" s="84">
        <f t="shared" ref="G83" si="24">ROUND(ROUND(F83,2)*ROUND(E83,2),2)</f>
        <v>0</v>
      </c>
      <c r="H83" s="85" t="s">
        <v>12</v>
      </c>
      <c r="I83" s="133" t="s">
        <v>12</v>
      </c>
      <c r="J83" s="86" t="s">
        <v>12</v>
      </c>
    </row>
    <row r="84" spans="1:10" ht="89.25" x14ac:dyDescent="0.25">
      <c r="A84" s="145">
        <f>SUBTOTAL(102,F$28:F84)</f>
        <v>34</v>
      </c>
      <c r="B84" s="131" t="s">
        <v>105</v>
      </c>
      <c r="C84" s="238" t="s">
        <v>219</v>
      </c>
      <c r="D84" s="97" t="s">
        <v>2</v>
      </c>
      <c r="E84" s="2">
        <f>E83</f>
        <v>1</v>
      </c>
      <c r="F84" s="84">
        <v>0</v>
      </c>
      <c r="G84" s="85" t="s">
        <v>12</v>
      </c>
      <c r="H84" s="84">
        <f t="shared" ref="H84" si="25">ROUND(ROUND(F84,2)*ROUND(E84,2),2)</f>
        <v>0</v>
      </c>
      <c r="I84" s="133" t="s">
        <v>12</v>
      </c>
      <c r="J84" s="86" t="s">
        <v>12</v>
      </c>
    </row>
    <row r="85" spans="1:10" ht="102" x14ac:dyDescent="0.25">
      <c r="A85" s="83">
        <f>SUBTOTAL(102,F$28:F85)</f>
        <v>35</v>
      </c>
      <c r="B85" s="131" t="s">
        <v>56</v>
      </c>
      <c r="C85" s="104" t="s">
        <v>167</v>
      </c>
      <c r="D85" s="97" t="s">
        <v>2</v>
      </c>
      <c r="E85" s="2">
        <v>1</v>
      </c>
      <c r="F85" s="84">
        <v>0</v>
      </c>
      <c r="G85" s="84">
        <f t="shared" ref="G85" si="26">ROUND(ROUND(F85,2)*ROUND(E85,2),2)</f>
        <v>0</v>
      </c>
      <c r="H85" s="85" t="s">
        <v>12</v>
      </c>
      <c r="I85" s="133" t="s">
        <v>12</v>
      </c>
      <c r="J85" s="86" t="s">
        <v>12</v>
      </c>
    </row>
    <row r="86" spans="1:10" ht="89.25" x14ac:dyDescent="0.25">
      <c r="A86" s="145">
        <f>SUBTOTAL(102,F$28:F86)</f>
        <v>36</v>
      </c>
      <c r="B86" s="131" t="s">
        <v>105</v>
      </c>
      <c r="C86" s="238" t="s">
        <v>219</v>
      </c>
      <c r="D86" s="97" t="s">
        <v>2</v>
      </c>
      <c r="E86" s="2">
        <f>E85</f>
        <v>1</v>
      </c>
      <c r="F86" s="84">
        <v>0</v>
      </c>
      <c r="G86" s="85" t="s">
        <v>12</v>
      </c>
      <c r="H86" s="84">
        <f t="shared" ref="H86" si="27">ROUND(ROUND(F86,2)*ROUND(E86,2),2)</f>
        <v>0</v>
      </c>
      <c r="I86" s="133" t="s">
        <v>12</v>
      </c>
      <c r="J86" s="86" t="s">
        <v>12</v>
      </c>
    </row>
    <row r="87" spans="1:10" ht="89.25" x14ac:dyDescent="0.25">
      <c r="A87" s="145">
        <f>SUBTOTAL(102,F$28:F87)</f>
        <v>37</v>
      </c>
      <c r="B87" s="131" t="s">
        <v>56</v>
      </c>
      <c r="C87" s="104" t="s">
        <v>168</v>
      </c>
      <c r="D87" s="97" t="s">
        <v>2</v>
      </c>
      <c r="E87" s="2">
        <v>1</v>
      </c>
      <c r="F87" s="84">
        <v>0</v>
      </c>
      <c r="G87" s="84">
        <f t="shared" ref="G87" si="28">ROUND(ROUND(F87,2)*ROUND(E87,2),2)</f>
        <v>0</v>
      </c>
      <c r="H87" s="85" t="s">
        <v>12</v>
      </c>
      <c r="I87" s="133" t="s">
        <v>12</v>
      </c>
      <c r="J87" s="86" t="s">
        <v>12</v>
      </c>
    </row>
    <row r="88" spans="1:10" ht="89.25" x14ac:dyDescent="0.25">
      <c r="A88" s="145">
        <f>SUBTOTAL(102,F$28:F88)</f>
        <v>38</v>
      </c>
      <c r="B88" s="131" t="s">
        <v>105</v>
      </c>
      <c r="C88" s="238" t="s">
        <v>219</v>
      </c>
      <c r="D88" s="97" t="s">
        <v>2</v>
      </c>
      <c r="E88" s="2">
        <f>E87</f>
        <v>1</v>
      </c>
      <c r="F88" s="84">
        <v>0</v>
      </c>
      <c r="G88" s="85" t="s">
        <v>12</v>
      </c>
      <c r="H88" s="84">
        <f t="shared" ref="H88" si="29">ROUND(ROUND(F88,2)*ROUND(E88,2),2)</f>
        <v>0</v>
      </c>
      <c r="I88" s="133" t="s">
        <v>12</v>
      </c>
      <c r="J88" s="86" t="s">
        <v>12</v>
      </c>
    </row>
    <row r="89" spans="1:10" ht="89.25" x14ac:dyDescent="0.25">
      <c r="A89" s="145">
        <f>SUBTOTAL(102,F$28:F89)</f>
        <v>39</v>
      </c>
      <c r="B89" s="131" t="s">
        <v>56</v>
      </c>
      <c r="C89" s="104" t="s">
        <v>169</v>
      </c>
      <c r="D89" s="97" t="s">
        <v>2</v>
      </c>
      <c r="E89" s="2">
        <v>1</v>
      </c>
      <c r="F89" s="84">
        <v>0</v>
      </c>
      <c r="G89" s="84">
        <f t="shared" ref="G89" si="30">ROUND(ROUND(F89,2)*ROUND(E89,2),2)</f>
        <v>0</v>
      </c>
      <c r="H89" s="85" t="s">
        <v>12</v>
      </c>
      <c r="I89" s="133" t="s">
        <v>12</v>
      </c>
      <c r="J89" s="86" t="s">
        <v>12</v>
      </c>
    </row>
    <row r="90" spans="1:10" ht="89.25" x14ac:dyDescent="0.25">
      <c r="A90" s="145">
        <f>SUBTOTAL(102,F$28:F90)</f>
        <v>40</v>
      </c>
      <c r="B90" s="131" t="s">
        <v>105</v>
      </c>
      <c r="C90" s="238" t="s">
        <v>220</v>
      </c>
      <c r="D90" s="97" t="s">
        <v>2</v>
      </c>
      <c r="E90" s="2">
        <f>E89</f>
        <v>1</v>
      </c>
      <c r="F90" s="84">
        <v>0</v>
      </c>
      <c r="G90" s="85" t="s">
        <v>12</v>
      </c>
      <c r="H90" s="84">
        <f t="shared" ref="H90" si="31">ROUND(ROUND(F90,2)*ROUND(E90,2),2)</f>
        <v>0</v>
      </c>
      <c r="I90" s="133" t="s">
        <v>12</v>
      </c>
      <c r="J90" s="86" t="s">
        <v>12</v>
      </c>
    </row>
    <row r="91" spans="1:10" x14ac:dyDescent="0.25">
      <c r="A91" s="87"/>
      <c r="B91" s="134"/>
      <c r="C91" s="135" t="s">
        <v>87</v>
      </c>
      <c r="D91" s="90"/>
      <c r="E91" s="136"/>
      <c r="F91" s="136"/>
      <c r="G91" s="137"/>
      <c r="H91" s="138"/>
      <c r="I91" s="139"/>
      <c r="J91" s="140"/>
    </row>
    <row r="92" spans="1:10" x14ac:dyDescent="0.25">
      <c r="A92" s="83">
        <f>SUBTOTAL(102,F$28:F92)</f>
        <v>41</v>
      </c>
      <c r="B92" s="5" t="s">
        <v>25</v>
      </c>
      <c r="C92" s="141" t="s">
        <v>114</v>
      </c>
      <c r="D92" s="6" t="s">
        <v>2</v>
      </c>
      <c r="E92" s="111">
        <v>1</v>
      </c>
      <c r="F92" s="166">
        <v>0</v>
      </c>
      <c r="G92" s="85" t="s">
        <v>12</v>
      </c>
      <c r="H92" s="84">
        <f t="shared" ref="H92" si="32">ROUND(ROUND(F92,2)*ROUND(E92,2),2)</f>
        <v>0</v>
      </c>
      <c r="I92" s="100" t="s">
        <v>12</v>
      </c>
      <c r="J92" s="86" t="s">
        <v>12</v>
      </c>
    </row>
    <row r="93" spans="1:10" x14ac:dyDescent="0.25">
      <c r="A93" s="145"/>
      <c r="B93" s="3"/>
      <c r="C93" s="146" t="s">
        <v>21</v>
      </c>
      <c r="D93" s="90"/>
      <c r="E93" s="147"/>
      <c r="F93" s="148"/>
      <c r="G93" s="148" t="s">
        <v>16</v>
      </c>
      <c r="H93" s="149">
        <f>SUBTOTAL(109,H83:H92)</f>
        <v>0</v>
      </c>
      <c r="I93" s="148" t="s">
        <v>17</v>
      </c>
      <c r="J93" s="150">
        <f>ROUND(H93*1.2,2)</f>
        <v>0</v>
      </c>
    </row>
    <row r="94" spans="1:10" x14ac:dyDescent="0.25">
      <c r="A94" s="151"/>
      <c r="B94" s="3"/>
      <c r="C94" s="152" t="s">
        <v>71</v>
      </c>
      <c r="D94" s="90"/>
      <c r="E94" s="147"/>
      <c r="F94" s="148" t="s">
        <v>16</v>
      </c>
      <c r="G94" s="149">
        <f>SUBTOTAL(109,G83:G93)</f>
        <v>0</v>
      </c>
      <c r="H94" s="148" t="s">
        <v>17</v>
      </c>
      <c r="I94" s="149">
        <f>ROUND(G94*1.2,2)</f>
        <v>0</v>
      </c>
      <c r="J94" s="153"/>
    </row>
    <row r="95" spans="1:10" ht="13.5" thickBot="1" x14ac:dyDescent="0.3">
      <c r="A95" s="154"/>
      <c r="B95" s="155"/>
      <c r="C95" s="156"/>
      <c r="D95" s="157"/>
      <c r="E95" s="158"/>
      <c r="F95" s="159"/>
      <c r="G95" s="160"/>
      <c r="H95" s="161"/>
      <c r="I95" s="162"/>
      <c r="J95" s="163"/>
    </row>
    <row r="96" spans="1:10" ht="19.5" thickBot="1" x14ac:dyDescent="0.3">
      <c r="A96" s="70"/>
      <c r="B96" s="123"/>
      <c r="C96" s="125"/>
      <c r="D96" s="125" t="str">
        <f>CONCATENATE(SUBSTITUTE(A82,"","")," - spolu: ")</f>
        <v xml:space="preserve">4 Plocha C - fitness ihrisko - spolu: </v>
      </c>
      <c r="E96" s="126" t="s">
        <v>16</v>
      </c>
      <c r="F96" s="164">
        <f>SUBTOTAL(109,G82:H95)</f>
        <v>0</v>
      </c>
      <c r="G96" s="126" t="s">
        <v>27</v>
      </c>
      <c r="H96" s="164">
        <f>ROUND(F96*0.2,2)</f>
        <v>0</v>
      </c>
      <c r="I96" s="128" t="s">
        <v>17</v>
      </c>
      <c r="J96" s="129">
        <f>ROUND(F96*1.2,2)</f>
        <v>0</v>
      </c>
    </row>
    <row r="97" spans="1:10" ht="15.75" thickBot="1" x14ac:dyDescent="0.3">
      <c r="A97" s="30"/>
      <c r="B97" s="78"/>
      <c r="C97" s="79"/>
      <c r="D97" s="79"/>
      <c r="E97" s="79"/>
      <c r="F97" s="79"/>
      <c r="G97" s="79"/>
      <c r="H97" s="79"/>
      <c r="I97" s="79"/>
      <c r="J97" s="79"/>
    </row>
    <row r="98" spans="1:10" ht="19.5" thickBot="1" x14ac:dyDescent="0.3">
      <c r="A98" s="70" t="s">
        <v>107</v>
      </c>
      <c r="B98" s="71"/>
      <c r="C98" s="72"/>
      <c r="D98" s="72"/>
      <c r="E98" s="72"/>
      <c r="F98" s="73"/>
      <c r="G98" s="74"/>
      <c r="H98" s="75"/>
      <c r="I98" s="76"/>
      <c r="J98" s="77"/>
    </row>
    <row r="99" spans="1:10" ht="38.25" x14ac:dyDescent="0.25">
      <c r="A99" s="83">
        <f>SUBTOTAL(102,F$28:F99)</f>
        <v>42</v>
      </c>
      <c r="B99" s="131" t="s">
        <v>56</v>
      </c>
      <c r="C99" s="96" t="s">
        <v>170</v>
      </c>
      <c r="D99" s="97" t="s">
        <v>2</v>
      </c>
      <c r="E99" s="2">
        <v>1</v>
      </c>
      <c r="F99" s="84">
        <v>0</v>
      </c>
      <c r="G99" s="84">
        <f t="shared" ref="G99" si="33">ROUND(ROUND(F99,2)*ROUND(E99,2),2)</f>
        <v>0</v>
      </c>
      <c r="H99" s="85" t="s">
        <v>12</v>
      </c>
      <c r="I99" s="133" t="s">
        <v>12</v>
      </c>
      <c r="J99" s="86" t="s">
        <v>12</v>
      </c>
    </row>
    <row r="100" spans="1:10" ht="89.25" x14ac:dyDescent="0.25">
      <c r="A100" s="145">
        <f>SUBTOTAL(102,F$28:F100)</f>
        <v>43</v>
      </c>
      <c r="B100" s="131" t="s">
        <v>105</v>
      </c>
      <c r="C100" s="237" t="s">
        <v>221</v>
      </c>
      <c r="D100" s="97" t="s">
        <v>2</v>
      </c>
      <c r="E100" s="2">
        <f>E99</f>
        <v>1</v>
      </c>
      <c r="F100" s="84">
        <v>0</v>
      </c>
      <c r="G100" s="85" t="s">
        <v>12</v>
      </c>
      <c r="H100" s="84">
        <f t="shared" ref="H100" si="34">ROUND(ROUND(F100,2)*ROUND(E100,2),2)</f>
        <v>0</v>
      </c>
      <c r="I100" s="133" t="s">
        <v>12</v>
      </c>
      <c r="J100" s="86" t="s">
        <v>12</v>
      </c>
    </row>
    <row r="101" spans="1:10" ht="38.25" x14ac:dyDescent="0.25">
      <c r="A101" s="145">
        <f>SUBTOTAL(102,F$28:F101)</f>
        <v>44</v>
      </c>
      <c r="B101" s="131" t="s">
        <v>56</v>
      </c>
      <c r="C101" s="96" t="s">
        <v>171</v>
      </c>
      <c r="D101" s="97" t="s">
        <v>2</v>
      </c>
      <c r="E101" s="2">
        <v>1</v>
      </c>
      <c r="F101" s="84">
        <v>0</v>
      </c>
      <c r="G101" s="84">
        <f t="shared" ref="G101" si="35">ROUND(ROUND(F101,2)*ROUND(E101,2),2)</f>
        <v>0</v>
      </c>
      <c r="H101" s="85" t="s">
        <v>12</v>
      </c>
      <c r="I101" s="133" t="s">
        <v>12</v>
      </c>
      <c r="J101" s="86" t="s">
        <v>12</v>
      </c>
    </row>
    <row r="102" spans="1:10" ht="89.25" x14ac:dyDescent="0.25">
      <c r="A102" s="145">
        <f>SUBTOTAL(102,F$28:F102)</f>
        <v>45</v>
      </c>
      <c r="B102" s="131" t="s">
        <v>105</v>
      </c>
      <c r="C102" s="237" t="s">
        <v>222</v>
      </c>
      <c r="D102" s="97" t="s">
        <v>2</v>
      </c>
      <c r="E102" s="2">
        <f>E101</f>
        <v>1</v>
      </c>
      <c r="F102" s="84">
        <v>0</v>
      </c>
      <c r="G102" s="85" t="s">
        <v>12</v>
      </c>
      <c r="H102" s="84">
        <f t="shared" ref="H102" si="36">ROUND(ROUND(F102,2)*ROUND(E102,2),2)</f>
        <v>0</v>
      </c>
      <c r="I102" s="133" t="s">
        <v>12</v>
      </c>
      <c r="J102" s="86" t="s">
        <v>12</v>
      </c>
    </row>
    <row r="103" spans="1:10" ht="57.75" customHeight="1" x14ac:dyDescent="0.25">
      <c r="A103" s="83">
        <f>SUBTOTAL(102,F$28:F103)</f>
        <v>46</v>
      </c>
      <c r="B103" s="131" t="s">
        <v>56</v>
      </c>
      <c r="C103" s="96" t="s">
        <v>172</v>
      </c>
      <c r="D103" s="97" t="s">
        <v>2</v>
      </c>
      <c r="E103" s="2">
        <v>1</v>
      </c>
      <c r="F103" s="84">
        <v>0</v>
      </c>
      <c r="G103" s="84">
        <f t="shared" ref="G103" si="37">ROUND(ROUND(F103,2)*ROUND(E103,2),2)</f>
        <v>0</v>
      </c>
      <c r="H103" s="85" t="s">
        <v>12</v>
      </c>
      <c r="I103" s="133" t="s">
        <v>12</v>
      </c>
      <c r="J103" s="86" t="s">
        <v>12</v>
      </c>
    </row>
    <row r="104" spans="1:10" ht="89.25" x14ac:dyDescent="0.25">
      <c r="A104" s="145">
        <f>SUBTOTAL(102,F$28:F104)</f>
        <v>47</v>
      </c>
      <c r="B104" s="131" t="s">
        <v>105</v>
      </c>
      <c r="C104" s="237" t="s">
        <v>223</v>
      </c>
      <c r="D104" s="97" t="s">
        <v>2</v>
      </c>
      <c r="E104" s="2">
        <f>E103</f>
        <v>1</v>
      </c>
      <c r="F104" s="84">
        <v>0</v>
      </c>
      <c r="G104" s="85" t="s">
        <v>12</v>
      </c>
      <c r="H104" s="84">
        <f t="shared" ref="H104" si="38">ROUND(ROUND(F104,2)*ROUND(E104,2),2)</f>
        <v>0</v>
      </c>
      <c r="I104" s="133" t="s">
        <v>12</v>
      </c>
      <c r="J104" s="86" t="s">
        <v>12</v>
      </c>
    </row>
    <row r="105" spans="1:10" ht="56.25" customHeight="1" x14ac:dyDescent="0.25">
      <c r="A105" s="145">
        <f>SUBTOTAL(102,F$28:F105)</f>
        <v>48</v>
      </c>
      <c r="B105" s="131" t="s">
        <v>56</v>
      </c>
      <c r="C105" s="96" t="s">
        <v>173</v>
      </c>
      <c r="D105" s="97" t="s">
        <v>2</v>
      </c>
      <c r="E105" s="2">
        <v>1</v>
      </c>
      <c r="F105" s="84">
        <v>0</v>
      </c>
      <c r="G105" s="84">
        <f t="shared" ref="G105" si="39">ROUND(ROUND(F105,2)*ROUND(E105,2),2)</f>
        <v>0</v>
      </c>
      <c r="H105" s="85" t="s">
        <v>12</v>
      </c>
      <c r="I105" s="133" t="s">
        <v>12</v>
      </c>
      <c r="J105" s="86" t="s">
        <v>12</v>
      </c>
    </row>
    <row r="106" spans="1:10" ht="89.25" x14ac:dyDescent="0.25">
      <c r="A106" s="145">
        <f>SUBTOTAL(102,F$28:F106)</f>
        <v>49</v>
      </c>
      <c r="B106" s="131" t="s">
        <v>105</v>
      </c>
      <c r="C106" s="237" t="s">
        <v>219</v>
      </c>
      <c r="D106" s="97" t="s">
        <v>2</v>
      </c>
      <c r="E106" s="2">
        <f>E105</f>
        <v>1</v>
      </c>
      <c r="F106" s="84">
        <v>0</v>
      </c>
      <c r="G106" s="85" t="s">
        <v>12</v>
      </c>
      <c r="H106" s="84">
        <f t="shared" ref="H106" si="40">ROUND(ROUND(F106,2)*ROUND(E106,2),2)</f>
        <v>0</v>
      </c>
      <c r="I106" s="133" t="s">
        <v>12</v>
      </c>
      <c r="J106" s="86" t="s">
        <v>12</v>
      </c>
    </row>
    <row r="107" spans="1:10" x14ac:dyDescent="0.25">
      <c r="A107" s="87"/>
      <c r="B107" s="134"/>
      <c r="C107" s="135" t="s">
        <v>87</v>
      </c>
      <c r="D107" s="90"/>
      <c r="E107" s="136"/>
      <c r="F107" s="136"/>
      <c r="G107" s="137"/>
      <c r="H107" s="138"/>
      <c r="I107" s="139"/>
      <c r="J107" s="140"/>
    </row>
    <row r="108" spans="1:10" x14ac:dyDescent="0.25">
      <c r="A108" s="145">
        <f>SUBTOTAL(102,F$28:F108)</f>
        <v>50</v>
      </c>
      <c r="B108" s="5" t="s">
        <v>25</v>
      </c>
      <c r="C108" s="141" t="s">
        <v>114</v>
      </c>
      <c r="D108" s="167" t="s">
        <v>2</v>
      </c>
      <c r="E108" s="111">
        <v>1</v>
      </c>
      <c r="F108" s="166">
        <v>0</v>
      </c>
      <c r="G108" s="85" t="s">
        <v>12</v>
      </c>
      <c r="H108" s="84">
        <f t="shared" ref="H108" si="41">ROUND(ROUND(F108,2)*ROUND(E108,2),2)</f>
        <v>0</v>
      </c>
      <c r="I108" s="100" t="s">
        <v>12</v>
      </c>
      <c r="J108" s="86" t="s">
        <v>12</v>
      </c>
    </row>
    <row r="109" spans="1:10" x14ac:dyDescent="0.25">
      <c r="A109" s="145"/>
      <c r="B109" s="3"/>
      <c r="C109" s="146" t="s">
        <v>21</v>
      </c>
      <c r="D109" s="90"/>
      <c r="E109" s="147"/>
      <c r="F109" s="148"/>
      <c r="G109" s="148" t="s">
        <v>16</v>
      </c>
      <c r="H109" s="149">
        <f>SUBTOTAL(109,H99:H106)</f>
        <v>0</v>
      </c>
      <c r="I109" s="148" t="s">
        <v>17</v>
      </c>
      <c r="J109" s="150">
        <f>ROUND(H109*1.2,2)</f>
        <v>0</v>
      </c>
    </row>
    <row r="110" spans="1:10" x14ac:dyDescent="0.25">
      <c r="A110" s="151"/>
      <c r="B110" s="3"/>
      <c r="C110" s="152" t="s">
        <v>71</v>
      </c>
      <c r="D110" s="90"/>
      <c r="E110" s="147"/>
      <c r="F110" s="148" t="s">
        <v>16</v>
      </c>
      <c r="G110" s="149">
        <f>SUBTOTAL(109,G98:G106)</f>
        <v>0</v>
      </c>
      <c r="H110" s="148" t="s">
        <v>17</v>
      </c>
      <c r="I110" s="149">
        <f>ROUND(G110*1.2,2)</f>
        <v>0</v>
      </c>
      <c r="J110" s="153"/>
    </row>
    <row r="111" spans="1:10" ht="13.5" thickBot="1" x14ac:dyDescent="0.3">
      <c r="A111" s="154"/>
      <c r="B111" s="155"/>
      <c r="C111" s="156"/>
      <c r="D111" s="157"/>
      <c r="E111" s="158"/>
      <c r="F111" s="159"/>
      <c r="G111" s="160"/>
      <c r="H111" s="161"/>
      <c r="I111" s="162"/>
      <c r="J111" s="163"/>
    </row>
    <row r="112" spans="1:10" ht="19.5" thickBot="1" x14ac:dyDescent="0.3">
      <c r="A112" s="70"/>
      <c r="B112" s="123"/>
      <c r="C112" s="125"/>
      <c r="D112" s="125" t="str">
        <f>CONCATENATE(SUBSTITUTE(A98,"","")," - spolu: ")</f>
        <v xml:space="preserve">5 Plocha D - agility kynologické ihrisko - hracie prvky - spolu: </v>
      </c>
      <c r="E112" s="126" t="s">
        <v>16</v>
      </c>
      <c r="F112" s="164">
        <f>SUBTOTAL(109,G99:H111)</f>
        <v>0</v>
      </c>
      <c r="G112" s="126" t="s">
        <v>27</v>
      </c>
      <c r="H112" s="164">
        <f>ROUND(F112*0.2,2)</f>
        <v>0</v>
      </c>
      <c r="I112" s="128" t="s">
        <v>17</v>
      </c>
      <c r="J112" s="129">
        <f>ROUND(F112*1.2,2)</f>
        <v>0</v>
      </c>
    </row>
    <row r="113" spans="1:10" ht="15.75" thickBot="1" x14ac:dyDescent="0.3">
      <c r="A113" s="30"/>
      <c r="B113" s="78"/>
      <c r="C113" s="79"/>
      <c r="D113" s="79"/>
      <c r="E113" s="79"/>
      <c r="F113" s="79"/>
      <c r="G113" s="79"/>
      <c r="H113" s="79"/>
      <c r="I113" s="79"/>
      <c r="J113" s="79"/>
    </row>
    <row r="114" spans="1:10" ht="19.5" thickBot="1" x14ac:dyDescent="0.3">
      <c r="A114" s="70" t="s">
        <v>108</v>
      </c>
      <c r="B114" s="71"/>
      <c r="C114" s="72"/>
      <c r="D114" s="72"/>
      <c r="E114" s="72"/>
      <c r="F114" s="73"/>
      <c r="G114" s="74"/>
      <c r="H114" s="75"/>
      <c r="I114" s="76"/>
      <c r="J114" s="77"/>
    </row>
    <row r="115" spans="1:10" x14ac:dyDescent="0.25">
      <c r="A115" s="168"/>
      <c r="B115" s="88"/>
      <c r="C115" s="89" t="s">
        <v>85</v>
      </c>
      <c r="D115" s="169"/>
      <c r="E115" s="91"/>
      <c r="F115" s="92"/>
      <c r="G115" s="88"/>
      <c r="H115" s="88"/>
      <c r="I115" s="88"/>
      <c r="J115" s="170"/>
    </row>
    <row r="116" spans="1:10" s="79" customFormat="1" ht="89.25" x14ac:dyDescent="0.25">
      <c r="A116" s="83">
        <f>SUBTOTAL(102,F$28:F116)</f>
        <v>51</v>
      </c>
      <c r="B116" s="5" t="s">
        <v>56</v>
      </c>
      <c r="C116" s="1" t="s">
        <v>189</v>
      </c>
      <c r="D116" s="167" t="s">
        <v>2</v>
      </c>
      <c r="E116" s="171">
        <v>1</v>
      </c>
      <c r="F116" s="166">
        <v>0</v>
      </c>
      <c r="G116" s="84">
        <f t="shared" ref="G116" si="42">ROUND(ROUND(F116,2)*ROUND(E116,2),2)</f>
        <v>0</v>
      </c>
      <c r="H116" s="85" t="s">
        <v>12</v>
      </c>
      <c r="I116" s="100" t="s">
        <v>12</v>
      </c>
      <c r="J116" s="86" t="s">
        <v>12</v>
      </c>
    </row>
    <row r="117" spans="1:10" s="79" customFormat="1" ht="89.25" x14ac:dyDescent="0.25">
      <c r="A117" s="145">
        <f>SUBTOTAL(102,F$28:F117)</f>
        <v>52</v>
      </c>
      <c r="B117" s="131" t="s">
        <v>105</v>
      </c>
      <c r="C117" s="237" t="s">
        <v>224</v>
      </c>
      <c r="D117" s="167" t="s">
        <v>2</v>
      </c>
      <c r="E117" s="171">
        <f>E116</f>
        <v>1</v>
      </c>
      <c r="F117" s="166">
        <v>0</v>
      </c>
      <c r="G117" s="85" t="s">
        <v>12</v>
      </c>
      <c r="H117" s="84">
        <f t="shared" ref="H117" si="43">ROUND(ROUND(F117,2)*ROUND(E117,2),2)</f>
        <v>0</v>
      </c>
      <c r="I117" s="100" t="s">
        <v>12</v>
      </c>
      <c r="J117" s="86" t="s">
        <v>12</v>
      </c>
    </row>
    <row r="118" spans="1:10" ht="47.25" customHeight="1" x14ac:dyDescent="0.25">
      <c r="A118" s="145">
        <f>SUBTOTAL(102,F$28:F118)</f>
        <v>53</v>
      </c>
      <c r="B118" s="110" t="s">
        <v>56</v>
      </c>
      <c r="C118" s="1" t="s">
        <v>190</v>
      </c>
      <c r="D118" s="6" t="s">
        <v>180</v>
      </c>
      <c r="E118" s="2">
        <v>2</v>
      </c>
      <c r="F118" s="166">
        <v>0</v>
      </c>
      <c r="G118" s="84">
        <f t="shared" ref="G118" si="44">ROUND(ROUND(F118,2)*ROUND(E118,2),2)</f>
        <v>0</v>
      </c>
      <c r="H118" s="85" t="s">
        <v>12</v>
      </c>
      <c r="I118" s="100" t="s">
        <v>12</v>
      </c>
      <c r="J118" s="86" t="s">
        <v>12</v>
      </c>
    </row>
    <row r="119" spans="1:10" ht="160.5" customHeight="1" x14ac:dyDescent="0.25">
      <c r="A119" s="145">
        <f>SUBTOTAL(102,F$28:F119)</f>
        <v>54</v>
      </c>
      <c r="B119" s="131" t="s">
        <v>105</v>
      </c>
      <c r="C119" s="237" t="s">
        <v>225</v>
      </c>
      <c r="D119" s="167" t="s">
        <v>2</v>
      </c>
      <c r="E119" s="171">
        <f>E118</f>
        <v>2</v>
      </c>
      <c r="F119" s="166">
        <v>0</v>
      </c>
      <c r="G119" s="85" t="s">
        <v>12</v>
      </c>
      <c r="H119" s="84">
        <f t="shared" ref="H119" si="45">ROUND(ROUND(F119,2)*ROUND(E119,2),2)</f>
        <v>0</v>
      </c>
      <c r="I119" s="100" t="s">
        <v>12</v>
      </c>
      <c r="J119" s="86" t="s">
        <v>12</v>
      </c>
    </row>
    <row r="120" spans="1:10" x14ac:dyDescent="0.25">
      <c r="A120" s="168"/>
      <c r="B120" s="88"/>
      <c r="C120" s="89" t="s">
        <v>116</v>
      </c>
      <c r="D120" s="169"/>
      <c r="E120" s="91"/>
      <c r="F120" s="92"/>
      <c r="G120" s="88"/>
      <c r="H120" s="88"/>
      <c r="I120" s="88"/>
      <c r="J120" s="170"/>
    </row>
    <row r="121" spans="1:10" ht="25.5" x14ac:dyDescent="0.25">
      <c r="A121" s="83">
        <f>SUBTOTAL(102,F$28:F121)</f>
        <v>55</v>
      </c>
      <c r="B121" s="110">
        <v>122101101</v>
      </c>
      <c r="C121" s="1" t="s">
        <v>188</v>
      </c>
      <c r="D121" s="108" t="s">
        <v>11</v>
      </c>
      <c r="E121" s="109">
        <f>E125*0.05</f>
        <v>0.65</v>
      </c>
      <c r="F121" s="166">
        <v>0</v>
      </c>
      <c r="G121" s="85" t="s">
        <v>12</v>
      </c>
      <c r="H121" s="84">
        <f t="shared" ref="H121:H130" si="46">ROUND(ROUND(F121,2)*ROUND(E121,2),2)</f>
        <v>0</v>
      </c>
      <c r="I121" s="102">
        <v>1.4</v>
      </c>
      <c r="J121" s="103">
        <f t="shared" ref="J121" si="47">ROUND(ROUND(E121,2)*ROUND(I121,4),3)</f>
        <v>0.91</v>
      </c>
    </row>
    <row r="122" spans="1:10" s="79" customFormat="1" ht="15" x14ac:dyDescent="0.25">
      <c r="A122" s="83">
        <f>SUBTOTAL(102,F$28:F122)</f>
        <v>56</v>
      </c>
      <c r="B122" s="110">
        <v>162201102</v>
      </c>
      <c r="C122" s="1" t="s">
        <v>54</v>
      </c>
      <c r="D122" s="6" t="s">
        <v>11</v>
      </c>
      <c r="E122" s="111">
        <f>SUBTOTAL(109,E121)</f>
        <v>0.65</v>
      </c>
      <c r="F122" s="112">
        <v>0</v>
      </c>
      <c r="G122" s="85" t="s">
        <v>12</v>
      </c>
      <c r="H122" s="84">
        <f t="shared" si="46"/>
        <v>0</v>
      </c>
      <c r="I122" s="85" t="s">
        <v>12</v>
      </c>
      <c r="J122" s="86" t="s">
        <v>12</v>
      </c>
    </row>
    <row r="123" spans="1:10" s="79" customFormat="1" ht="28.5" customHeight="1" x14ac:dyDescent="0.25">
      <c r="A123" s="83">
        <f>SUBTOTAL(102,F$28:F123)</f>
        <v>57</v>
      </c>
      <c r="B123" s="110" t="s">
        <v>37</v>
      </c>
      <c r="C123" s="1" t="s">
        <v>150</v>
      </c>
      <c r="D123" s="108" t="s">
        <v>14</v>
      </c>
      <c r="E123" s="109">
        <f>E121*4</f>
        <v>2.6</v>
      </c>
      <c r="F123" s="106">
        <v>0</v>
      </c>
      <c r="G123" s="100" t="s">
        <v>12</v>
      </c>
      <c r="H123" s="101">
        <f t="shared" ref="H123" si="48">ROUND(ROUND(E123,2)*ROUND(F123,2),2)</f>
        <v>0</v>
      </c>
      <c r="I123" s="133" t="s">
        <v>12</v>
      </c>
      <c r="J123" s="86" t="s">
        <v>12</v>
      </c>
    </row>
    <row r="124" spans="1:10" ht="25.5" x14ac:dyDescent="0.25">
      <c r="A124" s="83">
        <f>SUBTOTAL(102,F$28:F124)</f>
        <v>58</v>
      </c>
      <c r="B124" s="5" t="s">
        <v>57</v>
      </c>
      <c r="C124" s="141" t="s">
        <v>62</v>
      </c>
      <c r="D124" s="6" t="s">
        <v>14</v>
      </c>
      <c r="E124" s="111">
        <f>E125</f>
        <v>13</v>
      </c>
      <c r="F124" s="166">
        <v>0</v>
      </c>
      <c r="G124" s="85" t="s">
        <v>12</v>
      </c>
      <c r="H124" s="84">
        <f t="shared" si="46"/>
        <v>0</v>
      </c>
      <c r="I124" s="133" t="s">
        <v>12</v>
      </c>
      <c r="J124" s="86" t="s">
        <v>12</v>
      </c>
    </row>
    <row r="125" spans="1:10" x14ac:dyDescent="0.25">
      <c r="A125" s="83">
        <f>SUBTOTAL(102,F$28:F125)</f>
        <v>59</v>
      </c>
      <c r="B125" s="131">
        <v>564811111</v>
      </c>
      <c r="C125" s="107" t="s">
        <v>59</v>
      </c>
      <c r="D125" s="6" t="s">
        <v>14</v>
      </c>
      <c r="E125" s="2">
        <v>13</v>
      </c>
      <c r="F125" s="166">
        <v>0</v>
      </c>
      <c r="G125" s="85" t="s">
        <v>12</v>
      </c>
      <c r="H125" s="84">
        <f t="shared" si="46"/>
        <v>0</v>
      </c>
      <c r="I125" s="133" t="s">
        <v>12</v>
      </c>
      <c r="J125" s="86" t="s">
        <v>12</v>
      </c>
    </row>
    <row r="126" spans="1:10" x14ac:dyDescent="0.25">
      <c r="A126" s="83">
        <f>SUBTOTAL(102,F$28:F126)</f>
        <v>60</v>
      </c>
      <c r="B126" s="131" t="s">
        <v>56</v>
      </c>
      <c r="C126" s="107" t="s">
        <v>61</v>
      </c>
      <c r="D126" s="6" t="s">
        <v>3</v>
      </c>
      <c r="E126" s="2">
        <f>E125*0.05*1.6</f>
        <v>1.04</v>
      </c>
      <c r="F126" s="166">
        <v>0</v>
      </c>
      <c r="G126" s="85" t="s">
        <v>12</v>
      </c>
      <c r="H126" s="84">
        <f t="shared" si="46"/>
        <v>0</v>
      </c>
      <c r="I126" s="133" t="s">
        <v>12</v>
      </c>
      <c r="J126" s="86" t="s">
        <v>12</v>
      </c>
    </row>
    <row r="127" spans="1:10" x14ac:dyDescent="0.25">
      <c r="A127" s="83">
        <f>SUBTOTAL(102,F$28:F127)</f>
        <v>61</v>
      </c>
      <c r="B127" s="131">
        <v>185851111</v>
      </c>
      <c r="C127" s="1" t="s">
        <v>152</v>
      </c>
      <c r="D127" s="6" t="s">
        <v>11</v>
      </c>
      <c r="E127" s="2">
        <f>E125*0.02</f>
        <v>0.26</v>
      </c>
      <c r="F127" s="112">
        <v>0</v>
      </c>
      <c r="G127" s="85" t="s">
        <v>12</v>
      </c>
      <c r="H127" s="84">
        <f t="shared" si="46"/>
        <v>0</v>
      </c>
      <c r="I127" s="133" t="s">
        <v>12</v>
      </c>
      <c r="J127" s="86" t="s">
        <v>12</v>
      </c>
    </row>
    <row r="128" spans="1:10" x14ac:dyDescent="0.25">
      <c r="A128" s="83"/>
      <c r="B128" s="131"/>
      <c r="C128" s="1" t="s">
        <v>68</v>
      </c>
      <c r="D128" s="6" t="s">
        <v>11</v>
      </c>
      <c r="E128" s="111">
        <f>E127*20</f>
        <v>5.2</v>
      </c>
      <c r="F128" s="112">
        <v>0</v>
      </c>
      <c r="G128" s="85" t="s">
        <v>12</v>
      </c>
      <c r="H128" s="84">
        <f t="shared" si="46"/>
        <v>0</v>
      </c>
      <c r="I128" s="133" t="s">
        <v>12</v>
      </c>
      <c r="J128" s="86" t="s">
        <v>12</v>
      </c>
    </row>
    <row r="129" spans="1:10" x14ac:dyDescent="0.25">
      <c r="A129" s="83">
        <f>SUBTOTAL(102,F$28:F129)</f>
        <v>63</v>
      </c>
      <c r="B129" s="131">
        <v>185804312</v>
      </c>
      <c r="C129" s="105" t="s">
        <v>63</v>
      </c>
      <c r="D129" s="167" t="s">
        <v>11</v>
      </c>
      <c r="E129" s="171">
        <f>E125*0.02</f>
        <v>0.26</v>
      </c>
      <c r="F129" s="166">
        <v>0</v>
      </c>
      <c r="G129" s="85" t="s">
        <v>12</v>
      </c>
      <c r="H129" s="84">
        <f t="shared" si="46"/>
        <v>0</v>
      </c>
      <c r="I129" s="133" t="s">
        <v>12</v>
      </c>
      <c r="J129" s="86" t="s">
        <v>12</v>
      </c>
    </row>
    <row r="130" spans="1:10" x14ac:dyDescent="0.25">
      <c r="A130" s="83">
        <f>SUBTOTAL(102,F$28:F130)</f>
        <v>64</v>
      </c>
      <c r="B130" s="131" t="s">
        <v>56</v>
      </c>
      <c r="C130" s="105" t="s">
        <v>67</v>
      </c>
      <c r="D130" s="167" t="s">
        <v>11</v>
      </c>
      <c r="E130" s="171">
        <f>E125*0.02</f>
        <v>0.26</v>
      </c>
      <c r="F130" s="166">
        <v>0</v>
      </c>
      <c r="G130" s="85" t="s">
        <v>12</v>
      </c>
      <c r="H130" s="84">
        <f t="shared" si="46"/>
        <v>0</v>
      </c>
      <c r="I130" s="133" t="s">
        <v>12</v>
      </c>
      <c r="J130" s="86" t="s">
        <v>12</v>
      </c>
    </row>
    <row r="131" spans="1:10" x14ac:dyDescent="0.25">
      <c r="A131" s="87"/>
      <c r="B131" s="134"/>
      <c r="C131" s="135" t="s">
        <v>87</v>
      </c>
      <c r="D131" s="90"/>
      <c r="E131" s="136"/>
      <c r="F131" s="136"/>
      <c r="G131" s="137"/>
      <c r="H131" s="138"/>
      <c r="I131" s="139"/>
      <c r="J131" s="140"/>
    </row>
    <row r="132" spans="1:10" x14ac:dyDescent="0.25">
      <c r="A132" s="145">
        <f>SUBTOTAL(102,F$28:F132)</f>
        <v>65</v>
      </c>
      <c r="B132" s="5" t="s">
        <v>25</v>
      </c>
      <c r="C132" s="141" t="s">
        <v>114</v>
      </c>
      <c r="D132" s="167" t="s">
        <v>2</v>
      </c>
      <c r="E132" s="111">
        <v>1</v>
      </c>
      <c r="F132" s="166">
        <v>0</v>
      </c>
      <c r="G132" s="85" t="s">
        <v>12</v>
      </c>
      <c r="H132" s="84">
        <f t="shared" ref="H132" si="49">ROUND(ROUND(F132,2)*ROUND(E132,2),2)</f>
        <v>0</v>
      </c>
      <c r="I132" s="100" t="s">
        <v>12</v>
      </c>
      <c r="J132" s="86" t="s">
        <v>12</v>
      </c>
    </row>
    <row r="133" spans="1:10" x14ac:dyDescent="0.25">
      <c r="A133" s="87"/>
      <c r="B133" s="88"/>
      <c r="C133" s="172" t="s">
        <v>21</v>
      </c>
      <c r="D133" s="169"/>
      <c r="E133" s="147"/>
      <c r="F133" s="148"/>
      <c r="G133" s="148" t="s">
        <v>16</v>
      </c>
      <c r="H133" s="149">
        <f>SUBTOTAL(109,H114:H132)</f>
        <v>0</v>
      </c>
      <c r="I133" s="148" t="s">
        <v>17</v>
      </c>
      <c r="J133" s="150">
        <f>ROUND(H133*1.2,2)</f>
        <v>0</v>
      </c>
    </row>
    <row r="134" spans="1:10" x14ac:dyDescent="0.25">
      <c r="A134" s="173"/>
      <c r="B134" s="88"/>
      <c r="C134" s="172" t="s">
        <v>71</v>
      </c>
      <c r="D134" s="169"/>
      <c r="E134" s="147"/>
      <c r="F134" s="148" t="s">
        <v>16</v>
      </c>
      <c r="G134" s="149">
        <f>SUBTOTAL(109,G114:G133)</f>
        <v>0</v>
      </c>
      <c r="H134" s="148" t="s">
        <v>17</v>
      </c>
      <c r="I134" s="149">
        <f>ROUND(G134*1.2,2)</f>
        <v>0</v>
      </c>
      <c r="J134" s="174"/>
    </row>
    <row r="135" spans="1:10" ht="13.5" thickBot="1" x14ac:dyDescent="0.3">
      <c r="A135" s="113"/>
      <c r="B135" s="114"/>
      <c r="C135" s="115"/>
      <c r="D135" s="116"/>
      <c r="E135" s="117"/>
      <c r="F135" s="118"/>
      <c r="G135" s="119"/>
      <c r="H135" s="120"/>
      <c r="I135" s="121"/>
      <c r="J135" s="122"/>
    </row>
    <row r="136" spans="1:10" ht="19.5" thickBot="1" x14ac:dyDescent="0.3">
      <c r="A136" s="80"/>
      <c r="B136" s="123"/>
      <c r="C136" s="124"/>
      <c r="D136" s="125" t="str">
        <f>CONCATENATE(SUBSTITUTE(A114,"","")," - spolu: ")</f>
        <v xml:space="preserve">6 Plocha D - agility kynologické ihrisko - ostatné - spolu: </v>
      </c>
      <c r="E136" s="126" t="s">
        <v>16</v>
      </c>
      <c r="F136" s="164">
        <f>SUBTOTAL(109,G114:H135)</f>
        <v>0</v>
      </c>
      <c r="G136" s="126" t="s">
        <v>27</v>
      </c>
      <c r="H136" s="164">
        <f>ROUND(F136*0.2,2)</f>
        <v>0</v>
      </c>
      <c r="I136" s="128" t="s">
        <v>17</v>
      </c>
      <c r="J136" s="129">
        <f>ROUND(F136*1.2,2)</f>
        <v>0</v>
      </c>
    </row>
    <row r="137" spans="1:10" ht="15.75" thickBot="1" x14ac:dyDescent="0.3">
      <c r="A137" s="30"/>
      <c r="B137" s="78"/>
      <c r="C137" s="79"/>
      <c r="D137" s="79"/>
      <c r="E137" s="79"/>
      <c r="F137" s="79"/>
      <c r="G137" s="79"/>
      <c r="H137" s="79"/>
      <c r="I137" s="79"/>
      <c r="J137" s="79"/>
    </row>
    <row r="138" spans="1:10" s="79" customFormat="1" ht="19.5" thickBot="1" x14ac:dyDescent="0.3">
      <c r="A138" s="70" t="s">
        <v>115</v>
      </c>
      <c r="B138" s="71"/>
      <c r="C138" s="72"/>
      <c r="D138" s="72"/>
      <c r="E138" s="72"/>
      <c r="F138" s="73"/>
      <c r="G138" s="74"/>
      <c r="H138" s="75"/>
      <c r="I138" s="76"/>
      <c r="J138" s="77"/>
    </row>
    <row r="139" spans="1:10" s="79" customFormat="1" ht="15" x14ac:dyDescent="0.25">
      <c r="A139" s="168"/>
      <c r="B139" s="88"/>
      <c r="C139" s="89" t="s">
        <v>85</v>
      </c>
      <c r="D139" s="169"/>
      <c r="E139" s="91"/>
      <c r="F139" s="92"/>
      <c r="G139" s="88"/>
      <c r="H139" s="88"/>
      <c r="I139" s="88"/>
      <c r="J139" s="170"/>
    </row>
    <row r="140" spans="1:10" s="79" customFormat="1" ht="15" x14ac:dyDescent="0.25">
      <c r="A140" s="83"/>
      <c r="B140" s="175"/>
      <c r="C140" s="176" t="s">
        <v>181</v>
      </c>
      <c r="D140" s="177"/>
      <c r="E140" s="178"/>
      <c r="F140" s="178"/>
      <c r="G140" s="179" t="s">
        <v>12</v>
      </c>
      <c r="H140" s="100"/>
      <c r="I140" s="180"/>
      <c r="J140" s="181"/>
    </row>
    <row r="141" spans="1:10" s="79" customFormat="1" ht="25.5" x14ac:dyDescent="0.25">
      <c r="A141" s="83">
        <f>SUBTOTAL(102,F$28:F141)</f>
        <v>66</v>
      </c>
      <c r="B141" s="5" t="s">
        <v>56</v>
      </c>
      <c r="C141" s="1" t="s">
        <v>174</v>
      </c>
      <c r="D141" s="167" t="s">
        <v>2</v>
      </c>
      <c r="E141" s="171">
        <v>23</v>
      </c>
      <c r="F141" s="84">
        <v>0</v>
      </c>
      <c r="G141" s="84">
        <f t="shared" ref="G141:G142" si="50">ROUND(ROUND(F141,2)*ROUND(E141,2),2)</f>
        <v>0</v>
      </c>
      <c r="H141" s="85" t="s">
        <v>12</v>
      </c>
      <c r="I141" s="100" t="s">
        <v>12</v>
      </c>
      <c r="J141" s="86" t="s">
        <v>12</v>
      </c>
    </row>
    <row r="142" spans="1:10" s="79" customFormat="1" ht="89.25" x14ac:dyDescent="0.25">
      <c r="A142" s="145">
        <f>SUBTOTAL(102,F$28:F142)</f>
        <v>67</v>
      </c>
      <c r="B142" s="5" t="s">
        <v>56</v>
      </c>
      <c r="C142" s="239" t="s">
        <v>226</v>
      </c>
      <c r="D142" s="167" t="s">
        <v>2</v>
      </c>
      <c r="E142" s="171">
        <f>E141</f>
        <v>23</v>
      </c>
      <c r="F142" s="84">
        <v>0</v>
      </c>
      <c r="G142" s="84">
        <f t="shared" si="50"/>
        <v>0</v>
      </c>
      <c r="H142" s="85" t="s">
        <v>12</v>
      </c>
      <c r="I142" s="100" t="s">
        <v>12</v>
      </c>
      <c r="J142" s="86" t="s">
        <v>12</v>
      </c>
    </row>
    <row r="143" spans="1:10" s="79" customFormat="1" ht="51" x14ac:dyDescent="0.25">
      <c r="A143" s="145">
        <f>SUBTOTAL(102,F$28:F143)</f>
        <v>68</v>
      </c>
      <c r="B143" s="5" t="s">
        <v>25</v>
      </c>
      <c r="C143" s="239" t="s">
        <v>227</v>
      </c>
      <c r="D143" s="167" t="s">
        <v>2</v>
      </c>
      <c r="E143" s="171">
        <f>E141</f>
        <v>23</v>
      </c>
      <c r="F143" s="84">
        <v>0</v>
      </c>
      <c r="G143" s="85" t="s">
        <v>12</v>
      </c>
      <c r="H143" s="84">
        <f t="shared" ref="H143" si="51">ROUND(ROUND(F143,2)*ROUND(E143,2),2)</f>
        <v>0</v>
      </c>
      <c r="I143" s="100" t="s">
        <v>12</v>
      </c>
      <c r="J143" s="86" t="s">
        <v>12</v>
      </c>
    </row>
    <row r="144" spans="1:10" s="79" customFormat="1" ht="15" x14ac:dyDescent="0.25">
      <c r="A144" s="83">
        <f>SUBTOTAL(102,F$28:F144)</f>
        <v>68</v>
      </c>
      <c r="B144" s="175"/>
      <c r="C144" s="176" t="s">
        <v>86</v>
      </c>
      <c r="D144" s="167"/>
      <c r="E144" s="178"/>
      <c r="F144" s="84"/>
      <c r="G144" s="178"/>
      <c r="H144" s="100"/>
      <c r="I144" s="180"/>
      <c r="J144" s="181"/>
    </row>
    <row r="145" spans="1:10" s="79" customFormat="1" ht="15" x14ac:dyDescent="0.25">
      <c r="A145" s="83">
        <f>SUBTOTAL(102,F$28:F145)</f>
        <v>69</v>
      </c>
      <c r="B145" s="5" t="s">
        <v>56</v>
      </c>
      <c r="C145" s="1" t="s">
        <v>175</v>
      </c>
      <c r="D145" s="167" t="s">
        <v>2</v>
      </c>
      <c r="E145" s="171">
        <v>9</v>
      </c>
      <c r="F145" s="84">
        <v>0</v>
      </c>
      <c r="G145" s="84">
        <f t="shared" ref="G145:G146" si="52">ROUND(ROUND(F145,2)*ROUND(E145,2),2)</f>
        <v>0</v>
      </c>
      <c r="H145" s="85" t="s">
        <v>12</v>
      </c>
      <c r="I145" s="100" t="s">
        <v>12</v>
      </c>
      <c r="J145" s="86" t="s">
        <v>12</v>
      </c>
    </row>
    <row r="146" spans="1:10" s="79" customFormat="1" ht="89.25" x14ac:dyDescent="0.25">
      <c r="A146" s="145">
        <f>SUBTOTAL(102,F$28:F146)</f>
        <v>70</v>
      </c>
      <c r="B146" s="5" t="s">
        <v>56</v>
      </c>
      <c r="C146" s="239" t="s">
        <v>228</v>
      </c>
      <c r="D146" s="167" t="s">
        <v>2</v>
      </c>
      <c r="E146" s="171">
        <f>E145</f>
        <v>9</v>
      </c>
      <c r="F146" s="84">
        <v>0</v>
      </c>
      <c r="G146" s="84">
        <f t="shared" si="52"/>
        <v>0</v>
      </c>
      <c r="H146" s="85" t="s">
        <v>12</v>
      </c>
      <c r="I146" s="100" t="s">
        <v>12</v>
      </c>
      <c r="J146" s="86" t="s">
        <v>12</v>
      </c>
    </row>
    <row r="147" spans="1:10" s="79" customFormat="1" ht="51" x14ac:dyDescent="0.25">
      <c r="A147" s="145">
        <f>SUBTOTAL(102,F$28:F147)</f>
        <v>71</v>
      </c>
      <c r="B147" s="5" t="s">
        <v>25</v>
      </c>
      <c r="C147" s="239" t="s">
        <v>229</v>
      </c>
      <c r="D147" s="167" t="s">
        <v>2</v>
      </c>
      <c r="E147" s="171">
        <f>E145</f>
        <v>9</v>
      </c>
      <c r="F147" s="84">
        <v>0</v>
      </c>
      <c r="G147" s="85" t="s">
        <v>12</v>
      </c>
      <c r="H147" s="84">
        <f t="shared" ref="H147" si="53">ROUND(ROUND(F147,2)*ROUND(E147,2),2)</f>
        <v>0</v>
      </c>
      <c r="I147" s="100" t="s">
        <v>12</v>
      </c>
      <c r="J147" s="86" t="s">
        <v>12</v>
      </c>
    </row>
    <row r="148" spans="1:10" s="79" customFormat="1" ht="15" x14ac:dyDescent="0.25">
      <c r="A148" s="87"/>
      <c r="B148" s="134"/>
      <c r="C148" s="135" t="s">
        <v>87</v>
      </c>
      <c r="D148" s="90"/>
      <c r="E148" s="136"/>
      <c r="F148" s="136"/>
      <c r="G148" s="137"/>
      <c r="H148" s="138"/>
      <c r="I148" s="139"/>
      <c r="J148" s="140"/>
    </row>
    <row r="149" spans="1:10" s="79" customFormat="1" ht="15" x14ac:dyDescent="0.25">
      <c r="A149" s="145">
        <f>SUBTOTAL(102,F$28:F149)</f>
        <v>72</v>
      </c>
      <c r="B149" s="5" t="s">
        <v>25</v>
      </c>
      <c r="C149" s="182" t="s">
        <v>88</v>
      </c>
      <c r="D149" s="167" t="s">
        <v>2</v>
      </c>
      <c r="E149" s="183">
        <v>1</v>
      </c>
      <c r="F149" s="84">
        <v>0</v>
      </c>
      <c r="G149" s="85" t="s">
        <v>12</v>
      </c>
      <c r="H149" s="84">
        <f t="shared" ref="H149:H151" si="54">ROUND(ROUND(F149,2)*ROUND(E149,2),2)</f>
        <v>0</v>
      </c>
      <c r="I149" s="100" t="s">
        <v>12</v>
      </c>
      <c r="J149" s="86" t="s">
        <v>12</v>
      </c>
    </row>
    <row r="150" spans="1:10" s="79" customFormat="1" ht="15" x14ac:dyDescent="0.25">
      <c r="A150" s="145">
        <f>SUBTOTAL(102,F$28:F150)</f>
        <v>73</v>
      </c>
      <c r="B150" s="5" t="s">
        <v>25</v>
      </c>
      <c r="C150" s="182" t="s">
        <v>89</v>
      </c>
      <c r="D150" s="167" t="s">
        <v>2</v>
      </c>
      <c r="E150" s="183">
        <v>1</v>
      </c>
      <c r="F150" s="84">
        <v>0</v>
      </c>
      <c r="G150" s="85" t="s">
        <v>12</v>
      </c>
      <c r="H150" s="84">
        <f t="shared" si="54"/>
        <v>0</v>
      </c>
      <c r="I150" s="100" t="s">
        <v>12</v>
      </c>
      <c r="J150" s="86" t="s">
        <v>12</v>
      </c>
    </row>
    <row r="151" spans="1:10" s="79" customFormat="1" ht="15" x14ac:dyDescent="0.25">
      <c r="A151" s="145">
        <f>SUBTOTAL(102,F$28:F151)</f>
        <v>74</v>
      </c>
      <c r="B151" s="5" t="s">
        <v>25</v>
      </c>
      <c r="C151" s="182" t="s">
        <v>90</v>
      </c>
      <c r="D151" s="167" t="s">
        <v>2</v>
      </c>
      <c r="E151" s="183">
        <v>1</v>
      </c>
      <c r="F151" s="84">
        <v>0</v>
      </c>
      <c r="G151" s="85" t="s">
        <v>12</v>
      </c>
      <c r="H151" s="84">
        <f t="shared" si="54"/>
        <v>0</v>
      </c>
      <c r="I151" s="100" t="s">
        <v>12</v>
      </c>
      <c r="J151" s="86" t="s">
        <v>12</v>
      </c>
    </row>
    <row r="152" spans="1:10" s="79" customFormat="1" ht="15" x14ac:dyDescent="0.25">
      <c r="A152" s="87"/>
      <c r="B152" s="88"/>
      <c r="C152" s="172" t="s">
        <v>21</v>
      </c>
      <c r="D152" s="169"/>
      <c r="E152" s="147"/>
      <c r="F152" s="148"/>
      <c r="G152" s="148" t="s">
        <v>16</v>
      </c>
      <c r="H152" s="149">
        <f>SUBTOTAL(109,H138:H151)</f>
        <v>0</v>
      </c>
      <c r="I152" s="148" t="s">
        <v>17</v>
      </c>
      <c r="J152" s="150">
        <f>ROUND(H152*1.2,2)</f>
        <v>0</v>
      </c>
    </row>
    <row r="153" spans="1:10" s="79" customFormat="1" ht="15" x14ac:dyDescent="0.25">
      <c r="A153" s="173"/>
      <c r="B153" s="88"/>
      <c r="C153" s="172" t="s">
        <v>71</v>
      </c>
      <c r="D153" s="169"/>
      <c r="E153" s="147"/>
      <c r="F153" s="148" t="s">
        <v>16</v>
      </c>
      <c r="G153" s="149">
        <f>SUBTOTAL(109,G138:G152)</f>
        <v>0</v>
      </c>
      <c r="H153" s="148" t="s">
        <v>17</v>
      </c>
      <c r="I153" s="149">
        <f>ROUND(G153*1.2,2)</f>
        <v>0</v>
      </c>
      <c r="J153" s="174" t="s">
        <v>12</v>
      </c>
    </row>
    <row r="154" spans="1:10" s="79" customFormat="1" ht="5.25" customHeight="1" thickBot="1" x14ac:dyDescent="0.3">
      <c r="A154" s="113"/>
      <c r="B154" s="114"/>
      <c r="C154" s="115"/>
      <c r="D154" s="116"/>
      <c r="E154" s="117"/>
      <c r="F154" s="118"/>
      <c r="G154" s="119"/>
      <c r="H154" s="120"/>
      <c r="I154" s="121"/>
      <c r="J154" s="122"/>
    </row>
    <row r="155" spans="1:10" s="79" customFormat="1" ht="19.5" thickBot="1" x14ac:dyDescent="0.3">
      <c r="A155" s="80"/>
      <c r="B155" s="123"/>
      <c r="C155" s="124"/>
      <c r="D155" s="125" t="str">
        <f>CONCATENATE(SUBSTITUTE(A138,"","")," - spolu: ")</f>
        <v xml:space="preserve">7 Lavičky a koše - spolu: </v>
      </c>
      <c r="E155" s="126" t="s">
        <v>16</v>
      </c>
      <c r="F155" s="164">
        <f>SUBTOTAL(109,G138:H154)</f>
        <v>0</v>
      </c>
      <c r="G155" s="126" t="s">
        <v>27</v>
      </c>
      <c r="H155" s="164">
        <f>ROUND(F155*0.2,2)</f>
        <v>0</v>
      </c>
      <c r="I155" s="128" t="s">
        <v>17</v>
      </c>
      <c r="J155" s="129">
        <f>ROUND(F155*1.2,2)</f>
        <v>0</v>
      </c>
    </row>
    <row r="156" spans="1:10" ht="15.75" thickBot="1" x14ac:dyDescent="0.3">
      <c r="A156" s="30"/>
      <c r="B156" s="78"/>
      <c r="C156" s="79"/>
      <c r="D156" s="79"/>
      <c r="E156" s="79"/>
      <c r="F156" s="79"/>
      <c r="G156" s="79"/>
      <c r="H156" s="79"/>
      <c r="I156" s="79"/>
      <c r="J156" s="79"/>
    </row>
    <row r="157" spans="1:10" s="79" customFormat="1" ht="19.5" thickBot="1" x14ac:dyDescent="0.3">
      <c r="A157" s="70" t="s">
        <v>141</v>
      </c>
      <c r="B157" s="71"/>
      <c r="C157" s="72"/>
      <c r="D157" s="72"/>
      <c r="E157" s="72"/>
      <c r="F157" s="73"/>
      <c r="G157" s="74"/>
      <c r="H157" s="75"/>
      <c r="I157" s="76"/>
      <c r="J157" s="77"/>
    </row>
    <row r="158" spans="1:10" s="59" customFormat="1" x14ac:dyDescent="0.2">
      <c r="A158" s="10"/>
      <c r="B158" s="11"/>
      <c r="C158" s="12" t="s">
        <v>53</v>
      </c>
      <c r="D158" s="13"/>
      <c r="E158" s="14"/>
      <c r="F158" s="15"/>
      <c r="G158" s="15"/>
      <c r="H158" s="16"/>
      <c r="I158" s="17" t="s">
        <v>12</v>
      </c>
      <c r="J158" s="18"/>
    </row>
    <row r="159" spans="1:10" s="79" customFormat="1" ht="15" x14ac:dyDescent="0.25">
      <c r="A159" s="83">
        <f>SUBTOTAL(102,F$28:F159)</f>
        <v>75</v>
      </c>
      <c r="B159" s="5">
        <v>998222012</v>
      </c>
      <c r="C159" s="1" t="s">
        <v>29</v>
      </c>
      <c r="D159" s="6" t="s">
        <v>3</v>
      </c>
      <c r="E159" s="2">
        <f>SUBTOTAL(109,J158:J181)</f>
        <v>67.1464</v>
      </c>
      <c r="F159" s="84">
        <v>0</v>
      </c>
      <c r="G159" s="85" t="s">
        <v>12</v>
      </c>
      <c r="H159" s="84">
        <f t="shared" ref="H159:H177" si="55">ROUND(ROUND(F159,2)*ROUND(E159,2),2)</f>
        <v>0</v>
      </c>
      <c r="I159" s="85" t="s">
        <v>12</v>
      </c>
      <c r="J159" s="86" t="s">
        <v>12</v>
      </c>
    </row>
    <row r="160" spans="1:10" s="79" customFormat="1" ht="25.5" x14ac:dyDescent="0.25">
      <c r="A160" s="83">
        <f>SUBTOTAL(102,F$28:F160)</f>
        <v>76</v>
      </c>
      <c r="B160" s="110">
        <v>111301111</v>
      </c>
      <c r="C160" s="1" t="s">
        <v>191</v>
      </c>
      <c r="D160" s="6" t="s">
        <v>14</v>
      </c>
      <c r="E160" s="111">
        <v>78</v>
      </c>
      <c r="F160" s="84">
        <v>0</v>
      </c>
      <c r="G160" s="85" t="s">
        <v>12</v>
      </c>
      <c r="H160" s="84">
        <f t="shared" si="55"/>
        <v>0</v>
      </c>
      <c r="I160" s="102">
        <v>2.5000000000000001E-2</v>
      </c>
      <c r="J160" s="103">
        <f>ROUND(ROUND(E160,2)*ROUNDUP(I160,4),3)</f>
        <v>1.95</v>
      </c>
    </row>
    <row r="161" spans="1:10" s="79" customFormat="1" ht="25.5" x14ac:dyDescent="0.25">
      <c r="A161" s="83">
        <f>SUBTOTAL(102,F$28:F161)</f>
        <v>77</v>
      </c>
      <c r="B161" s="5">
        <v>122101101</v>
      </c>
      <c r="C161" s="1" t="s">
        <v>192</v>
      </c>
      <c r="D161" s="6" t="s">
        <v>11</v>
      </c>
      <c r="E161" s="111">
        <f>E160*0.31</f>
        <v>24.18</v>
      </c>
      <c r="F161" s="184">
        <v>0</v>
      </c>
      <c r="G161" s="85" t="s">
        <v>12</v>
      </c>
      <c r="H161" s="84">
        <f t="shared" si="55"/>
        <v>0</v>
      </c>
      <c r="I161" s="102">
        <v>1.4</v>
      </c>
      <c r="J161" s="103">
        <f>ROUND(ROUND(E161,2)*ROUNDUP(I161,4),3)</f>
        <v>33.851999999999997</v>
      </c>
    </row>
    <row r="162" spans="1:10" s="79" customFormat="1" ht="15" x14ac:dyDescent="0.25">
      <c r="A162" s="83">
        <f>SUBTOTAL(102,F$28:F162)</f>
        <v>78</v>
      </c>
      <c r="B162" s="110">
        <v>162201102</v>
      </c>
      <c r="C162" s="1" t="s">
        <v>54</v>
      </c>
      <c r="D162" s="6" t="s">
        <v>11</v>
      </c>
      <c r="E162" s="111">
        <f>SUBTOTAL(109,E161)</f>
        <v>24.18</v>
      </c>
      <c r="F162" s="84">
        <v>0</v>
      </c>
      <c r="G162" s="85" t="s">
        <v>12</v>
      </c>
      <c r="H162" s="84">
        <f t="shared" si="55"/>
        <v>0</v>
      </c>
      <c r="I162" s="85" t="s">
        <v>12</v>
      </c>
      <c r="J162" s="86" t="s">
        <v>12</v>
      </c>
    </row>
    <row r="163" spans="1:10" s="79" customFormat="1" ht="25.5" x14ac:dyDescent="0.25">
      <c r="A163" s="83">
        <f>SUBTOTAL(102,F$28:F163)</f>
        <v>79</v>
      </c>
      <c r="B163" s="110" t="s">
        <v>37</v>
      </c>
      <c r="C163" s="1" t="s">
        <v>150</v>
      </c>
      <c r="D163" s="6" t="s">
        <v>14</v>
      </c>
      <c r="E163" s="111">
        <f>E162*2</f>
        <v>48.36</v>
      </c>
      <c r="F163" s="84">
        <v>0</v>
      </c>
      <c r="G163" s="85" t="s">
        <v>12</v>
      </c>
      <c r="H163" s="84">
        <f t="shared" si="55"/>
        <v>0</v>
      </c>
      <c r="I163" s="85" t="s">
        <v>12</v>
      </c>
      <c r="J163" s="86" t="s">
        <v>12</v>
      </c>
    </row>
    <row r="164" spans="1:10" s="79" customFormat="1" ht="25.5" x14ac:dyDescent="0.25">
      <c r="A164" s="83">
        <f>SUBTOTAL(102,F$28:F164)</f>
        <v>80</v>
      </c>
      <c r="B164" s="110" t="s">
        <v>176</v>
      </c>
      <c r="C164" s="1" t="s">
        <v>178</v>
      </c>
      <c r="D164" s="6" t="s">
        <v>5</v>
      </c>
      <c r="E164" s="111">
        <v>10</v>
      </c>
      <c r="F164" s="84">
        <v>0</v>
      </c>
      <c r="G164" s="85" t="s">
        <v>12</v>
      </c>
      <c r="H164" s="84">
        <f t="shared" si="55"/>
        <v>0</v>
      </c>
      <c r="I164" s="85" t="s">
        <v>12</v>
      </c>
      <c r="J164" s="86" t="s">
        <v>12</v>
      </c>
    </row>
    <row r="165" spans="1:10" s="79" customFormat="1" ht="25.5" x14ac:dyDescent="0.25">
      <c r="A165" s="83">
        <f>SUBTOTAL(102,F$28:F165)</f>
        <v>81</v>
      </c>
      <c r="B165" s="110">
        <v>7510110</v>
      </c>
      <c r="C165" s="1" t="s">
        <v>193</v>
      </c>
      <c r="D165" s="6" t="s">
        <v>11</v>
      </c>
      <c r="E165" s="111">
        <f>E164*0.2*0.2</f>
        <v>0.4</v>
      </c>
      <c r="F165" s="84">
        <v>0</v>
      </c>
      <c r="G165" s="85" t="s">
        <v>12</v>
      </c>
      <c r="H165" s="84">
        <f t="shared" si="55"/>
        <v>0</v>
      </c>
      <c r="I165" s="85" t="s">
        <v>12</v>
      </c>
      <c r="J165" s="86" t="s">
        <v>12</v>
      </c>
    </row>
    <row r="166" spans="1:10" s="79" customFormat="1" ht="15" x14ac:dyDescent="0.25">
      <c r="A166" s="83">
        <f>SUBTOTAL(102,F$28:F166)</f>
        <v>82</v>
      </c>
      <c r="B166" s="110" t="s">
        <v>56</v>
      </c>
      <c r="C166" s="141" t="s">
        <v>177</v>
      </c>
      <c r="D166" s="6" t="s">
        <v>3</v>
      </c>
      <c r="E166" s="111">
        <f>ROUNDUP(1.7*E165,1)</f>
        <v>0.7</v>
      </c>
      <c r="F166" s="84">
        <v>0</v>
      </c>
      <c r="G166" s="85" t="s">
        <v>12</v>
      </c>
      <c r="H166" s="84">
        <f t="shared" si="55"/>
        <v>0</v>
      </c>
      <c r="I166" s="85" t="s">
        <v>12</v>
      </c>
      <c r="J166" s="86" t="s">
        <v>12</v>
      </c>
    </row>
    <row r="167" spans="1:10" s="59" customFormat="1" x14ac:dyDescent="0.2">
      <c r="A167" s="10"/>
      <c r="B167" s="11"/>
      <c r="C167" s="12" t="s">
        <v>143</v>
      </c>
      <c r="D167" s="13"/>
      <c r="E167" s="14"/>
      <c r="F167" s="15"/>
      <c r="G167" s="15"/>
      <c r="H167" s="16"/>
      <c r="I167" s="17" t="s">
        <v>12</v>
      </c>
      <c r="J167" s="18"/>
    </row>
    <row r="168" spans="1:10" ht="15" customHeight="1" x14ac:dyDescent="0.25">
      <c r="A168" s="83">
        <f>SUBTOTAL(102,F$28:F168)</f>
        <v>83</v>
      </c>
      <c r="B168" s="5" t="s">
        <v>57</v>
      </c>
      <c r="C168" s="1" t="s">
        <v>140</v>
      </c>
      <c r="D168" s="167" t="s">
        <v>14</v>
      </c>
      <c r="E168" s="111">
        <f>E160</f>
        <v>78</v>
      </c>
      <c r="F168" s="166">
        <v>0</v>
      </c>
      <c r="G168" s="85" t="s">
        <v>12</v>
      </c>
      <c r="H168" s="84">
        <f t="shared" ref="H168" si="56">ROUND(ROUND(F168,2)*ROUND(E168,2),2)</f>
        <v>0</v>
      </c>
      <c r="I168" s="100" t="s">
        <v>12</v>
      </c>
      <c r="J168" s="86" t="s">
        <v>12</v>
      </c>
    </row>
    <row r="169" spans="1:10" x14ac:dyDescent="0.25">
      <c r="A169" s="83">
        <f>SUBTOTAL(102,F$28:F169)</f>
        <v>84</v>
      </c>
      <c r="B169" s="5" t="s">
        <v>145</v>
      </c>
      <c r="C169" s="1" t="s">
        <v>194</v>
      </c>
      <c r="D169" s="167" t="s">
        <v>14</v>
      </c>
      <c r="E169" s="111">
        <f>E168</f>
        <v>78</v>
      </c>
      <c r="F169" s="166">
        <v>0</v>
      </c>
      <c r="G169" s="85" t="s">
        <v>12</v>
      </c>
      <c r="H169" s="84">
        <f t="shared" ref="H169" si="57">ROUNDUP(ROUNDUP(F169,2)*ROUNDUP(E169,2),2)</f>
        <v>0</v>
      </c>
      <c r="I169" s="100" t="s">
        <v>12</v>
      </c>
      <c r="J169" s="86" t="s">
        <v>12</v>
      </c>
    </row>
    <row r="170" spans="1:10" x14ac:dyDescent="0.25">
      <c r="A170" s="83">
        <f>SUBTOTAL(102,F$28:F170)</f>
        <v>85</v>
      </c>
      <c r="B170" s="5" t="s">
        <v>56</v>
      </c>
      <c r="C170" s="185" t="s">
        <v>58</v>
      </c>
      <c r="D170" s="167" t="s">
        <v>3</v>
      </c>
      <c r="E170" s="111">
        <f>E169*0.1*1.6</f>
        <v>12.480000000000002</v>
      </c>
      <c r="F170" s="166">
        <v>0</v>
      </c>
      <c r="G170" s="85">
        <f>ROUNDUP(ROUNDUP(F170,2)*ROUNDUP(E170,2),2)</f>
        <v>0</v>
      </c>
      <c r="H170" s="85" t="s">
        <v>12</v>
      </c>
      <c r="I170" s="102">
        <v>1</v>
      </c>
      <c r="J170" s="103">
        <f>ROUND(ROUND(E170,2)*ROUNDUP(I170,4),3)</f>
        <v>12.48</v>
      </c>
    </row>
    <row r="171" spans="1:10" x14ac:dyDescent="0.25">
      <c r="A171" s="83">
        <f>SUBTOTAL(102,F$28:F171)</f>
        <v>86</v>
      </c>
      <c r="B171" s="5">
        <v>564811111</v>
      </c>
      <c r="C171" s="1" t="s">
        <v>195</v>
      </c>
      <c r="D171" s="167" t="s">
        <v>14</v>
      </c>
      <c r="E171" s="111">
        <f>E168</f>
        <v>78</v>
      </c>
      <c r="F171" s="166">
        <v>0</v>
      </c>
      <c r="G171" s="85" t="s">
        <v>12</v>
      </c>
      <c r="H171" s="84">
        <f>ROUNDUP(ROUNDUP(F171,2)*ROUNDUP(E171,2),2)</f>
        <v>0</v>
      </c>
      <c r="I171" s="100" t="s">
        <v>12</v>
      </c>
      <c r="J171" s="86" t="s">
        <v>12</v>
      </c>
    </row>
    <row r="172" spans="1:10" x14ac:dyDescent="0.25">
      <c r="A172" s="83">
        <f>SUBTOTAL(102,F$28:F172)</f>
        <v>87</v>
      </c>
      <c r="B172" s="5" t="s">
        <v>56</v>
      </c>
      <c r="C172" s="185" t="s">
        <v>60</v>
      </c>
      <c r="D172" s="167" t="s">
        <v>3</v>
      </c>
      <c r="E172" s="111">
        <f>E171*0.05*1.6</f>
        <v>6.2400000000000011</v>
      </c>
      <c r="F172" s="166">
        <v>0</v>
      </c>
      <c r="G172" s="85">
        <f>ROUNDUP(ROUNDUP(F172,2)*ROUNDUP(E172,2),2)</f>
        <v>0</v>
      </c>
      <c r="H172" s="85" t="s">
        <v>12</v>
      </c>
      <c r="I172" s="102">
        <v>1</v>
      </c>
      <c r="J172" s="103">
        <f>ROUND(ROUND(E172,2)*ROUNDUP(I172,4),3)</f>
        <v>6.24</v>
      </c>
    </row>
    <row r="173" spans="1:10" x14ac:dyDescent="0.25">
      <c r="A173" s="83">
        <f>SUBTOTAL(102,F$28:F173)</f>
        <v>88</v>
      </c>
      <c r="B173" s="5">
        <v>564811111</v>
      </c>
      <c r="C173" s="1" t="s">
        <v>195</v>
      </c>
      <c r="D173" s="167" t="s">
        <v>14</v>
      </c>
      <c r="E173" s="111">
        <f>E168</f>
        <v>78</v>
      </c>
      <c r="F173" s="166">
        <v>0</v>
      </c>
      <c r="G173" s="85" t="s">
        <v>12</v>
      </c>
      <c r="H173" s="84">
        <f>ROUNDUP(ROUNDUP(F173,2)*ROUNDUP(E173,2),2)</f>
        <v>0</v>
      </c>
      <c r="I173" s="100" t="s">
        <v>12</v>
      </c>
      <c r="J173" s="86" t="s">
        <v>12</v>
      </c>
    </row>
    <row r="174" spans="1:10" x14ac:dyDescent="0.25">
      <c r="A174" s="83">
        <f>SUBTOTAL(102,F$28:F174)</f>
        <v>89</v>
      </c>
      <c r="B174" s="5" t="s">
        <v>56</v>
      </c>
      <c r="C174" s="185" t="s">
        <v>144</v>
      </c>
      <c r="D174" s="167" t="s">
        <v>3</v>
      </c>
      <c r="E174" s="111">
        <f>E173*0.05*1.6</f>
        <v>6.2400000000000011</v>
      </c>
      <c r="F174" s="166">
        <v>0</v>
      </c>
      <c r="G174" s="85">
        <f>ROUNDUP(ROUNDUP(F174,2)*ROUNDUP(E174,2),2)</f>
        <v>0</v>
      </c>
      <c r="H174" s="85" t="s">
        <v>12</v>
      </c>
      <c r="I174" s="102">
        <v>1</v>
      </c>
      <c r="J174" s="103">
        <f>ROUND(ROUND(E174,2)*ROUNDUP(I174,4),3)</f>
        <v>6.24</v>
      </c>
    </row>
    <row r="175" spans="1:10" ht="25.5" x14ac:dyDescent="0.25">
      <c r="A175" s="83">
        <f>SUBTOTAL(102,F$28:F175)</f>
        <v>90</v>
      </c>
      <c r="B175" s="5" t="s">
        <v>146</v>
      </c>
      <c r="C175" s="1" t="s">
        <v>196</v>
      </c>
      <c r="D175" s="6" t="s">
        <v>14</v>
      </c>
      <c r="E175" s="111">
        <f>E168</f>
        <v>78</v>
      </c>
      <c r="F175" s="166">
        <v>0</v>
      </c>
      <c r="G175" s="85" t="s">
        <v>12</v>
      </c>
      <c r="H175" s="84">
        <f>ROUNDUP(ROUNDUP(F175,2)*ROUNDUP(E175,2),2)</f>
        <v>0</v>
      </c>
      <c r="I175" s="100" t="s">
        <v>12</v>
      </c>
      <c r="J175" s="86" t="s">
        <v>12</v>
      </c>
    </row>
    <row r="176" spans="1:10" x14ac:dyDescent="0.25">
      <c r="A176" s="83">
        <f>SUBTOTAL(102,F$28:F176)</f>
        <v>91</v>
      </c>
      <c r="B176" s="5"/>
      <c r="C176" s="185" t="s">
        <v>147</v>
      </c>
      <c r="D176" s="6" t="s">
        <v>3</v>
      </c>
      <c r="E176" s="111">
        <f>E175*0.03*1.6</f>
        <v>3.7439999999999998</v>
      </c>
      <c r="F176" s="166">
        <v>0</v>
      </c>
      <c r="G176" s="85">
        <f>ROUNDUP(ROUNDUP(F176,2)*ROUNDUP(E176,2),2)</f>
        <v>0</v>
      </c>
      <c r="H176" s="85" t="s">
        <v>12</v>
      </c>
      <c r="I176" s="102">
        <v>1</v>
      </c>
      <c r="J176" s="103">
        <f>ROUND(ROUND(E176,2)*ROUNDUP(I176,4),3)</f>
        <v>3.74</v>
      </c>
    </row>
    <row r="177" spans="1:10" ht="51" x14ac:dyDescent="0.25">
      <c r="A177" s="83">
        <f>SUBTOTAL(102,F$28:F177)</f>
        <v>92</v>
      </c>
      <c r="B177" s="5" t="s">
        <v>148</v>
      </c>
      <c r="C177" s="1" t="s">
        <v>197</v>
      </c>
      <c r="D177" s="186" t="s">
        <v>14</v>
      </c>
      <c r="E177" s="111">
        <f>E160</f>
        <v>78</v>
      </c>
      <c r="F177" s="184">
        <v>0</v>
      </c>
      <c r="G177" s="85" t="s">
        <v>12</v>
      </c>
      <c r="H177" s="84">
        <f t="shared" si="55"/>
        <v>0</v>
      </c>
      <c r="I177" s="100" t="s">
        <v>12</v>
      </c>
      <c r="J177" s="86" t="s">
        <v>12</v>
      </c>
    </row>
    <row r="178" spans="1:10" ht="102" x14ac:dyDescent="0.25">
      <c r="A178" s="83"/>
      <c r="B178" s="5"/>
      <c r="C178" s="185" t="s">
        <v>198</v>
      </c>
      <c r="D178" s="187" t="s">
        <v>14</v>
      </c>
      <c r="E178" s="111">
        <f>ROUNDUP(1.1*E177,0)</f>
        <v>86</v>
      </c>
      <c r="F178" s="166">
        <v>0</v>
      </c>
      <c r="G178" s="85">
        <f>ROUNDUP(ROUNDUP(F178,2)*ROUNDUP(E178,2),2)</f>
        <v>0</v>
      </c>
      <c r="H178" s="85" t="s">
        <v>12</v>
      </c>
      <c r="I178" s="102">
        <v>2.7E-2</v>
      </c>
      <c r="J178" s="103">
        <f>ROUND(ROUND(E178,2)*ROUNDUP(I178,4),3)</f>
        <v>2.3220000000000001</v>
      </c>
    </row>
    <row r="179" spans="1:10" ht="25.5" x14ac:dyDescent="0.25">
      <c r="A179" s="83">
        <f>SUBTOTAL(102,F$28:F179)</f>
        <v>94</v>
      </c>
      <c r="B179" s="5" t="s">
        <v>145</v>
      </c>
      <c r="C179" s="1" t="s">
        <v>199</v>
      </c>
      <c r="D179" s="167" t="s">
        <v>14</v>
      </c>
      <c r="E179" s="111">
        <f>E168*0.08*1.6*0.4</f>
        <v>3.9936000000000007</v>
      </c>
      <c r="F179" s="166">
        <v>0</v>
      </c>
      <c r="G179" s="85" t="s">
        <v>12</v>
      </c>
      <c r="H179" s="84">
        <f>ROUNDUP(ROUNDUP(F179,2)*ROUNDUP(E179,2),2)</f>
        <v>0</v>
      </c>
      <c r="I179" s="100" t="s">
        <v>12</v>
      </c>
      <c r="J179" s="86" t="s">
        <v>12</v>
      </c>
    </row>
    <row r="180" spans="1:10" x14ac:dyDescent="0.25">
      <c r="A180" s="83">
        <f>SUBTOTAL(102,F$28:F180)</f>
        <v>95</v>
      </c>
      <c r="B180" s="5" t="s">
        <v>56</v>
      </c>
      <c r="C180" s="185" t="s">
        <v>144</v>
      </c>
      <c r="D180" s="167" t="s">
        <v>3</v>
      </c>
      <c r="E180" s="111">
        <f>E179*0.04*1.6</f>
        <v>0.25559040000000005</v>
      </c>
      <c r="F180" s="166">
        <v>0</v>
      </c>
      <c r="G180" s="85">
        <f>ROUNDUP(ROUNDUP(F180,2)*ROUNDUP(E180,2),2)</f>
        <v>0</v>
      </c>
      <c r="H180" s="85" t="s">
        <v>12</v>
      </c>
      <c r="I180" s="102">
        <v>1</v>
      </c>
      <c r="J180" s="103">
        <f>ROUND(ROUND(E180,2)*ROUNDUP(I180,4),3)</f>
        <v>0.26</v>
      </c>
    </row>
    <row r="181" spans="1:10" ht="25.5" x14ac:dyDescent="0.25">
      <c r="A181" s="83">
        <f>SUBTOTAL(102,F$28:F181)</f>
        <v>96</v>
      </c>
      <c r="B181" s="5" t="s">
        <v>56</v>
      </c>
      <c r="C181" s="185" t="s">
        <v>200</v>
      </c>
      <c r="D181" s="167" t="s">
        <v>3</v>
      </c>
      <c r="E181" s="111">
        <f>E168*0.0005*1.6</f>
        <v>6.2400000000000004E-2</v>
      </c>
      <c r="F181" s="166">
        <v>0</v>
      </c>
      <c r="G181" s="84">
        <f t="shared" ref="G181" si="58">ROUND(ROUND(F181,2)*ROUND(E181,2),2)</f>
        <v>0</v>
      </c>
      <c r="H181" s="85" t="s">
        <v>12</v>
      </c>
      <c r="I181" s="102">
        <v>1</v>
      </c>
      <c r="J181" s="103">
        <f>I181*E181</f>
        <v>6.2400000000000004E-2</v>
      </c>
    </row>
    <row r="182" spans="1:10" s="79" customFormat="1" ht="15" x14ac:dyDescent="0.25">
      <c r="A182" s="87"/>
      <c r="B182" s="88"/>
      <c r="C182" s="172" t="s">
        <v>21</v>
      </c>
      <c r="D182" s="169"/>
      <c r="E182" s="147"/>
      <c r="F182" s="148"/>
      <c r="G182" s="148" t="s">
        <v>16</v>
      </c>
      <c r="H182" s="149">
        <f>SUBTOTAL(109,H157:H181)</f>
        <v>0</v>
      </c>
      <c r="I182" s="148" t="s">
        <v>17</v>
      </c>
      <c r="J182" s="150">
        <f>ROUND(H182*1.2,2)</f>
        <v>0</v>
      </c>
    </row>
    <row r="183" spans="1:10" s="79" customFormat="1" ht="15" x14ac:dyDescent="0.25">
      <c r="A183" s="173"/>
      <c r="B183" s="88"/>
      <c r="C183" s="172" t="s">
        <v>71</v>
      </c>
      <c r="D183" s="169"/>
      <c r="E183" s="147"/>
      <c r="F183" s="148" t="s">
        <v>16</v>
      </c>
      <c r="G183" s="149">
        <f>SUBTOTAL(109,G157:G182)</f>
        <v>0</v>
      </c>
      <c r="H183" s="148" t="s">
        <v>17</v>
      </c>
      <c r="I183" s="149">
        <f>ROUND(G183*1.2,2)</f>
        <v>0</v>
      </c>
      <c r="J183" s="174" t="s">
        <v>12</v>
      </c>
    </row>
    <row r="184" spans="1:10" s="79" customFormat="1" ht="5.25" customHeight="1" thickBot="1" x14ac:dyDescent="0.3">
      <c r="A184" s="113"/>
      <c r="B184" s="114"/>
      <c r="C184" s="115"/>
      <c r="D184" s="116"/>
      <c r="E184" s="117"/>
      <c r="F184" s="118"/>
      <c r="G184" s="119"/>
      <c r="H184" s="120"/>
      <c r="I184" s="121"/>
      <c r="J184" s="122"/>
    </row>
    <row r="185" spans="1:10" s="79" customFormat="1" ht="19.5" thickBot="1" x14ac:dyDescent="0.3">
      <c r="A185" s="80"/>
      <c r="B185" s="123"/>
      <c r="C185" s="124"/>
      <c r="D185" s="125" t="str">
        <f>CONCATENATE(SUBSTITUTE(A157,"","")," - spolu: ")</f>
        <v xml:space="preserve">8 Chodníky z betónových tvárnic - zaštrkované, priepustné - spolu: </v>
      </c>
      <c r="E185" s="126" t="s">
        <v>16</v>
      </c>
      <c r="F185" s="164">
        <f>SUBTOTAL(109,G157:H184)</f>
        <v>0</v>
      </c>
      <c r="G185" s="126" t="s">
        <v>27</v>
      </c>
      <c r="H185" s="164">
        <f>ROUND(F185*0.2,2)</f>
        <v>0</v>
      </c>
      <c r="I185" s="128" t="s">
        <v>17</v>
      </c>
      <c r="J185" s="129">
        <f>ROUND(F185*1.2,2)</f>
        <v>0</v>
      </c>
    </row>
    <row r="186" spans="1:10" ht="15.75" thickBot="1" x14ac:dyDescent="0.3">
      <c r="A186" s="30"/>
      <c r="B186" s="78"/>
      <c r="C186" s="79"/>
      <c r="D186" s="79"/>
      <c r="E186" s="79"/>
      <c r="F186" s="79"/>
      <c r="G186" s="79"/>
      <c r="H186" s="79"/>
      <c r="I186" s="79"/>
      <c r="J186" s="79"/>
    </row>
    <row r="187" spans="1:10" ht="19.5" thickBot="1" x14ac:dyDescent="0.3">
      <c r="A187" s="70" t="s">
        <v>142</v>
      </c>
      <c r="B187" s="71"/>
      <c r="C187" s="72"/>
      <c r="D187" s="72"/>
      <c r="E187" s="72"/>
      <c r="F187" s="73"/>
      <c r="G187" s="74"/>
      <c r="H187" s="75"/>
      <c r="I187" s="76"/>
      <c r="J187" s="77"/>
    </row>
    <row r="188" spans="1:10" ht="15" customHeight="1" x14ac:dyDescent="0.25">
      <c r="A188" s="188" t="s">
        <v>66</v>
      </c>
      <c r="B188" s="88"/>
      <c r="C188" s="189"/>
      <c r="D188" s="90"/>
      <c r="E188" s="91"/>
      <c r="F188" s="92"/>
      <c r="G188" s="93"/>
      <c r="H188" s="190" t="s">
        <v>12</v>
      </c>
      <c r="I188" s="191"/>
      <c r="J188" s="192"/>
    </row>
    <row r="189" spans="1:10" ht="15" customHeight="1" x14ac:dyDescent="0.25">
      <c r="A189" s="83">
        <f>SUBTOTAL(102,F$28:F189)</f>
        <v>97</v>
      </c>
      <c r="B189" s="5">
        <v>162701105</v>
      </c>
      <c r="C189" s="1" t="s">
        <v>38</v>
      </c>
      <c r="D189" s="6" t="s">
        <v>11</v>
      </c>
      <c r="E189" s="111">
        <f>ROUNDUP(SUBTOTAL(109,(E262:E262,E263))/1.4,2)
+N("
mnozstvo JE upravene na prepocet z ton
z Bernatoviec °dobra zemina° PRE NASE SADOVKY (lebo nemozme predavat)
z Barce °zemina zo stavebneho dopadu° PRE EXTERNE 
odvoz starej zeminy z vymeny pody pri vysadbe nikdy nedavas")</f>
        <v>84.410000000000011</v>
      </c>
      <c r="F189" s="84">
        <v>0</v>
      </c>
      <c r="G189" s="85" t="s">
        <v>12</v>
      </c>
      <c r="H189" s="84">
        <f t="shared" ref="H189:H195" si="59">ROUND(ROUND(F189,2)*ROUND(E189,2),2)</f>
        <v>0</v>
      </c>
      <c r="I189" s="102">
        <v>1.4</v>
      </c>
      <c r="J189" s="103">
        <f>ROUND(ROUND(E189,2)*ROUND(I189,4),3)</f>
        <v>118.17400000000001</v>
      </c>
    </row>
    <row r="190" spans="1:10" ht="15" customHeight="1" x14ac:dyDescent="0.25">
      <c r="A190" s="83">
        <f>SUBTOTAL(102,F$28:F190)</f>
        <v>98</v>
      </c>
      <c r="B190" s="5">
        <v>162701109</v>
      </c>
      <c r="C190" s="1" t="s">
        <v>68</v>
      </c>
      <c r="D190" s="7" t="s">
        <v>26</v>
      </c>
      <c r="E190" s="111">
        <f>E189*20</f>
        <v>1688.2000000000003</v>
      </c>
      <c r="F190" s="112">
        <v>0</v>
      </c>
      <c r="G190" s="85" t="s">
        <v>12</v>
      </c>
      <c r="H190" s="84">
        <f t="shared" si="59"/>
        <v>0</v>
      </c>
      <c r="I190" s="133" t="s">
        <v>12</v>
      </c>
      <c r="J190" s="86" t="s">
        <v>12</v>
      </c>
    </row>
    <row r="191" spans="1:10" ht="15" customHeight="1" x14ac:dyDescent="0.25">
      <c r="A191" s="83">
        <f>SUBTOTAL(102,F$28:F191)</f>
        <v>99</v>
      </c>
      <c r="B191" s="5">
        <v>998231311</v>
      </c>
      <c r="C191" s="1" t="s">
        <v>15</v>
      </c>
      <c r="D191" s="6" t="s">
        <v>3</v>
      </c>
      <c r="E191" s="193">
        <f>SUBTOTAL(109,J219:J273)-E192</f>
        <v>6.40300000000002</v>
      </c>
      <c r="F191" s="112">
        <v>0</v>
      </c>
      <c r="G191" s="85" t="s">
        <v>12</v>
      </c>
      <c r="H191" s="84">
        <f t="shared" si="59"/>
        <v>0</v>
      </c>
      <c r="I191" s="133" t="s">
        <v>12</v>
      </c>
      <c r="J191" s="86" t="s">
        <v>12</v>
      </c>
    </row>
    <row r="192" spans="1:10" ht="15" customHeight="1" x14ac:dyDescent="0.25">
      <c r="A192" s="83">
        <f>SUBTOTAL(102,F$28:F192)</f>
        <v>100</v>
      </c>
      <c r="B192" s="5">
        <v>998222012</v>
      </c>
      <c r="C192" s="1" t="s">
        <v>29</v>
      </c>
      <c r="D192" s="6" t="s">
        <v>3</v>
      </c>
      <c r="E192" s="2">
        <f>SUBTOTAL(109,J262,J263,J264)</f>
        <v>129.04</v>
      </c>
      <c r="F192" s="112">
        <v>0</v>
      </c>
      <c r="G192" s="85" t="s">
        <v>12</v>
      </c>
      <c r="H192" s="84">
        <f t="shared" si="59"/>
        <v>0</v>
      </c>
      <c r="I192" s="133" t="s">
        <v>12</v>
      </c>
      <c r="J192" s="86" t="s">
        <v>12</v>
      </c>
    </row>
    <row r="193" spans="1:10" x14ac:dyDescent="0.25">
      <c r="A193" s="83">
        <f>SUBTOTAL(102,F$28:F193)</f>
        <v>101</v>
      </c>
      <c r="B193" s="5">
        <v>185851111</v>
      </c>
      <c r="C193" s="1" t="s">
        <v>117</v>
      </c>
      <c r="D193" s="6" t="s">
        <v>11</v>
      </c>
      <c r="E193" s="2">
        <f>E264</f>
        <v>10.865</v>
      </c>
      <c r="F193" s="112">
        <v>0</v>
      </c>
      <c r="G193" s="85" t="s">
        <v>12</v>
      </c>
      <c r="H193" s="84">
        <f t="shared" si="59"/>
        <v>0</v>
      </c>
      <c r="I193" s="133" t="s">
        <v>12</v>
      </c>
      <c r="J193" s="86" t="s">
        <v>12</v>
      </c>
    </row>
    <row r="194" spans="1:10" x14ac:dyDescent="0.25">
      <c r="A194" s="83">
        <f>SUBTOTAL(102,F$28:F194)</f>
        <v>102</v>
      </c>
      <c r="B194" s="110" t="s">
        <v>25</v>
      </c>
      <c r="C194" s="1" t="s">
        <v>68</v>
      </c>
      <c r="D194" s="6" t="s">
        <v>11</v>
      </c>
      <c r="E194" s="111">
        <f>E193*20</f>
        <v>217.3</v>
      </c>
      <c r="F194" s="112">
        <v>0</v>
      </c>
      <c r="G194" s="85" t="s">
        <v>12</v>
      </c>
      <c r="H194" s="84">
        <f t="shared" si="59"/>
        <v>0</v>
      </c>
      <c r="I194" s="133" t="s">
        <v>12</v>
      </c>
      <c r="J194" s="86" t="s">
        <v>12</v>
      </c>
    </row>
    <row r="195" spans="1:10" ht="25.5" x14ac:dyDescent="0.25">
      <c r="A195" s="83">
        <f>SUBTOTAL(102,F$28:F195)</f>
        <v>103</v>
      </c>
      <c r="B195" s="110" t="s">
        <v>25</v>
      </c>
      <c r="C195" s="1" t="s">
        <v>187</v>
      </c>
      <c r="D195" s="6" t="s">
        <v>186</v>
      </c>
      <c r="E195" s="111">
        <v>20</v>
      </c>
      <c r="F195" s="112">
        <v>0</v>
      </c>
      <c r="G195" s="85" t="s">
        <v>12</v>
      </c>
      <c r="H195" s="84">
        <f t="shared" si="59"/>
        <v>0</v>
      </c>
      <c r="I195" s="133" t="s">
        <v>12</v>
      </c>
      <c r="J195" s="86" t="s">
        <v>12</v>
      </c>
    </row>
    <row r="196" spans="1:10" ht="15" customHeight="1" x14ac:dyDescent="0.25">
      <c r="A196" s="188" t="s">
        <v>35</v>
      </c>
      <c r="B196" s="194"/>
      <c r="C196" s="189"/>
      <c r="D196" s="90"/>
      <c r="E196" s="91"/>
      <c r="F196" s="92"/>
      <c r="G196" s="195"/>
      <c r="H196" s="190" t="s">
        <v>12</v>
      </c>
      <c r="I196" s="190" t="s">
        <v>12</v>
      </c>
      <c r="J196" s="192"/>
    </row>
    <row r="197" spans="1:10" ht="15" customHeight="1" x14ac:dyDescent="0.25">
      <c r="A197" s="83">
        <f>SUBTOTAL(102,F$28:F197)</f>
        <v>104</v>
      </c>
      <c r="B197" s="19">
        <v>184502114</v>
      </c>
      <c r="C197" s="4" t="s">
        <v>23</v>
      </c>
      <c r="D197" s="8" t="s">
        <v>2</v>
      </c>
      <c r="E197" s="9">
        <v>1</v>
      </c>
      <c r="F197" s="184">
        <v>0</v>
      </c>
      <c r="G197" s="85" t="s">
        <v>12</v>
      </c>
      <c r="H197" s="84">
        <f t="shared" ref="H197:H203" si="60">ROUND(ROUND(F197,2)*ROUND(E197,2),2)</f>
        <v>0</v>
      </c>
      <c r="I197" s="133" t="s">
        <v>12</v>
      </c>
      <c r="J197" s="86" t="s">
        <v>12</v>
      </c>
    </row>
    <row r="198" spans="1:10" ht="15" customHeight="1" x14ac:dyDescent="0.25">
      <c r="A198" s="83">
        <f>SUBTOTAL(102,F$28:F198)</f>
        <v>105</v>
      </c>
      <c r="B198" s="3">
        <v>183101221</v>
      </c>
      <c r="C198" s="4" t="s">
        <v>201</v>
      </c>
      <c r="D198" s="6" t="s">
        <v>2</v>
      </c>
      <c r="E198" s="2">
        <f>SUBTOTAL(109,E220:E243)</f>
        <v>38</v>
      </c>
      <c r="F198" s="84">
        <v>0</v>
      </c>
      <c r="G198" s="85" t="s">
        <v>12</v>
      </c>
      <c r="H198" s="84">
        <f t="shared" si="60"/>
        <v>0</v>
      </c>
      <c r="I198" s="133" t="s">
        <v>12</v>
      </c>
      <c r="J198" s="86" t="s">
        <v>12</v>
      </c>
    </row>
    <row r="199" spans="1:10" ht="15" customHeight="1" x14ac:dyDescent="0.25">
      <c r="A199" s="83">
        <f>SUBTOTAL(102,F$28:F199)</f>
        <v>106</v>
      </c>
      <c r="B199" s="5">
        <v>184901112</v>
      </c>
      <c r="C199" s="4" t="s">
        <v>28</v>
      </c>
      <c r="D199" s="6" t="s">
        <v>2</v>
      </c>
      <c r="E199" s="111">
        <f>E270+N("polozka koly")</f>
        <v>114</v>
      </c>
      <c r="F199" s="84">
        <v>0</v>
      </c>
      <c r="G199" s="85" t="s">
        <v>12</v>
      </c>
      <c r="H199" s="84">
        <f t="shared" si="60"/>
        <v>0</v>
      </c>
      <c r="I199" s="133" t="s">
        <v>12</v>
      </c>
      <c r="J199" s="86" t="s">
        <v>12</v>
      </c>
    </row>
    <row r="200" spans="1:10" x14ac:dyDescent="0.25">
      <c r="A200" s="83">
        <f>SUBTOTAL(102,F$28:F200)</f>
        <v>107</v>
      </c>
      <c r="B200" s="110">
        <v>184102116</v>
      </c>
      <c r="C200" s="1" t="s">
        <v>10</v>
      </c>
      <c r="D200" s="6" t="s">
        <v>2</v>
      </c>
      <c r="E200" s="2">
        <f>E198</f>
        <v>38</v>
      </c>
      <c r="F200" s="84">
        <v>0</v>
      </c>
      <c r="G200" s="85" t="s">
        <v>12</v>
      </c>
      <c r="H200" s="84">
        <f t="shared" si="60"/>
        <v>0</v>
      </c>
      <c r="I200" s="133" t="s">
        <v>12</v>
      </c>
      <c r="J200" s="86" t="s">
        <v>12</v>
      </c>
    </row>
    <row r="201" spans="1:10" ht="15" customHeight="1" x14ac:dyDescent="0.25">
      <c r="A201" s="83">
        <f>SUBTOTAL(102,F$28:F201)</f>
        <v>108</v>
      </c>
      <c r="B201" s="3">
        <v>184202112</v>
      </c>
      <c r="C201" s="1" t="s">
        <v>13</v>
      </c>
      <c r="D201" s="196" t="s">
        <v>2</v>
      </c>
      <c r="E201" s="2">
        <f>SUBTOTAL(109,E222:E242)</f>
        <v>38</v>
      </c>
      <c r="F201" s="84">
        <v>0</v>
      </c>
      <c r="G201" s="85" t="s">
        <v>12</v>
      </c>
      <c r="H201" s="84">
        <f t="shared" si="60"/>
        <v>0</v>
      </c>
      <c r="I201" s="133" t="s">
        <v>12</v>
      </c>
      <c r="J201" s="86" t="s">
        <v>12</v>
      </c>
    </row>
    <row r="202" spans="1:10" ht="25.5" x14ac:dyDescent="0.25">
      <c r="A202" s="83">
        <f>SUBTOTAL(102,F$28:F202)</f>
        <v>109</v>
      </c>
      <c r="B202" s="110" t="s">
        <v>25</v>
      </c>
      <c r="C202" s="1" t="s">
        <v>202</v>
      </c>
      <c r="D202" s="6" t="s">
        <v>2</v>
      </c>
      <c r="E202" s="111">
        <f>E266</f>
        <v>38</v>
      </c>
      <c r="F202" s="84">
        <v>0</v>
      </c>
      <c r="G202" s="85" t="s">
        <v>12</v>
      </c>
      <c r="H202" s="84">
        <f t="shared" si="60"/>
        <v>0</v>
      </c>
      <c r="I202" s="133" t="s">
        <v>12</v>
      </c>
      <c r="J202" s="86" t="s">
        <v>12</v>
      </c>
    </row>
    <row r="203" spans="1:10" x14ac:dyDescent="0.25">
      <c r="A203" s="83">
        <f>SUBTOTAL(102,F$28:F203)</f>
        <v>110</v>
      </c>
      <c r="B203" s="110">
        <v>184921093</v>
      </c>
      <c r="C203" s="1" t="s">
        <v>39</v>
      </c>
      <c r="D203" s="6" t="s">
        <v>14</v>
      </c>
      <c r="E203" s="2">
        <f>ROUNDUP(
SUBTOTAL(109,E220:E244)   +N("stromy"),0)</f>
        <v>38</v>
      </c>
      <c r="F203" s="84">
        <v>0</v>
      </c>
      <c r="G203" s="85" t="s">
        <v>12</v>
      </c>
      <c r="H203" s="84">
        <f t="shared" si="60"/>
        <v>0</v>
      </c>
      <c r="I203" s="133" t="s">
        <v>12</v>
      </c>
      <c r="J203" s="86" t="s">
        <v>12</v>
      </c>
    </row>
    <row r="204" spans="1:10" ht="15" customHeight="1" x14ac:dyDescent="0.25">
      <c r="A204" s="188" t="s">
        <v>36</v>
      </c>
      <c r="B204" s="88"/>
      <c r="C204" s="189"/>
      <c r="D204" s="90"/>
      <c r="E204" s="91"/>
      <c r="F204" s="92"/>
      <c r="G204" s="93"/>
      <c r="H204" s="190" t="s">
        <v>12</v>
      </c>
      <c r="I204" s="191"/>
      <c r="J204" s="192"/>
    </row>
    <row r="205" spans="1:10" ht="15" customHeight="1" x14ac:dyDescent="0.25">
      <c r="A205" s="83">
        <f>SUBTOTAL(102,F$28:F205)</f>
        <v>111</v>
      </c>
      <c r="B205" s="110">
        <v>183101212</v>
      </c>
      <c r="C205" s="1" t="s">
        <v>203</v>
      </c>
      <c r="D205" s="187" t="s">
        <v>2</v>
      </c>
      <c r="E205" s="2">
        <f>SUBTOTAL(109,E243:E259)</f>
        <v>289</v>
      </c>
      <c r="F205" s="84">
        <v>0</v>
      </c>
      <c r="G205" s="85" t="s">
        <v>12</v>
      </c>
      <c r="H205" s="84">
        <f t="shared" ref="H205:H207" si="61">ROUND(ROUND(F205,2)*ROUND(E205,2),2)</f>
        <v>0</v>
      </c>
      <c r="I205" s="133" t="s">
        <v>12</v>
      </c>
      <c r="J205" s="86" t="s">
        <v>12</v>
      </c>
    </row>
    <row r="206" spans="1:10" x14ac:dyDescent="0.25">
      <c r="A206" s="83">
        <f>SUBTOTAL(102,F$28:F206)</f>
        <v>112</v>
      </c>
      <c r="B206" s="110">
        <v>184102111</v>
      </c>
      <c r="C206" s="1" t="s">
        <v>4</v>
      </c>
      <c r="D206" s="6" t="s">
        <v>2</v>
      </c>
      <c r="E206" s="171">
        <f>E205</f>
        <v>289</v>
      </c>
      <c r="F206" s="84">
        <v>0</v>
      </c>
      <c r="G206" s="85" t="s">
        <v>12</v>
      </c>
      <c r="H206" s="84">
        <f t="shared" si="61"/>
        <v>0</v>
      </c>
      <c r="I206" s="133" t="s">
        <v>12</v>
      </c>
      <c r="J206" s="86" t="s">
        <v>12</v>
      </c>
    </row>
    <row r="207" spans="1:10" x14ac:dyDescent="0.25">
      <c r="A207" s="83">
        <f>SUBTOTAL(102,F$28:F207)</f>
        <v>113</v>
      </c>
      <c r="B207" s="110">
        <v>184921093</v>
      </c>
      <c r="C207" s="1" t="s">
        <v>204</v>
      </c>
      <c r="D207" s="6" t="s">
        <v>14</v>
      </c>
      <c r="E207" s="2">
        <f>ROUNDUP(
SUBTOTAL(109,E243:E259)*0.5/5   +N("kry*sirka pasu 0,5m/spon 5ks na meter"),0)</f>
        <v>29</v>
      </c>
      <c r="F207" s="84">
        <v>0</v>
      </c>
      <c r="G207" s="85" t="s">
        <v>12</v>
      </c>
      <c r="H207" s="84">
        <f t="shared" si="61"/>
        <v>0</v>
      </c>
      <c r="I207" s="133" t="s">
        <v>12</v>
      </c>
      <c r="J207" s="86" t="s">
        <v>12</v>
      </c>
    </row>
    <row r="208" spans="1:10" ht="15" customHeight="1" x14ac:dyDescent="0.25">
      <c r="A208" s="188" t="s">
        <v>151</v>
      </c>
      <c r="B208" s="88"/>
      <c r="C208" s="189"/>
      <c r="D208" s="90"/>
      <c r="E208" s="91"/>
      <c r="F208" s="92"/>
      <c r="G208" s="93"/>
      <c r="H208" s="190" t="s">
        <v>12</v>
      </c>
      <c r="I208" s="191"/>
      <c r="J208" s="192"/>
    </row>
    <row r="209" spans="1:10" ht="38.25" x14ac:dyDescent="0.25">
      <c r="A209" s="83">
        <f>SUBTOTAL(102,F$28:F209)</f>
        <v>114</v>
      </c>
      <c r="B209" s="110">
        <v>111301111</v>
      </c>
      <c r="C209" s="1" t="s">
        <v>159</v>
      </c>
      <c r="D209" s="6" t="s">
        <v>14</v>
      </c>
      <c r="E209" s="2">
        <f>E210/2</f>
        <v>150</v>
      </c>
      <c r="F209" s="84">
        <v>0</v>
      </c>
      <c r="G209" s="85" t="s">
        <v>12</v>
      </c>
      <c r="H209" s="84">
        <f t="shared" ref="H209:H217" si="62">ROUND(ROUND(F209,2)*ROUND(E209,2),2)</f>
        <v>0</v>
      </c>
      <c r="I209" s="133" t="s">
        <v>12</v>
      </c>
      <c r="J209" s="86" t="s">
        <v>12</v>
      </c>
    </row>
    <row r="210" spans="1:10" ht="89.25" x14ac:dyDescent="0.25">
      <c r="A210" s="83">
        <f>SUBTOTAL(102,F$28:F210)</f>
        <v>115</v>
      </c>
      <c r="B210" s="110">
        <v>181301104</v>
      </c>
      <c r="C210" s="1" t="s">
        <v>205</v>
      </c>
      <c r="D210" s="6" t="s">
        <v>14</v>
      </c>
      <c r="E210" s="111">
        <v>300</v>
      </c>
      <c r="F210" s="84">
        <v>0</v>
      </c>
      <c r="G210" s="85" t="s">
        <v>12</v>
      </c>
      <c r="H210" s="84">
        <f t="shared" si="62"/>
        <v>0</v>
      </c>
      <c r="I210" s="133" t="s">
        <v>12</v>
      </c>
      <c r="J210" s="86" t="s">
        <v>12</v>
      </c>
    </row>
    <row r="211" spans="1:10" x14ac:dyDescent="0.25">
      <c r="A211" s="83">
        <f>SUBTOTAL(102,F$28:F211)</f>
        <v>116</v>
      </c>
      <c r="B211" s="110">
        <v>183403111</v>
      </c>
      <c r="C211" s="1" t="s">
        <v>24</v>
      </c>
      <c r="D211" s="6" t="s">
        <v>14</v>
      </c>
      <c r="E211" s="111">
        <f>E214</f>
        <v>600</v>
      </c>
      <c r="F211" s="84">
        <v>0</v>
      </c>
      <c r="G211" s="85" t="s">
        <v>12</v>
      </c>
      <c r="H211" s="84">
        <f t="shared" si="62"/>
        <v>0</v>
      </c>
      <c r="I211" s="133" t="s">
        <v>12</v>
      </c>
      <c r="J211" s="86" t="s">
        <v>12</v>
      </c>
    </row>
    <row r="212" spans="1:10" x14ac:dyDescent="0.25">
      <c r="A212" s="83">
        <f>SUBTOTAL(102,F$28:F212)</f>
        <v>117</v>
      </c>
      <c r="B212" s="110">
        <v>182001111</v>
      </c>
      <c r="C212" s="1" t="s">
        <v>7</v>
      </c>
      <c r="D212" s="6" t="s">
        <v>14</v>
      </c>
      <c r="E212" s="111">
        <f>E214</f>
        <v>600</v>
      </c>
      <c r="F212" s="84">
        <v>0</v>
      </c>
      <c r="G212" s="85" t="s">
        <v>12</v>
      </c>
      <c r="H212" s="84">
        <f t="shared" si="62"/>
        <v>0</v>
      </c>
      <c r="I212" s="133" t="s">
        <v>12</v>
      </c>
      <c r="J212" s="86" t="s">
        <v>12</v>
      </c>
    </row>
    <row r="213" spans="1:10" x14ac:dyDescent="0.25">
      <c r="A213" s="83">
        <f>SUBTOTAL(102,F$28:F213)</f>
        <v>118</v>
      </c>
      <c r="B213" s="110" t="s">
        <v>93</v>
      </c>
      <c r="C213" s="1" t="s">
        <v>94</v>
      </c>
      <c r="D213" s="6" t="s">
        <v>14</v>
      </c>
      <c r="E213" s="111">
        <f>E214</f>
        <v>600</v>
      </c>
      <c r="F213" s="84">
        <v>0</v>
      </c>
      <c r="G213" s="85" t="s">
        <v>12</v>
      </c>
      <c r="H213" s="84">
        <f t="shared" si="62"/>
        <v>0</v>
      </c>
      <c r="I213" s="133" t="s">
        <v>12</v>
      </c>
      <c r="J213" s="86" t="s">
        <v>12</v>
      </c>
    </row>
    <row r="214" spans="1:10" x14ac:dyDescent="0.25">
      <c r="A214" s="83">
        <f>SUBTOTAL(102,F$28:F214)</f>
        <v>119</v>
      </c>
      <c r="B214" s="110" t="s">
        <v>25</v>
      </c>
      <c r="C214" s="1" t="s">
        <v>157</v>
      </c>
      <c r="D214" s="6" t="s">
        <v>14</v>
      </c>
      <c r="E214" s="111">
        <v>600</v>
      </c>
      <c r="F214" s="84">
        <v>0</v>
      </c>
      <c r="G214" s="85" t="s">
        <v>12</v>
      </c>
      <c r="H214" s="84">
        <f t="shared" si="62"/>
        <v>0</v>
      </c>
      <c r="I214" s="133" t="s">
        <v>12</v>
      </c>
      <c r="J214" s="86" t="s">
        <v>12</v>
      </c>
    </row>
    <row r="215" spans="1:10" x14ac:dyDescent="0.25">
      <c r="A215" s="83">
        <f>SUBTOTAL(102,F$28:F215)</f>
        <v>120</v>
      </c>
      <c r="B215" s="110" t="s">
        <v>95</v>
      </c>
      <c r="C215" s="1" t="s">
        <v>96</v>
      </c>
      <c r="D215" s="6" t="s">
        <v>14</v>
      </c>
      <c r="E215" s="111">
        <f>E214</f>
        <v>600</v>
      </c>
      <c r="F215" s="84">
        <v>0</v>
      </c>
      <c r="G215" s="85" t="s">
        <v>12</v>
      </c>
      <c r="H215" s="84">
        <f t="shared" si="62"/>
        <v>0</v>
      </c>
      <c r="I215" s="133" t="s">
        <v>12</v>
      </c>
      <c r="J215" s="86" t="s">
        <v>12</v>
      </c>
    </row>
    <row r="216" spans="1:10" x14ac:dyDescent="0.25">
      <c r="A216" s="83">
        <f>SUBTOTAL(102,F$28:F216)</f>
        <v>121</v>
      </c>
      <c r="B216" s="110" t="s">
        <v>97</v>
      </c>
      <c r="C216" s="1" t="s">
        <v>98</v>
      </c>
      <c r="D216" s="6" t="s">
        <v>14</v>
      </c>
      <c r="E216" s="111">
        <f>E214</f>
        <v>600</v>
      </c>
      <c r="F216" s="84">
        <v>0</v>
      </c>
      <c r="G216" s="85" t="s">
        <v>12</v>
      </c>
      <c r="H216" s="84">
        <f t="shared" si="62"/>
        <v>0</v>
      </c>
      <c r="I216" s="133" t="s">
        <v>12</v>
      </c>
      <c r="J216" s="86" t="s">
        <v>12</v>
      </c>
    </row>
    <row r="217" spans="1:10" ht="38.25" x14ac:dyDescent="0.25">
      <c r="A217" s="83">
        <f>SUBTOTAL(102,F$28:F263)</f>
        <v>159</v>
      </c>
      <c r="B217" s="5">
        <v>182303111</v>
      </c>
      <c r="C217" s="1" t="s">
        <v>206</v>
      </c>
      <c r="D217" s="6" t="s">
        <v>14</v>
      </c>
      <c r="E217" s="111">
        <f>E214/2</f>
        <v>300</v>
      </c>
      <c r="F217" s="84">
        <v>0</v>
      </c>
      <c r="G217" s="85" t="s">
        <v>12</v>
      </c>
      <c r="H217" s="84">
        <f t="shared" si="62"/>
        <v>0</v>
      </c>
      <c r="I217" s="133" t="s">
        <v>12</v>
      </c>
      <c r="J217" s="86" t="s">
        <v>12</v>
      </c>
    </row>
    <row r="218" spans="1:10" s="79" customFormat="1" ht="15" x14ac:dyDescent="0.25">
      <c r="A218" s="173"/>
      <c r="B218" s="88"/>
      <c r="C218" s="172" t="s">
        <v>21</v>
      </c>
      <c r="D218" s="169"/>
      <c r="E218" s="147"/>
      <c r="F218" s="148"/>
      <c r="G218" s="148" t="s">
        <v>16</v>
      </c>
      <c r="H218" s="149">
        <f>SUBTOTAL(109,H187:H217)</f>
        <v>0</v>
      </c>
      <c r="I218" s="148" t="s">
        <v>17</v>
      </c>
      <c r="J218" s="150">
        <f>ROUND(H218*1.2,2)</f>
        <v>0</v>
      </c>
    </row>
    <row r="219" spans="1:10" x14ac:dyDescent="0.25">
      <c r="A219" s="197" t="s">
        <v>19</v>
      </c>
      <c r="B219" s="198"/>
      <c r="C219" s="199" t="s">
        <v>6</v>
      </c>
      <c r="D219" s="200"/>
      <c r="E219" s="201"/>
      <c r="F219" s="202"/>
      <c r="G219" s="203" t="s">
        <v>12</v>
      </c>
      <c r="H219" s="204"/>
      <c r="I219" s="205"/>
      <c r="J219" s="206"/>
    </row>
    <row r="220" spans="1:10" ht="15" customHeight="1" x14ac:dyDescent="0.25">
      <c r="A220" s="145"/>
      <c r="B220" s="175"/>
      <c r="C220" s="207">
        <f>SUBTOTAL(109,E220:E242)</f>
        <v>38</v>
      </c>
      <c r="D220" s="6"/>
      <c r="E220" s="208"/>
      <c r="F220" s="84"/>
      <c r="G220" s="209" t="s">
        <v>12</v>
      </c>
      <c r="H220" s="85"/>
      <c r="I220" s="102"/>
      <c r="J220" s="103"/>
    </row>
    <row r="221" spans="1:10" ht="15" customHeight="1" x14ac:dyDescent="0.25">
      <c r="A221" s="145"/>
      <c r="B221" s="210" t="s">
        <v>81</v>
      </c>
      <c r="C221" s="211">
        <f>SUBTOTAL(109,E221:E240)</f>
        <v>34</v>
      </c>
      <c r="D221" s="6"/>
      <c r="E221" s="208"/>
      <c r="F221" s="84"/>
      <c r="G221" s="209" t="s">
        <v>12</v>
      </c>
      <c r="H221" s="85"/>
      <c r="I221" s="102"/>
      <c r="J221" s="103"/>
    </row>
    <row r="222" spans="1:10" ht="38.25" x14ac:dyDescent="0.25">
      <c r="A222" s="83">
        <f>SUBTOTAL(102,F$28:F222)</f>
        <v>123</v>
      </c>
      <c r="B222" s="212" t="s">
        <v>156</v>
      </c>
      <c r="C222" s="213" t="s">
        <v>207</v>
      </c>
      <c r="D222" s="6" t="s">
        <v>2</v>
      </c>
      <c r="E222" s="208">
        <v>1</v>
      </c>
      <c r="F222" s="214">
        <v>0</v>
      </c>
      <c r="G222" s="214">
        <f t="shared" ref="G222:G239" si="63">ROUND(ROUND(F222,2)*ROUND(E222,2),2)</f>
        <v>0</v>
      </c>
      <c r="H222" s="85" t="s">
        <v>12</v>
      </c>
      <c r="I222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2" s="103">
        <f t="shared" ref="J222:J239" si="64">ROUND(ROUND(E222,2)*ROUND(I222,4),3)</f>
        <v>0.1</v>
      </c>
    </row>
    <row r="223" spans="1:10" ht="15" customHeight="1" x14ac:dyDescent="0.25">
      <c r="A223" s="83">
        <f>SUBTOTAL(102,F$28:F223)</f>
        <v>124</v>
      </c>
      <c r="B223" s="212" t="s">
        <v>82</v>
      </c>
      <c r="C223" s="215" t="s">
        <v>118</v>
      </c>
      <c r="D223" s="6" t="s">
        <v>2</v>
      </c>
      <c r="E223" s="208">
        <v>1</v>
      </c>
      <c r="F223" s="84">
        <v>0</v>
      </c>
      <c r="G223" s="84">
        <f t="shared" si="63"/>
        <v>0</v>
      </c>
      <c r="H223" s="85" t="s">
        <v>12</v>
      </c>
      <c r="I223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3" s="103">
        <f t="shared" si="64"/>
        <v>0.1</v>
      </c>
    </row>
    <row r="224" spans="1:10" ht="15" customHeight="1" x14ac:dyDescent="0.25">
      <c r="A224" s="83">
        <f>SUBTOTAL(102,F$28:F224)</f>
        <v>125</v>
      </c>
      <c r="B224" s="212" t="s">
        <v>82</v>
      </c>
      <c r="C224" s="215" t="s">
        <v>72</v>
      </c>
      <c r="D224" s="6" t="s">
        <v>2</v>
      </c>
      <c r="E224" s="208">
        <v>1</v>
      </c>
      <c r="F224" s="84">
        <v>0</v>
      </c>
      <c r="G224" s="84">
        <f t="shared" si="63"/>
        <v>0</v>
      </c>
      <c r="H224" s="85" t="s">
        <v>12</v>
      </c>
      <c r="I224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4" s="103">
        <f t="shared" si="64"/>
        <v>0.1</v>
      </c>
    </row>
    <row r="225" spans="1:10" ht="15" customHeight="1" x14ac:dyDescent="0.25">
      <c r="A225" s="83">
        <f>SUBTOTAL(102,F$28:F225)</f>
        <v>126</v>
      </c>
      <c r="B225" s="212" t="s">
        <v>82</v>
      </c>
      <c r="C225" s="215" t="s">
        <v>119</v>
      </c>
      <c r="D225" s="6" t="s">
        <v>2</v>
      </c>
      <c r="E225" s="208">
        <v>5</v>
      </c>
      <c r="F225" s="84">
        <v>0</v>
      </c>
      <c r="G225" s="84">
        <f t="shared" si="63"/>
        <v>0</v>
      </c>
      <c r="H225" s="85" t="s">
        <v>12</v>
      </c>
      <c r="I225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5" s="103">
        <f t="shared" si="64"/>
        <v>0.5</v>
      </c>
    </row>
    <row r="226" spans="1:10" ht="15" customHeight="1" x14ac:dyDescent="0.25">
      <c r="A226" s="83">
        <f>SUBTOTAL(102,F$28:F226)</f>
        <v>127</v>
      </c>
      <c r="B226" s="212" t="s">
        <v>82</v>
      </c>
      <c r="C226" s="215" t="s">
        <v>73</v>
      </c>
      <c r="D226" s="6" t="s">
        <v>2</v>
      </c>
      <c r="E226" s="208">
        <v>1</v>
      </c>
      <c r="F226" s="84">
        <v>0</v>
      </c>
      <c r="G226" s="84">
        <f t="shared" si="63"/>
        <v>0</v>
      </c>
      <c r="H226" s="85" t="s">
        <v>12</v>
      </c>
      <c r="I226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6" s="103">
        <f t="shared" si="64"/>
        <v>0.1</v>
      </c>
    </row>
    <row r="227" spans="1:10" ht="15" customHeight="1" x14ac:dyDescent="0.25">
      <c r="A227" s="83">
        <f>SUBTOTAL(102,F$28:F227)</f>
        <v>128</v>
      </c>
      <c r="B227" s="212" t="s">
        <v>82</v>
      </c>
      <c r="C227" s="215" t="s">
        <v>120</v>
      </c>
      <c r="D227" s="6" t="s">
        <v>2</v>
      </c>
      <c r="E227" s="208">
        <v>1</v>
      </c>
      <c r="F227" s="84">
        <v>0</v>
      </c>
      <c r="G227" s="84">
        <f t="shared" si="63"/>
        <v>0</v>
      </c>
      <c r="H227" s="85" t="s">
        <v>12</v>
      </c>
      <c r="I227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7" s="103">
        <f t="shared" si="64"/>
        <v>0.1</v>
      </c>
    </row>
    <row r="228" spans="1:10" ht="15" customHeight="1" x14ac:dyDescent="0.25">
      <c r="A228" s="83">
        <f>SUBTOTAL(102,F$28:F228)</f>
        <v>129</v>
      </c>
      <c r="B228" s="212" t="s">
        <v>82</v>
      </c>
      <c r="C228" s="215" t="s">
        <v>74</v>
      </c>
      <c r="D228" s="6" t="s">
        <v>2</v>
      </c>
      <c r="E228" s="208">
        <v>2</v>
      </c>
      <c r="F228" s="84">
        <v>0</v>
      </c>
      <c r="G228" s="84">
        <f t="shared" si="63"/>
        <v>0</v>
      </c>
      <c r="H228" s="85" t="s">
        <v>12</v>
      </c>
      <c r="I228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8" s="103">
        <f t="shared" si="64"/>
        <v>0.2</v>
      </c>
    </row>
    <row r="229" spans="1:10" ht="15" customHeight="1" x14ac:dyDescent="0.25">
      <c r="A229" s="83">
        <f>SUBTOTAL(102,F$28:F229)</f>
        <v>130</v>
      </c>
      <c r="B229" s="212" t="s">
        <v>82</v>
      </c>
      <c r="C229" s="215" t="s">
        <v>75</v>
      </c>
      <c r="D229" s="6" t="s">
        <v>2</v>
      </c>
      <c r="E229" s="208">
        <v>3</v>
      </c>
      <c r="F229" s="84">
        <v>0</v>
      </c>
      <c r="G229" s="84">
        <f t="shared" si="63"/>
        <v>0</v>
      </c>
      <c r="H229" s="85" t="s">
        <v>12</v>
      </c>
      <c r="I229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29" s="103">
        <f t="shared" si="64"/>
        <v>0.3</v>
      </c>
    </row>
    <row r="230" spans="1:10" ht="15" customHeight="1" x14ac:dyDescent="0.25">
      <c r="A230" s="83">
        <f>SUBTOTAL(102,F$28:F230)</f>
        <v>131</v>
      </c>
      <c r="B230" s="212" t="s">
        <v>82</v>
      </c>
      <c r="C230" s="215" t="s">
        <v>76</v>
      </c>
      <c r="D230" s="6" t="s">
        <v>2</v>
      </c>
      <c r="E230" s="208">
        <v>1</v>
      </c>
      <c r="F230" s="84">
        <v>0</v>
      </c>
      <c r="G230" s="84">
        <f t="shared" si="63"/>
        <v>0</v>
      </c>
      <c r="H230" s="85" t="s">
        <v>12</v>
      </c>
      <c r="I230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0" s="103">
        <f t="shared" si="64"/>
        <v>0.1</v>
      </c>
    </row>
    <row r="231" spans="1:10" ht="15" customHeight="1" x14ac:dyDescent="0.25">
      <c r="A231" s="83">
        <f>SUBTOTAL(102,F$28:F231)</f>
        <v>132</v>
      </c>
      <c r="B231" s="212" t="s">
        <v>82</v>
      </c>
      <c r="C231" s="215" t="s">
        <v>77</v>
      </c>
      <c r="D231" s="6" t="s">
        <v>2</v>
      </c>
      <c r="E231" s="208">
        <v>2</v>
      </c>
      <c r="F231" s="84">
        <v>0</v>
      </c>
      <c r="G231" s="84">
        <f t="shared" si="63"/>
        <v>0</v>
      </c>
      <c r="H231" s="85" t="s">
        <v>12</v>
      </c>
      <c r="I231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1" s="103">
        <f t="shared" si="64"/>
        <v>0.2</v>
      </c>
    </row>
    <row r="232" spans="1:10" ht="15" customHeight="1" x14ac:dyDescent="0.25">
      <c r="A232" s="83">
        <f>SUBTOTAL(102,F$28:F232)</f>
        <v>133</v>
      </c>
      <c r="B232" s="212" t="s">
        <v>82</v>
      </c>
      <c r="C232" s="215" t="s">
        <v>185</v>
      </c>
      <c r="D232" s="6" t="s">
        <v>2</v>
      </c>
      <c r="E232" s="208">
        <v>1</v>
      </c>
      <c r="F232" s="84">
        <v>0</v>
      </c>
      <c r="G232" s="84">
        <f t="shared" si="63"/>
        <v>0</v>
      </c>
      <c r="H232" s="85" t="s">
        <v>12</v>
      </c>
      <c r="I232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2" s="103">
        <f t="shared" si="64"/>
        <v>0.1</v>
      </c>
    </row>
    <row r="233" spans="1:10" ht="15" customHeight="1" x14ac:dyDescent="0.25">
      <c r="A233" s="83">
        <f>SUBTOTAL(102,F$28:F233)</f>
        <v>134</v>
      </c>
      <c r="B233" s="212" t="s">
        <v>82</v>
      </c>
      <c r="C233" s="215" t="s">
        <v>121</v>
      </c>
      <c r="D233" s="6" t="s">
        <v>2</v>
      </c>
      <c r="E233" s="208">
        <v>1</v>
      </c>
      <c r="F233" s="84">
        <v>0</v>
      </c>
      <c r="G233" s="84">
        <f t="shared" si="63"/>
        <v>0</v>
      </c>
      <c r="H233" s="85" t="s">
        <v>12</v>
      </c>
      <c r="I233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3" s="103">
        <f t="shared" si="64"/>
        <v>0.1</v>
      </c>
    </row>
    <row r="234" spans="1:10" ht="15" customHeight="1" x14ac:dyDescent="0.25">
      <c r="A234" s="83">
        <f>SUBTOTAL(102,F$28:F234)</f>
        <v>135</v>
      </c>
      <c r="B234" s="212" t="s">
        <v>82</v>
      </c>
      <c r="C234" s="215" t="s">
        <v>122</v>
      </c>
      <c r="D234" s="6" t="s">
        <v>2</v>
      </c>
      <c r="E234" s="208">
        <v>1</v>
      </c>
      <c r="F234" s="84">
        <v>0</v>
      </c>
      <c r="G234" s="84">
        <f t="shared" si="63"/>
        <v>0</v>
      </c>
      <c r="H234" s="85" t="s">
        <v>12</v>
      </c>
      <c r="I234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4" s="103">
        <f t="shared" si="64"/>
        <v>0.1</v>
      </c>
    </row>
    <row r="235" spans="1:10" ht="15" customHeight="1" x14ac:dyDescent="0.25">
      <c r="A235" s="83">
        <f>SUBTOTAL(102,F$28:F235)</f>
        <v>136</v>
      </c>
      <c r="B235" s="212" t="s">
        <v>82</v>
      </c>
      <c r="C235" s="215" t="s">
        <v>123</v>
      </c>
      <c r="D235" s="6" t="s">
        <v>2</v>
      </c>
      <c r="E235" s="208">
        <v>1</v>
      </c>
      <c r="F235" s="84">
        <v>0</v>
      </c>
      <c r="G235" s="84">
        <f t="shared" si="63"/>
        <v>0</v>
      </c>
      <c r="H235" s="85" t="s">
        <v>12</v>
      </c>
      <c r="I235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5" s="103">
        <f t="shared" si="64"/>
        <v>0.1</v>
      </c>
    </row>
    <row r="236" spans="1:10" ht="15" customHeight="1" x14ac:dyDescent="0.25">
      <c r="A236" s="83">
        <f>SUBTOTAL(102,F$28:F236)</f>
        <v>137</v>
      </c>
      <c r="B236" s="212" t="s">
        <v>82</v>
      </c>
      <c r="C236" s="215" t="s">
        <v>124</v>
      </c>
      <c r="D236" s="6" t="s">
        <v>2</v>
      </c>
      <c r="E236" s="208">
        <v>1</v>
      </c>
      <c r="F236" s="84">
        <v>0</v>
      </c>
      <c r="G236" s="84">
        <f t="shared" si="63"/>
        <v>0</v>
      </c>
      <c r="H236" s="85" t="s">
        <v>12</v>
      </c>
      <c r="I236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6" s="103">
        <f t="shared" si="64"/>
        <v>0.1</v>
      </c>
    </row>
    <row r="237" spans="1:10" ht="15" customHeight="1" x14ac:dyDescent="0.25">
      <c r="A237" s="83">
        <f>SUBTOTAL(102,F$28:F237)</f>
        <v>138</v>
      </c>
      <c r="B237" s="212" t="s">
        <v>82</v>
      </c>
      <c r="C237" s="215" t="s">
        <v>78</v>
      </c>
      <c r="D237" s="6" t="s">
        <v>2</v>
      </c>
      <c r="E237" s="208">
        <v>4</v>
      </c>
      <c r="F237" s="84">
        <v>0</v>
      </c>
      <c r="G237" s="84">
        <f t="shared" si="63"/>
        <v>0</v>
      </c>
      <c r="H237" s="85" t="s">
        <v>12</v>
      </c>
      <c r="I237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7" s="103">
        <f t="shared" si="64"/>
        <v>0.4</v>
      </c>
    </row>
    <row r="238" spans="1:10" ht="15" customHeight="1" x14ac:dyDescent="0.25">
      <c r="A238" s="83">
        <f>SUBTOTAL(102,F$28:F238)</f>
        <v>139</v>
      </c>
      <c r="B238" s="212" t="s">
        <v>82</v>
      </c>
      <c r="C238" s="215" t="s">
        <v>125</v>
      </c>
      <c r="D238" s="6" t="s">
        <v>2</v>
      </c>
      <c r="E238" s="208">
        <v>2</v>
      </c>
      <c r="F238" s="84">
        <v>0</v>
      </c>
      <c r="G238" s="84">
        <f t="shared" si="63"/>
        <v>0</v>
      </c>
      <c r="H238" s="85" t="s">
        <v>12</v>
      </c>
      <c r="I238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8" s="103">
        <f t="shared" si="64"/>
        <v>0.2</v>
      </c>
    </row>
    <row r="239" spans="1:10" ht="15" customHeight="1" x14ac:dyDescent="0.25">
      <c r="A239" s="83">
        <f>SUBTOTAL(102,F$28:F239)</f>
        <v>140</v>
      </c>
      <c r="B239" s="212" t="s">
        <v>82</v>
      </c>
      <c r="C239" s="215" t="s">
        <v>184</v>
      </c>
      <c r="D239" s="6" t="s">
        <v>2</v>
      </c>
      <c r="E239" s="208">
        <v>5</v>
      </c>
      <c r="F239" s="84">
        <v>0</v>
      </c>
      <c r="G239" s="84">
        <f t="shared" si="63"/>
        <v>0</v>
      </c>
      <c r="H239" s="85" t="s">
        <v>12</v>
      </c>
      <c r="I239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39" s="103">
        <f t="shared" si="64"/>
        <v>0.5</v>
      </c>
    </row>
    <row r="240" spans="1:10" ht="15" customHeight="1" x14ac:dyDescent="0.25">
      <c r="A240" s="145"/>
      <c r="B240" s="216"/>
      <c r="C240" s="217">
        <f>SUBTOTAL(109,E240:E244)</f>
        <v>4</v>
      </c>
      <c r="D240" s="6" t="s">
        <v>2</v>
      </c>
      <c r="E240" s="208"/>
      <c r="F240" s="208"/>
      <c r="G240" s="209" t="s">
        <v>12</v>
      </c>
      <c r="H240" s="85"/>
      <c r="I240" s="102"/>
      <c r="J240" s="103"/>
    </row>
    <row r="241" spans="1:10" ht="15" customHeight="1" x14ac:dyDescent="0.25">
      <c r="A241" s="83">
        <f>SUBTOTAL(102,F$28:F241)</f>
        <v>141</v>
      </c>
      <c r="B241" s="212" t="s">
        <v>82</v>
      </c>
      <c r="C241" s="218" t="s">
        <v>135</v>
      </c>
      <c r="D241" s="6" t="s">
        <v>2</v>
      </c>
      <c r="E241" s="208">
        <v>3</v>
      </c>
      <c r="F241" s="84">
        <v>0</v>
      </c>
      <c r="G241" s="84">
        <f t="shared" ref="G241:G242" si="65">ROUND(ROUND(F241,2)*ROUND(E241,2),2)</f>
        <v>0</v>
      </c>
      <c r="H241" s="85" t="s">
        <v>12</v>
      </c>
      <c r="I241" s="102">
        <f>IF(
OR(
ISNUMBER(SEARCH("20",Tabuľka335[[#This Row],[Číslo položky cenníka]])),
ISNUMBER(SEARCH("22",Tabuľka335[[#This Row],[Číslo položky cenníka]])),
ISNUMBER(SEARCH("24",Tabuľka335[[#This Row],[Číslo položky cenníka]])),
ISNUMBER(SEARCH("26",Tabuľka335[[#This Row],[Číslo položky cenníka]])),
ISNUMBER(SEARCH("28",Tabuľka335[[#This Row],[Číslo položky cenníka]])),
ISNUMBER(SEARCH("30",Tabuľka335[[#This Row],[Číslo položky cenníka]]))
),
0.15,0.1)</f>
        <v>0.1</v>
      </c>
      <c r="J241" s="103">
        <f t="shared" ref="J241:J242" si="66">ROUND(ROUND(E241,2)*ROUND(I241,4),3)</f>
        <v>0.3</v>
      </c>
    </row>
    <row r="242" spans="1:10" ht="15" customHeight="1" x14ac:dyDescent="0.25">
      <c r="A242" s="83">
        <f>SUBTOTAL(102,F$28:F242)</f>
        <v>142</v>
      </c>
      <c r="B242" s="212" t="s">
        <v>82</v>
      </c>
      <c r="C242" s="218" t="s">
        <v>84</v>
      </c>
      <c r="D242" s="6" t="s">
        <v>2</v>
      </c>
      <c r="E242" s="208">
        <v>1</v>
      </c>
      <c r="F242" s="84">
        <v>0</v>
      </c>
      <c r="G242" s="84">
        <f t="shared" si="65"/>
        <v>0</v>
      </c>
      <c r="H242" s="85" t="s">
        <v>12</v>
      </c>
      <c r="I242" s="102">
        <v>1E-3</v>
      </c>
      <c r="J242" s="103">
        <f t="shared" si="66"/>
        <v>1E-3</v>
      </c>
    </row>
    <row r="243" spans="1:10" ht="15" customHeight="1" x14ac:dyDescent="0.25">
      <c r="A243" s="145"/>
      <c r="B243" s="175"/>
      <c r="C243" s="219">
        <f>SUBTOTAL(109,E243:E260)</f>
        <v>289</v>
      </c>
      <c r="D243" s="6"/>
      <c r="E243" s="208"/>
      <c r="F243" s="84"/>
      <c r="G243" s="209" t="s">
        <v>12</v>
      </c>
      <c r="H243" s="85"/>
      <c r="I243" s="102"/>
      <c r="J243" s="103"/>
    </row>
    <row r="244" spans="1:10" ht="15" customHeight="1" x14ac:dyDescent="0.25">
      <c r="A244" s="145"/>
      <c r="B244" s="220"/>
      <c r="C244" s="221">
        <f>SUBTOTAL(109,E244:E259)</f>
        <v>289</v>
      </c>
      <c r="D244" s="6"/>
      <c r="E244" s="208"/>
      <c r="F244" s="84"/>
      <c r="G244" s="209" t="s">
        <v>12</v>
      </c>
      <c r="H244" s="85"/>
      <c r="I244" s="102"/>
      <c r="J244" s="103"/>
    </row>
    <row r="245" spans="1:10" ht="15" customHeight="1" x14ac:dyDescent="0.25">
      <c r="A245" s="83">
        <f>SUBTOTAL(102,F$28:F245)</f>
        <v>143</v>
      </c>
      <c r="B245" s="212" t="s">
        <v>83</v>
      </c>
      <c r="C245" s="218" t="s">
        <v>136</v>
      </c>
      <c r="D245" s="6" t="s">
        <v>2</v>
      </c>
      <c r="E245" s="208">
        <v>21</v>
      </c>
      <c r="F245" s="84">
        <v>0</v>
      </c>
      <c r="G245" s="84">
        <f>ROUND(ROUND(F245,2)*ROUND(E245,2),2)</f>
        <v>0</v>
      </c>
      <c r="H245" s="85" t="s">
        <v>12</v>
      </c>
      <c r="I245" s="102">
        <v>1E-3</v>
      </c>
      <c r="J245" s="103">
        <f>ROUND(ROUND(E245,2)*ROUND(I245,4),3)</f>
        <v>2.1000000000000001E-2</v>
      </c>
    </row>
    <row r="246" spans="1:10" ht="15" customHeight="1" x14ac:dyDescent="0.25">
      <c r="A246" s="83">
        <f>SUBTOTAL(102,F$28:F246)</f>
        <v>144</v>
      </c>
      <c r="B246" s="212" t="s">
        <v>83</v>
      </c>
      <c r="C246" s="218" t="s">
        <v>79</v>
      </c>
      <c r="D246" s="6" t="s">
        <v>2</v>
      </c>
      <c r="E246" s="208">
        <v>10</v>
      </c>
      <c r="F246" s="84">
        <v>0</v>
      </c>
      <c r="G246" s="84">
        <f t="shared" ref="G246:G259" si="67">ROUND(ROUND(F246,2)*ROUND(E246,2),2)</f>
        <v>0</v>
      </c>
      <c r="H246" s="85" t="s">
        <v>12</v>
      </c>
      <c r="I246" s="102">
        <v>1E-3</v>
      </c>
      <c r="J246" s="103">
        <f t="shared" ref="J246:J259" si="68">ROUND(ROUND(E246,2)*ROUND(I246,4),3)</f>
        <v>0.01</v>
      </c>
    </row>
    <row r="247" spans="1:10" ht="15" customHeight="1" x14ac:dyDescent="0.25">
      <c r="A247" s="83">
        <f>SUBTOTAL(102,F$28:F247)</f>
        <v>145</v>
      </c>
      <c r="B247" s="212" t="s">
        <v>83</v>
      </c>
      <c r="C247" s="218" t="s">
        <v>137</v>
      </c>
      <c r="D247" s="6" t="s">
        <v>2</v>
      </c>
      <c r="E247" s="208">
        <v>3</v>
      </c>
      <c r="F247" s="84">
        <v>0</v>
      </c>
      <c r="G247" s="84">
        <f t="shared" si="67"/>
        <v>0</v>
      </c>
      <c r="H247" s="85" t="s">
        <v>12</v>
      </c>
      <c r="I247" s="102">
        <v>1E-3</v>
      </c>
      <c r="J247" s="103">
        <f t="shared" si="68"/>
        <v>3.0000000000000001E-3</v>
      </c>
    </row>
    <row r="248" spans="1:10" ht="15" customHeight="1" x14ac:dyDescent="0.25">
      <c r="A248" s="83">
        <f>SUBTOTAL(102,F$28:F248)</f>
        <v>146</v>
      </c>
      <c r="B248" s="212" t="s">
        <v>83</v>
      </c>
      <c r="C248" s="218" t="s">
        <v>138</v>
      </c>
      <c r="D248" s="6" t="s">
        <v>2</v>
      </c>
      <c r="E248" s="208">
        <v>10</v>
      </c>
      <c r="F248" s="84">
        <v>0</v>
      </c>
      <c r="G248" s="84">
        <f t="shared" si="67"/>
        <v>0</v>
      </c>
      <c r="H248" s="85" t="s">
        <v>12</v>
      </c>
      <c r="I248" s="102">
        <v>1E-3</v>
      </c>
      <c r="J248" s="103">
        <f t="shared" si="68"/>
        <v>0.01</v>
      </c>
    </row>
    <row r="249" spans="1:10" ht="15" customHeight="1" x14ac:dyDescent="0.25">
      <c r="A249" s="83">
        <f>SUBTOTAL(102,F$28:F249)</f>
        <v>147</v>
      </c>
      <c r="B249" s="212" t="s">
        <v>83</v>
      </c>
      <c r="C249" s="218" t="s">
        <v>126</v>
      </c>
      <c r="D249" s="6" t="s">
        <v>2</v>
      </c>
      <c r="E249" s="208">
        <v>10</v>
      </c>
      <c r="F249" s="84">
        <v>0</v>
      </c>
      <c r="G249" s="84">
        <f t="shared" si="67"/>
        <v>0</v>
      </c>
      <c r="H249" s="85" t="s">
        <v>12</v>
      </c>
      <c r="I249" s="102">
        <v>1E-3</v>
      </c>
      <c r="J249" s="103">
        <f t="shared" si="68"/>
        <v>0.01</v>
      </c>
    </row>
    <row r="250" spans="1:10" ht="15" customHeight="1" x14ac:dyDescent="0.25">
      <c r="A250" s="83">
        <f>SUBTOTAL(102,F$28:F250)</f>
        <v>148</v>
      </c>
      <c r="B250" s="212" t="s">
        <v>83</v>
      </c>
      <c r="C250" s="218" t="s">
        <v>127</v>
      </c>
      <c r="D250" s="6" t="s">
        <v>2</v>
      </c>
      <c r="E250" s="208">
        <v>16</v>
      </c>
      <c r="F250" s="84">
        <v>0</v>
      </c>
      <c r="G250" s="84">
        <f t="shared" si="67"/>
        <v>0</v>
      </c>
      <c r="H250" s="85" t="s">
        <v>12</v>
      </c>
      <c r="I250" s="102">
        <v>1E-3</v>
      </c>
      <c r="J250" s="103">
        <f t="shared" si="68"/>
        <v>1.6E-2</v>
      </c>
    </row>
    <row r="251" spans="1:10" ht="15" customHeight="1" x14ac:dyDescent="0.25">
      <c r="A251" s="83">
        <f>SUBTOTAL(102,F$28:F251)</f>
        <v>149</v>
      </c>
      <c r="B251" s="212" t="s">
        <v>83</v>
      </c>
      <c r="C251" s="218" t="s">
        <v>80</v>
      </c>
      <c r="D251" s="6" t="s">
        <v>2</v>
      </c>
      <c r="E251" s="208">
        <v>75</v>
      </c>
      <c r="F251" s="84">
        <v>0</v>
      </c>
      <c r="G251" s="84">
        <f t="shared" si="67"/>
        <v>0</v>
      </c>
      <c r="H251" s="85" t="s">
        <v>12</v>
      </c>
      <c r="I251" s="102">
        <v>1E-3</v>
      </c>
      <c r="J251" s="103">
        <f t="shared" si="68"/>
        <v>7.4999999999999997E-2</v>
      </c>
    </row>
    <row r="252" spans="1:10" ht="15" customHeight="1" x14ac:dyDescent="0.25">
      <c r="A252" s="83">
        <f>SUBTOTAL(102,F$28:F252)</f>
        <v>150</v>
      </c>
      <c r="B252" s="212" t="s">
        <v>83</v>
      </c>
      <c r="C252" s="218" t="s">
        <v>139</v>
      </c>
      <c r="D252" s="6" t="s">
        <v>2</v>
      </c>
      <c r="E252" s="208">
        <v>30</v>
      </c>
      <c r="F252" s="84">
        <v>0</v>
      </c>
      <c r="G252" s="84">
        <f t="shared" si="67"/>
        <v>0</v>
      </c>
      <c r="H252" s="85" t="s">
        <v>12</v>
      </c>
      <c r="I252" s="102">
        <v>1E-3</v>
      </c>
      <c r="J252" s="103">
        <f t="shared" si="68"/>
        <v>0.03</v>
      </c>
    </row>
    <row r="253" spans="1:10" ht="15" customHeight="1" x14ac:dyDescent="0.25">
      <c r="A253" s="83">
        <f>SUBTOTAL(102,F$28:F253)</f>
        <v>151</v>
      </c>
      <c r="B253" s="212" t="s">
        <v>83</v>
      </c>
      <c r="C253" s="218" t="s">
        <v>128</v>
      </c>
      <c r="D253" s="6" t="s">
        <v>2</v>
      </c>
      <c r="E253" s="208">
        <v>27</v>
      </c>
      <c r="F253" s="84">
        <v>0</v>
      </c>
      <c r="G253" s="84">
        <f t="shared" si="67"/>
        <v>0</v>
      </c>
      <c r="H253" s="85" t="s">
        <v>12</v>
      </c>
      <c r="I253" s="102">
        <v>1E-3</v>
      </c>
      <c r="J253" s="103">
        <f t="shared" si="68"/>
        <v>2.7E-2</v>
      </c>
    </row>
    <row r="254" spans="1:10" ht="15" customHeight="1" x14ac:dyDescent="0.25">
      <c r="A254" s="83">
        <f>SUBTOTAL(102,F$28:F254)</f>
        <v>152</v>
      </c>
      <c r="B254" s="212" t="s">
        <v>83</v>
      </c>
      <c r="C254" s="218" t="s">
        <v>129</v>
      </c>
      <c r="D254" s="6" t="s">
        <v>2</v>
      </c>
      <c r="E254" s="208">
        <v>25</v>
      </c>
      <c r="F254" s="84">
        <v>0</v>
      </c>
      <c r="G254" s="84">
        <f t="shared" si="67"/>
        <v>0</v>
      </c>
      <c r="H254" s="85" t="s">
        <v>12</v>
      </c>
      <c r="I254" s="102">
        <v>1E-3</v>
      </c>
      <c r="J254" s="103">
        <f t="shared" si="68"/>
        <v>2.5000000000000001E-2</v>
      </c>
    </row>
    <row r="255" spans="1:10" ht="15" customHeight="1" x14ac:dyDescent="0.25">
      <c r="A255" s="83">
        <f>SUBTOTAL(102,F$28:F255)</f>
        <v>153</v>
      </c>
      <c r="B255" s="212" t="s">
        <v>83</v>
      </c>
      <c r="C255" s="218" t="s">
        <v>130</v>
      </c>
      <c r="D255" s="6" t="s">
        <v>2</v>
      </c>
      <c r="E255" s="208">
        <v>16</v>
      </c>
      <c r="F255" s="84">
        <v>0</v>
      </c>
      <c r="G255" s="84">
        <f t="shared" si="67"/>
        <v>0</v>
      </c>
      <c r="H255" s="85" t="s">
        <v>12</v>
      </c>
      <c r="I255" s="102">
        <v>1E-3</v>
      </c>
      <c r="J255" s="103">
        <f t="shared" si="68"/>
        <v>1.6E-2</v>
      </c>
    </row>
    <row r="256" spans="1:10" ht="15" customHeight="1" x14ac:dyDescent="0.25">
      <c r="A256" s="83">
        <f>SUBTOTAL(102,F$28:F256)</f>
        <v>154</v>
      </c>
      <c r="B256" s="212" t="s">
        <v>83</v>
      </c>
      <c r="C256" s="218" t="s">
        <v>131</v>
      </c>
      <c r="D256" s="6" t="s">
        <v>2</v>
      </c>
      <c r="E256" s="208">
        <v>35</v>
      </c>
      <c r="F256" s="84">
        <v>0</v>
      </c>
      <c r="G256" s="84">
        <f t="shared" si="67"/>
        <v>0</v>
      </c>
      <c r="H256" s="85" t="s">
        <v>12</v>
      </c>
      <c r="I256" s="102">
        <v>1E-3</v>
      </c>
      <c r="J256" s="103">
        <f t="shared" si="68"/>
        <v>3.5000000000000003E-2</v>
      </c>
    </row>
    <row r="257" spans="1:10" ht="15" customHeight="1" x14ac:dyDescent="0.25">
      <c r="A257" s="83">
        <f>SUBTOTAL(102,F$28:F257)</f>
        <v>155</v>
      </c>
      <c r="B257" s="212" t="s">
        <v>83</v>
      </c>
      <c r="C257" s="218" t="s">
        <v>132</v>
      </c>
      <c r="D257" s="6" t="s">
        <v>2</v>
      </c>
      <c r="E257" s="208">
        <v>5</v>
      </c>
      <c r="F257" s="84">
        <v>0</v>
      </c>
      <c r="G257" s="84">
        <f t="shared" si="67"/>
        <v>0</v>
      </c>
      <c r="H257" s="85" t="s">
        <v>12</v>
      </c>
      <c r="I257" s="102">
        <v>1E-3</v>
      </c>
      <c r="J257" s="103">
        <f t="shared" si="68"/>
        <v>5.0000000000000001E-3</v>
      </c>
    </row>
    <row r="258" spans="1:10" ht="15" customHeight="1" x14ac:dyDescent="0.25">
      <c r="A258" s="83">
        <f>SUBTOTAL(102,F$28:F258)</f>
        <v>156</v>
      </c>
      <c r="B258" s="212" t="s">
        <v>83</v>
      </c>
      <c r="C258" s="218" t="s">
        <v>133</v>
      </c>
      <c r="D258" s="6" t="s">
        <v>2</v>
      </c>
      <c r="E258" s="208">
        <v>3</v>
      </c>
      <c r="F258" s="84">
        <v>0</v>
      </c>
      <c r="G258" s="84">
        <f t="shared" si="67"/>
        <v>0</v>
      </c>
      <c r="H258" s="85" t="s">
        <v>12</v>
      </c>
      <c r="I258" s="102">
        <v>1E-3</v>
      </c>
      <c r="J258" s="103">
        <f t="shared" si="68"/>
        <v>3.0000000000000001E-3</v>
      </c>
    </row>
    <row r="259" spans="1:10" ht="15" customHeight="1" x14ac:dyDescent="0.25">
      <c r="A259" s="83">
        <f>SUBTOTAL(102,F$28:F259)</f>
        <v>157</v>
      </c>
      <c r="B259" s="212" t="s">
        <v>83</v>
      </c>
      <c r="C259" s="218" t="s">
        <v>134</v>
      </c>
      <c r="D259" s="6" t="s">
        <v>2</v>
      </c>
      <c r="E259" s="208">
        <v>3</v>
      </c>
      <c r="F259" s="84">
        <v>0</v>
      </c>
      <c r="G259" s="84">
        <f t="shared" si="67"/>
        <v>0</v>
      </c>
      <c r="H259" s="85" t="s">
        <v>12</v>
      </c>
      <c r="I259" s="102">
        <v>1E-3</v>
      </c>
      <c r="J259" s="103">
        <f t="shared" si="68"/>
        <v>3.0000000000000001E-3</v>
      </c>
    </row>
    <row r="260" spans="1:10" ht="15" customHeight="1" thickBot="1" x14ac:dyDescent="0.3">
      <c r="A260" s="222"/>
      <c r="B260" s="223"/>
      <c r="C260" s="224" t="str">
        <f>CONCATENATE(SUBSTITUTE(A219,":","")," - spolu:")</f>
        <v>Rastlinný materiál - spolu:</v>
      </c>
      <c r="D260" s="225"/>
      <c r="E260" s="226"/>
      <c r="F260" s="227" t="s">
        <v>16</v>
      </c>
      <c r="G260" s="228">
        <f>SUBTOTAL(109,G219:G259)</f>
        <v>0</v>
      </c>
      <c r="H260" s="227" t="s">
        <v>17</v>
      </c>
      <c r="I260" s="228">
        <f>ROUND(G260*1.2,2)</f>
        <v>0</v>
      </c>
      <c r="J260" s="229">
        <f>SUBTOTAL(109,J219:J259)</f>
        <v>3.9899999999999998</v>
      </c>
    </row>
    <row r="261" spans="1:10" ht="15" customHeight="1" x14ac:dyDescent="0.25">
      <c r="A261" s="197" t="s">
        <v>20</v>
      </c>
      <c r="B261" s="230"/>
      <c r="C261" s="199"/>
      <c r="D261" s="200"/>
      <c r="E261" s="201"/>
      <c r="F261" s="202"/>
      <c r="G261" s="203" t="s">
        <v>12</v>
      </c>
      <c r="H261" s="231"/>
      <c r="I261" s="231"/>
      <c r="J261" s="232"/>
    </row>
    <row r="262" spans="1:10" x14ac:dyDescent="0.25">
      <c r="A262" s="83">
        <f>SUBTOTAL(102,F$28:F262)</f>
        <v>158</v>
      </c>
      <c r="B262" s="5" t="s">
        <v>56</v>
      </c>
      <c r="C262" s="218" t="s">
        <v>40</v>
      </c>
      <c r="D262" s="6" t="s">
        <v>3</v>
      </c>
      <c r="E262" s="2">
        <f>ROUNDUP(1.4*
(0.2*(C220+C240)+N("200l strom")
+0.002*C244+N("2l krík"))
+0.03*E217+N("trávnik"),2)</f>
        <v>21.57</v>
      </c>
      <c r="F262" s="166">
        <v>0</v>
      </c>
      <c r="G262" s="84">
        <f t="shared" ref="G262:G271" si="69">ROUND(ROUND(F262,2)*ROUND(E262,2),2)</f>
        <v>0</v>
      </c>
      <c r="H262" s="85" t="s">
        <v>12</v>
      </c>
      <c r="I262" s="102">
        <v>1</v>
      </c>
      <c r="J262" s="103">
        <f t="shared" ref="J262:J271" si="70">ROUND(ROUND(E262,2)*ROUND(I262,4),3)</f>
        <v>21.57</v>
      </c>
    </row>
    <row r="263" spans="1:10" x14ac:dyDescent="0.25">
      <c r="A263" s="83">
        <f>SUBTOTAL(102,F$28:F263)</f>
        <v>159</v>
      </c>
      <c r="B263" s="5" t="s">
        <v>56</v>
      </c>
      <c r="C263" s="218" t="s">
        <v>158</v>
      </c>
      <c r="D263" s="6" t="s">
        <v>3</v>
      </c>
      <c r="E263" s="2">
        <f>ROUNDUP(1.4*(0.2*E210+0.03*E217),2)</f>
        <v>96.6</v>
      </c>
      <c r="F263" s="166">
        <v>0</v>
      </c>
      <c r="G263" s="84">
        <f>ROUND(ROUND(F263,2)*ROUND(E263,2),2)</f>
        <v>0</v>
      </c>
      <c r="H263" s="85" t="s">
        <v>12</v>
      </c>
      <c r="I263" s="102">
        <v>1</v>
      </c>
      <c r="J263" s="103">
        <f>ROUND(ROUND(E263,2)*ROUND(I263,4),3)</f>
        <v>96.6</v>
      </c>
    </row>
    <row r="264" spans="1:10" x14ac:dyDescent="0.25">
      <c r="A264" s="83">
        <f>SUBTOTAL(102,F$28:F264)</f>
        <v>160</v>
      </c>
      <c r="B264" s="5" t="s">
        <v>56</v>
      </c>
      <c r="C264" s="218" t="s">
        <v>22</v>
      </c>
      <c r="D264" s="6" t="s">
        <v>11</v>
      </c>
      <c r="E264" s="111">
        <f>0.01*SUBTOTAL(109,E214)+N("travnik")
+0.1*SUBTOTAL(109,E220:E240)+N("stromy")
+0.005*SUBTOTAL(109,E240:E259)+N("kry")</f>
        <v>10.865</v>
      </c>
      <c r="F264" s="233">
        <v>0</v>
      </c>
      <c r="G264" s="84">
        <f t="shared" si="69"/>
        <v>0</v>
      </c>
      <c r="H264" s="85" t="s">
        <v>12</v>
      </c>
      <c r="I264" s="102">
        <v>1</v>
      </c>
      <c r="J264" s="103">
        <f t="shared" si="70"/>
        <v>10.87</v>
      </c>
    </row>
    <row r="265" spans="1:10" ht="25.5" x14ac:dyDescent="0.25">
      <c r="A265" s="83">
        <f>SUBTOTAL(102,F$28:F265)</f>
        <v>161</v>
      </c>
      <c r="B265" s="5" t="s">
        <v>56</v>
      </c>
      <c r="C265" s="1" t="s">
        <v>50</v>
      </c>
      <c r="D265" s="186" t="s">
        <v>8</v>
      </c>
      <c r="E265" s="2">
        <f>ROUNDUP((E203+E207)* 0.07/0.08,0)
+N("polozka mulcovanie*vyska mulca/objem")</f>
        <v>59</v>
      </c>
      <c r="F265" s="112">
        <v>0</v>
      </c>
      <c r="G265" s="84">
        <f t="shared" si="69"/>
        <v>0</v>
      </c>
      <c r="H265" s="85" t="s">
        <v>12</v>
      </c>
      <c r="I265" s="102">
        <f>0.4*0.08</f>
        <v>3.2000000000000001E-2</v>
      </c>
      <c r="J265" s="103">
        <f t="shared" si="70"/>
        <v>1.8879999999999999</v>
      </c>
    </row>
    <row r="266" spans="1:10" s="234" customFormat="1" ht="76.5" x14ac:dyDescent="0.25">
      <c r="A266" s="83">
        <f>SUBTOTAL(102,F$28:F266)</f>
        <v>162</v>
      </c>
      <c r="B266" s="5" t="s">
        <v>56</v>
      </c>
      <c r="C266" s="1" t="s">
        <v>208</v>
      </c>
      <c r="D266" s="186" t="s">
        <v>2</v>
      </c>
      <c r="E266" s="2">
        <f>ROUNDUP((SUBTOTAL(109,E220:E243)),0)</f>
        <v>38</v>
      </c>
      <c r="F266" s="112">
        <v>0</v>
      </c>
      <c r="G266" s="84">
        <f t="shared" si="69"/>
        <v>0</v>
      </c>
      <c r="H266" s="85" t="s">
        <v>12</v>
      </c>
      <c r="I266" s="102">
        <v>1E-4</v>
      </c>
      <c r="J266" s="103">
        <f t="shared" si="70"/>
        <v>4.0000000000000001E-3</v>
      </c>
    </row>
    <row r="267" spans="1:10" s="234" customFormat="1" ht="25.5" x14ac:dyDescent="0.25">
      <c r="A267" s="83">
        <f>SUBTOTAL(102,F$28:F267)</f>
        <v>163</v>
      </c>
      <c r="B267" s="5" t="s">
        <v>56</v>
      </c>
      <c r="C267" s="1" t="s">
        <v>64</v>
      </c>
      <c r="D267" s="186" t="s">
        <v>5</v>
      </c>
      <c r="E267" s="2">
        <f>ROUNDUP((SUBTOTAL(109,E220:E242))/20,1)</f>
        <v>1.9</v>
      </c>
      <c r="F267" s="112">
        <v>0</v>
      </c>
      <c r="G267" s="84">
        <f t="shared" si="69"/>
        <v>0</v>
      </c>
      <c r="H267" s="85" t="s">
        <v>12</v>
      </c>
      <c r="I267" s="102">
        <v>2.0000000000000001E-4</v>
      </c>
      <c r="J267" s="103">
        <f t="shared" si="70"/>
        <v>0</v>
      </c>
    </row>
    <row r="268" spans="1:10" ht="18.95" customHeight="1" x14ac:dyDescent="0.25">
      <c r="A268" s="83">
        <f>SUBTOTAL(102,F$28:F268)</f>
        <v>164</v>
      </c>
      <c r="B268" s="5" t="s">
        <v>56</v>
      </c>
      <c r="C268" s="1" t="s">
        <v>65</v>
      </c>
      <c r="D268" s="6" t="s">
        <v>5</v>
      </c>
      <c r="E268" s="2">
        <f>ROUNDUP(((SUBTOTAL(109,E220:E242))*3.5),0)</f>
        <v>133</v>
      </c>
      <c r="F268" s="112">
        <v>0</v>
      </c>
      <c r="G268" s="84">
        <f t="shared" si="69"/>
        <v>0</v>
      </c>
      <c r="H268" s="85" t="s">
        <v>12</v>
      </c>
      <c r="I268" s="102">
        <v>5.0000000000000001E-4</v>
      </c>
      <c r="J268" s="103">
        <f t="shared" si="70"/>
        <v>6.7000000000000004E-2</v>
      </c>
    </row>
    <row r="269" spans="1:10" ht="15" customHeight="1" x14ac:dyDescent="0.25">
      <c r="A269" s="83">
        <f>SUBTOTAL(102,F$28:F269)</f>
        <v>165</v>
      </c>
      <c r="B269" s="5" t="s">
        <v>56</v>
      </c>
      <c r="C269" s="1" t="s">
        <v>33</v>
      </c>
      <c r="D269" s="186" t="s">
        <v>2</v>
      </c>
      <c r="E269" s="2">
        <f>(SUBTOTAL(109,E220:E243))-1</f>
        <v>37</v>
      </c>
      <c r="F269" s="112">
        <v>0</v>
      </c>
      <c r="G269" s="84">
        <f t="shared" si="69"/>
        <v>0</v>
      </c>
      <c r="H269" s="85" t="s">
        <v>12</v>
      </c>
      <c r="I269" s="102">
        <v>1E-3</v>
      </c>
      <c r="J269" s="103">
        <f t="shared" si="70"/>
        <v>3.6999999999999998E-2</v>
      </c>
    </row>
    <row r="270" spans="1:10" ht="15" customHeight="1" x14ac:dyDescent="0.25">
      <c r="A270" s="83">
        <f>SUBTOTAL(102,F$28:F270)</f>
        <v>166</v>
      </c>
      <c r="B270" s="5" t="s">
        <v>56</v>
      </c>
      <c r="C270" s="1" t="s">
        <v>51</v>
      </c>
      <c r="D270" s="6" t="s">
        <v>2</v>
      </c>
      <c r="E270" s="2">
        <f>(SUBTOTAL(109,E220:E242))*3</f>
        <v>114</v>
      </c>
      <c r="F270" s="112">
        <v>0</v>
      </c>
      <c r="G270" s="84">
        <f t="shared" si="69"/>
        <v>0</v>
      </c>
      <c r="H270" s="85" t="s">
        <v>12</v>
      </c>
      <c r="I270" s="102">
        <f>ROUND(0.5*(2.5*(3.14*0.03^2)),4)</f>
        <v>3.5000000000000001E-3</v>
      </c>
      <c r="J270" s="103">
        <f t="shared" si="70"/>
        <v>0.39900000000000002</v>
      </c>
    </row>
    <row r="271" spans="1:10" ht="15" customHeight="1" x14ac:dyDescent="0.25">
      <c r="A271" s="83">
        <f>SUBTOTAL(102,F$28:F271)</f>
        <v>167</v>
      </c>
      <c r="B271" s="5" t="s">
        <v>56</v>
      </c>
      <c r="C271" s="1" t="s">
        <v>209</v>
      </c>
      <c r="D271" s="6" t="s">
        <v>9</v>
      </c>
      <c r="E271" s="2">
        <f>ROUNDUP((E214)*0.03+N("polozka zalozenie Trávnika"),1)</f>
        <v>18</v>
      </c>
      <c r="F271" s="84">
        <v>0</v>
      </c>
      <c r="G271" s="84">
        <f t="shared" si="69"/>
        <v>0</v>
      </c>
      <c r="H271" s="85" t="s">
        <v>12</v>
      </c>
      <c r="I271" s="102">
        <v>1E-3</v>
      </c>
      <c r="J271" s="103">
        <f t="shared" si="70"/>
        <v>1.7999999999999999E-2</v>
      </c>
    </row>
    <row r="272" spans="1:10" ht="15" customHeight="1" x14ac:dyDescent="0.25">
      <c r="A272" s="151"/>
      <c r="B272" s="3"/>
      <c r="C272" s="152" t="str">
        <f>CONCATENATE(SUBSTITUTE(A261,":","")," - spolu:")</f>
        <v>Ostatný materiál - spolu:</v>
      </c>
      <c r="D272" s="90"/>
      <c r="E272" s="147"/>
      <c r="F272" s="148" t="s">
        <v>16</v>
      </c>
      <c r="G272" s="149">
        <f>SUBTOTAL(109,G261:G271)</f>
        <v>0</v>
      </c>
      <c r="H272" s="148" t="s">
        <v>17</v>
      </c>
      <c r="I272" s="149">
        <f>ROUND(G272*1.2,2)</f>
        <v>0</v>
      </c>
      <c r="J272" s="153">
        <f>SUBTOTAL(109,J260:J271)</f>
        <v>131.453</v>
      </c>
    </row>
    <row r="273" spans="1:10" ht="4.5" customHeight="1" thickBot="1" x14ac:dyDescent="0.3">
      <c r="A273" s="154"/>
      <c r="B273" s="155"/>
      <c r="C273" s="156"/>
      <c r="D273" s="157"/>
      <c r="E273" s="158"/>
      <c r="F273" s="159"/>
      <c r="G273" s="160"/>
      <c r="H273" s="161"/>
      <c r="I273" s="162"/>
      <c r="J273" s="163"/>
    </row>
    <row r="274" spans="1:10" ht="19.5" thickBot="1" x14ac:dyDescent="0.3">
      <c r="A274" s="70"/>
      <c r="B274" s="123"/>
      <c r="C274" s="125"/>
      <c r="D274" s="125" t="str">
        <f>CONCATENATE(SUBSTITUTE(A187,"","")," - spolu: ")</f>
        <v xml:space="preserve">9 Sadové úpravy - spolu: </v>
      </c>
      <c r="E274" s="126" t="s">
        <v>16</v>
      </c>
      <c r="F274" s="164">
        <f>SUBTOTAL(109,G187:H273)</f>
        <v>0</v>
      </c>
      <c r="G274" s="126" t="s">
        <v>27</v>
      </c>
      <c r="H274" s="164">
        <f>ROUND(F274*0.2,2)</f>
        <v>0</v>
      </c>
      <c r="I274" s="128" t="s">
        <v>17</v>
      </c>
      <c r="J274" s="129">
        <f>ROUND(F274*1.2,2)</f>
        <v>0</v>
      </c>
    </row>
  </sheetData>
  <conditionalFormatting sqref="J27 G27:H27 J188 G188:H191 G265:H266 G268:H271 G108:H108 G219:H221 H222 G169:H169 G171:H171 G170 G172 G174 G177:H177 G179:H181 J198:J217 J263 G198:H217 G261:H263 G245:H259 J245:J260 J124:J130 G124:H130 J219:J239 G223:H239 G196:J196 G193:H195">
    <cfRule type="expression" dxfId="206" priority="183">
      <formula>AND(NOT(ISBLANK(G27)),G27=0)</formula>
    </cfRule>
  </conditionalFormatting>
  <conditionalFormatting sqref="F244:F259 F220:F239">
    <cfRule type="expression" dxfId="205" priority="182">
      <formula>AND(NOT(ISBLANK(D220)),ISBLANK(F220))</formula>
    </cfRule>
  </conditionalFormatting>
  <conditionalFormatting sqref="G22:J24 C1:J2 H3:J3 D3:D4 D7 D9 G4:J9 C3:C6 E3:F6">
    <cfRule type="expression" dxfId="204" priority="181">
      <formula>NOT(ISBLANK(C1))</formula>
    </cfRule>
  </conditionalFormatting>
  <conditionalFormatting sqref="J45 G45:H45">
    <cfRule type="expression" dxfId="203" priority="180">
      <formula>AND(NOT(ISBLANK(G45)),G45=0)</formula>
    </cfRule>
  </conditionalFormatting>
  <conditionalFormatting sqref="G48:H48 J48">
    <cfRule type="expression" dxfId="202" priority="179">
      <formula>AND(NOT(ISBLANK(G48)),G48=0)</formula>
    </cfRule>
  </conditionalFormatting>
  <conditionalFormatting sqref="G62">
    <cfRule type="expression" dxfId="201" priority="178">
      <formula>AND(NOT(ISBLANK(G62)),G62=0)</formula>
    </cfRule>
  </conditionalFormatting>
  <conditionalFormatting sqref="I62">
    <cfRule type="expression" dxfId="200" priority="177">
      <formula>AND(NOT(ISBLANK(I62)),I62=0)</formula>
    </cfRule>
  </conditionalFormatting>
  <conditionalFormatting sqref="J54">
    <cfRule type="expression" dxfId="199" priority="164">
      <formula>AND(NOT(ISBLANK(J54)),J54=0)</formula>
    </cfRule>
  </conditionalFormatting>
  <conditionalFormatting sqref="H61">
    <cfRule type="expression" dxfId="198" priority="176">
      <formula>AND(NOT(ISBLANK(H61)),H61=0)</formula>
    </cfRule>
  </conditionalFormatting>
  <conditionalFormatting sqref="J61">
    <cfRule type="expression" dxfId="197" priority="175">
      <formula>AND(NOT(ISBLANK(J61)),J61=0)</formula>
    </cfRule>
  </conditionalFormatting>
  <conditionalFormatting sqref="G46:H47">
    <cfRule type="expression" dxfId="196" priority="174">
      <formula>AND(NOT(ISBLANK(G46)),G46=0)</formula>
    </cfRule>
  </conditionalFormatting>
  <conditionalFormatting sqref="J46:J47">
    <cfRule type="expression" dxfId="195" priority="173">
      <formula>AND(NOT(ISBLANK(J46)),J46=0)</formula>
    </cfRule>
  </conditionalFormatting>
  <conditionalFormatting sqref="G50:H50 J50">
    <cfRule type="expression" dxfId="194" priority="172">
      <formula>AND(NOT(ISBLANK(G50)),G50=0)</formula>
    </cfRule>
  </conditionalFormatting>
  <conditionalFormatting sqref="G49:H49">
    <cfRule type="expression" dxfId="193" priority="171">
      <formula>AND(NOT(ISBLANK(G49)),G49=0)</formula>
    </cfRule>
  </conditionalFormatting>
  <conditionalFormatting sqref="J49">
    <cfRule type="expression" dxfId="192" priority="170">
      <formula>AND(NOT(ISBLANK(J49)),J49=0)</formula>
    </cfRule>
  </conditionalFormatting>
  <conditionalFormatting sqref="G53:H53 J53">
    <cfRule type="expression" dxfId="191" priority="169">
      <formula>AND(NOT(ISBLANK(G53)),G53=0)</formula>
    </cfRule>
  </conditionalFormatting>
  <conditionalFormatting sqref="G51:H51">
    <cfRule type="expression" dxfId="190" priority="168">
      <formula>AND(NOT(ISBLANK(G51)),G51=0)</formula>
    </cfRule>
  </conditionalFormatting>
  <conditionalFormatting sqref="J51">
    <cfRule type="expression" dxfId="189" priority="167">
      <formula>AND(NOT(ISBLANK(J51)),J51=0)</formula>
    </cfRule>
  </conditionalFormatting>
  <conditionalFormatting sqref="G55:H55 J55">
    <cfRule type="expression" dxfId="188" priority="166">
      <formula>AND(NOT(ISBLANK(G55)),G55=0)</formula>
    </cfRule>
  </conditionalFormatting>
  <conditionalFormatting sqref="G54:H54">
    <cfRule type="expression" dxfId="187" priority="165">
      <formula>AND(NOT(ISBLANK(G54)),G54=0)</formula>
    </cfRule>
  </conditionalFormatting>
  <conditionalFormatting sqref="J98 G98:H98">
    <cfRule type="expression" dxfId="186" priority="163">
      <formula>AND(NOT(ISBLANK(G98)),G98=0)</formula>
    </cfRule>
  </conditionalFormatting>
  <conditionalFormatting sqref="G100:H100 J100">
    <cfRule type="expression" dxfId="185" priority="162">
      <formula>AND(NOT(ISBLANK(G100)),G100=0)</formula>
    </cfRule>
  </conditionalFormatting>
  <conditionalFormatting sqref="G110">
    <cfRule type="expression" dxfId="184" priority="161">
      <formula>AND(NOT(ISBLANK(G110)),G110=0)</formula>
    </cfRule>
  </conditionalFormatting>
  <conditionalFormatting sqref="I110">
    <cfRule type="expression" dxfId="183" priority="160">
      <formula>AND(NOT(ISBLANK(I110)),I110=0)</formula>
    </cfRule>
  </conditionalFormatting>
  <conditionalFormatting sqref="J105">
    <cfRule type="expression" dxfId="182" priority="147">
      <formula>AND(NOT(ISBLANK(J105)),J105=0)</formula>
    </cfRule>
  </conditionalFormatting>
  <conditionalFormatting sqref="H109">
    <cfRule type="expression" dxfId="181" priority="159">
      <formula>AND(NOT(ISBLANK(H109)),H109=0)</formula>
    </cfRule>
  </conditionalFormatting>
  <conditionalFormatting sqref="J109">
    <cfRule type="expression" dxfId="180" priority="158">
      <formula>AND(NOT(ISBLANK(J109)),J109=0)</formula>
    </cfRule>
  </conditionalFormatting>
  <conditionalFormatting sqref="G99:H99">
    <cfRule type="expression" dxfId="179" priority="157">
      <formula>AND(NOT(ISBLANK(G99)),G99=0)</formula>
    </cfRule>
  </conditionalFormatting>
  <conditionalFormatting sqref="J99">
    <cfRule type="expression" dxfId="178" priority="156">
      <formula>AND(NOT(ISBLANK(J99)),J99=0)</formula>
    </cfRule>
  </conditionalFormatting>
  <conditionalFormatting sqref="G102:H102 J102">
    <cfRule type="expression" dxfId="177" priority="155">
      <formula>AND(NOT(ISBLANK(G102)),G102=0)</formula>
    </cfRule>
  </conditionalFormatting>
  <conditionalFormatting sqref="G101:H101">
    <cfRule type="expression" dxfId="176" priority="154">
      <formula>AND(NOT(ISBLANK(G101)),G101=0)</formula>
    </cfRule>
  </conditionalFormatting>
  <conditionalFormatting sqref="J101">
    <cfRule type="expression" dxfId="175" priority="153">
      <formula>AND(NOT(ISBLANK(J101)),J101=0)</formula>
    </cfRule>
  </conditionalFormatting>
  <conditionalFormatting sqref="G104:H104 J104">
    <cfRule type="expression" dxfId="174" priority="152">
      <formula>AND(NOT(ISBLANK(G104)),G104=0)</formula>
    </cfRule>
  </conditionalFormatting>
  <conditionalFormatting sqref="G103:H103">
    <cfRule type="expression" dxfId="173" priority="151">
      <formula>AND(NOT(ISBLANK(G103)),G103=0)</formula>
    </cfRule>
  </conditionalFormatting>
  <conditionalFormatting sqref="J103">
    <cfRule type="expression" dxfId="172" priority="150">
      <formula>AND(NOT(ISBLANK(J103)),J103=0)</formula>
    </cfRule>
  </conditionalFormatting>
  <conditionalFormatting sqref="G106:H106 J106">
    <cfRule type="expression" dxfId="171" priority="149">
      <formula>AND(NOT(ISBLANK(G106)),G106=0)</formula>
    </cfRule>
  </conditionalFormatting>
  <conditionalFormatting sqref="G105:H105">
    <cfRule type="expression" dxfId="170" priority="148">
      <formula>AND(NOT(ISBLANK(G105)),G105=0)</formula>
    </cfRule>
  </conditionalFormatting>
  <conditionalFormatting sqref="J66 G66:H66">
    <cfRule type="expression" dxfId="169" priority="146">
      <formula>AND(NOT(ISBLANK(G66)),G66=0)</formula>
    </cfRule>
  </conditionalFormatting>
  <conditionalFormatting sqref="G69:H69 J69">
    <cfRule type="expression" dxfId="168" priority="145">
      <formula>AND(NOT(ISBLANK(G69)),G69=0)</formula>
    </cfRule>
  </conditionalFormatting>
  <conditionalFormatting sqref="G78">
    <cfRule type="expression" dxfId="167" priority="144">
      <formula>AND(NOT(ISBLANK(G78)),G78=0)</formula>
    </cfRule>
  </conditionalFormatting>
  <conditionalFormatting sqref="I78">
    <cfRule type="expression" dxfId="166" priority="143">
      <formula>AND(NOT(ISBLANK(I78)),I78=0)</formula>
    </cfRule>
  </conditionalFormatting>
  <conditionalFormatting sqref="H77">
    <cfRule type="expression" dxfId="165" priority="142">
      <formula>AND(NOT(ISBLANK(H77)),H77=0)</formula>
    </cfRule>
  </conditionalFormatting>
  <conditionalFormatting sqref="J77">
    <cfRule type="expression" dxfId="164" priority="141">
      <formula>AND(NOT(ISBLANK(J77)),J77=0)</formula>
    </cfRule>
  </conditionalFormatting>
  <conditionalFormatting sqref="G67:H67">
    <cfRule type="expression" dxfId="163" priority="140">
      <formula>AND(NOT(ISBLANK(G67)),G67=0)</formula>
    </cfRule>
  </conditionalFormatting>
  <conditionalFormatting sqref="J67">
    <cfRule type="expression" dxfId="162" priority="139">
      <formula>AND(NOT(ISBLANK(J67)),J67=0)</formula>
    </cfRule>
  </conditionalFormatting>
  <conditionalFormatting sqref="G71:H71 J71">
    <cfRule type="expression" dxfId="161" priority="138">
      <formula>AND(NOT(ISBLANK(G71)),G71=0)</formula>
    </cfRule>
  </conditionalFormatting>
  <conditionalFormatting sqref="G70:H70">
    <cfRule type="expression" dxfId="160" priority="137">
      <formula>AND(NOT(ISBLANK(G70)),G70=0)</formula>
    </cfRule>
  </conditionalFormatting>
  <conditionalFormatting sqref="J70">
    <cfRule type="expression" dxfId="159" priority="136">
      <formula>AND(NOT(ISBLANK(J70)),J70=0)</formula>
    </cfRule>
  </conditionalFormatting>
  <conditionalFormatting sqref="J82 G82:H82">
    <cfRule type="expression" dxfId="158" priority="135">
      <formula>AND(NOT(ISBLANK(G82)),G82=0)</formula>
    </cfRule>
  </conditionalFormatting>
  <conditionalFormatting sqref="G84:H84 J84">
    <cfRule type="expression" dxfId="157" priority="134">
      <formula>AND(NOT(ISBLANK(G84)),G84=0)</formula>
    </cfRule>
  </conditionalFormatting>
  <conditionalFormatting sqref="G94">
    <cfRule type="expression" dxfId="156" priority="133">
      <formula>AND(NOT(ISBLANK(G94)),G94=0)</formula>
    </cfRule>
  </conditionalFormatting>
  <conditionalFormatting sqref="I94">
    <cfRule type="expression" dxfId="155" priority="132">
      <formula>AND(NOT(ISBLANK(I94)),I94=0)</formula>
    </cfRule>
  </conditionalFormatting>
  <conditionalFormatting sqref="J89">
    <cfRule type="expression" dxfId="154" priority="119">
      <formula>AND(NOT(ISBLANK(J89)),J89=0)</formula>
    </cfRule>
  </conditionalFormatting>
  <conditionalFormatting sqref="H93">
    <cfRule type="expression" dxfId="153" priority="131">
      <formula>AND(NOT(ISBLANK(H93)),H93=0)</formula>
    </cfRule>
  </conditionalFormatting>
  <conditionalFormatting sqref="J93">
    <cfRule type="expression" dxfId="152" priority="130">
      <formula>AND(NOT(ISBLANK(J93)),J93=0)</formula>
    </cfRule>
  </conditionalFormatting>
  <conditionalFormatting sqref="G83:H83">
    <cfRule type="expression" dxfId="151" priority="129">
      <formula>AND(NOT(ISBLANK(G83)),G83=0)</formula>
    </cfRule>
  </conditionalFormatting>
  <conditionalFormatting sqref="J83">
    <cfRule type="expression" dxfId="150" priority="128">
      <formula>AND(NOT(ISBLANK(J83)),J83=0)</formula>
    </cfRule>
  </conditionalFormatting>
  <conditionalFormatting sqref="G86:H86 J86">
    <cfRule type="expression" dxfId="149" priority="127">
      <formula>AND(NOT(ISBLANK(G86)),G86=0)</formula>
    </cfRule>
  </conditionalFormatting>
  <conditionalFormatting sqref="G85:H85">
    <cfRule type="expression" dxfId="148" priority="126">
      <formula>AND(NOT(ISBLANK(G85)),G85=0)</formula>
    </cfRule>
  </conditionalFormatting>
  <conditionalFormatting sqref="J85">
    <cfRule type="expression" dxfId="147" priority="125">
      <formula>AND(NOT(ISBLANK(J85)),J85=0)</formula>
    </cfRule>
  </conditionalFormatting>
  <conditionalFormatting sqref="G88:H88 J88">
    <cfRule type="expression" dxfId="146" priority="124">
      <formula>AND(NOT(ISBLANK(G88)),G88=0)</formula>
    </cfRule>
  </conditionalFormatting>
  <conditionalFormatting sqref="G87:H87">
    <cfRule type="expression" dxfId="145" priority="123">
      <formula>AND(NOT(ISBLANK(G87)),G87=0)</formula>
    </cfRule>
  </conditionalFormatting>
  <conditionalFormatting sqref="J87">
    <cfRule type="expression" dxfId="144" priority="122">
      <formula>AND(NOT(ISBLANK(J87)),J87=0)</formula>
    </cfRule>
  </conditionalFormatting>
  <conditionalFormatting sqref="G90:H90 J90">
    <cfRule type="expression" dxfId="143" priority="121">
      <formula>AND(NOT(ISBLANK(G90)),G90=0)</formula>
    </cfRule>
  </conditionalFormatting>
  <conditionalFormatting sqref="G89:H89">
    <cfRule type="expression" dxfId="142" priority="120">
      <formula>AND(NOT(ISBLANK(G89)),G89=0)</formula>
    </cfRule>
  </conditionalFormatting>
  <conditionalFormatting sqref="J271 J190:J191 J193:J195">
    <cfRule type="expression" dxfId="141" priority="118">
      <formula>AND(NOT(ISBLANK(J190)),J190=0)</formula>
    </cfRule>
  </conditionalFormatting>
  <conditionalFormatting sqref="G205:H206 H264 G260 G272 I261">
    <cfRule type="expression" dxfId="140" priority="117">
      <formula>AND(NOT(ISBLANK(G205)),G205=0)</formula>
    </cfRule>
  </conditionalFormatting>
  <conditionalFormatting sqref="G244">
    <cfRule type="cellIs" dxfId="139" priority="116" operator="equal">
      <formula>0</formula>
    </cfRule>
  </conditionalFormatting>
  <conditionalFormatting sqref="I244">
    <cfRule type="cellIs" dxfId="138" priority="115" operator="greaterThan">
      <formula>0.1</formula>
    </cfRule>
  </conditionalFormatting>
  <conditionalFormatting sqref="J192 G192:H192">
    <cfRule type="expression" dxfId="137" priority="114">
      <formula>AND(NOT(ISBLANK(G192)),G192=0)</formula>
    </cfRule>
  </conditionalFormatting>
  <conditionalFormatting sqref="G267:H267">
    <cfRule type="expression" dxfId="136" priority="111">
      <formula>AND(NOT(ISBLANK(G267)),G267=0)</formula>
    </cfRule>
  </conditionalFormatting>
  <conditionalFormatting sqref="I260">
    <cfRule type="expression" dxfId="135" priority="113">
      <formula>AND(NOT(ISBLANK(I260)),I260=0)</formula>
    </cfRule>
  </conditionalFormatting>
  <conditionalFormatting sqref="I272">
    <cfRule type="expression" dxfId="134" priority="112">
      <formula>AND(NOT(ISBLANK(I272)),I272=0)</formula>
    </cfRule>
  </conditionalFormatting>
  <conditionalFormatting sqref="J187 G187:H187">
    <cfRule type="expression" dxfId="133" priority="110">
      <formula>AND(NOT(ISBLANK(G187)),G187=0)</formula>
    </cfRule>
  </conditionalFormatting>
  <conditionalFormatting sqref="J242">
    <cfRule type="expression" dxfId="132" priority="109">
      <formula>AND(NOT(ISBLANK(J242)),J242=0)</formula>
    </cfRule>
  </conditionalFormatting>
  <conditionalFormatting sqref="F242">
    <cfRule type="expression" dxfId="131" priority="108">
      <formula>AND(NOT(ISBLANK(D242)),ISBLANK(F242))</formula>
    </cfRule>
  </conditionalFormatting>
  <conditionalFormatting sqref="G242:H242">
    <cfRule type="expression" dxfId="130" priority="107">
      <formula>AND(NOT(ISBLANK(G242)),G242=0)</formula>
    </cfRule>
  </conditionalFormatting>
  <conditionalFormatting sqref="J240 G240:H240">
    <cfRule type="expression" dxfId="129" priority="106">
      <formula>AND(NOT(ISBLANK(G240)),G240=0)</formula>
    </cfRule>
  </conditionalFormatting>
  <conditionalFormatting sqref="F241">
    <cfRule type="expression" dxfId="128" priority="104">
      <formula>AND(NOT(ISBLANK(D241)),ISBLANK(F241))</formula>
    </cfRule>
  </conditionalFormatting>
  <conditionalFormatting sqref="J241 G241:H241">
    <cfRule type="expression" dxfId="127" priority="105">
      <formula>AND(NOT(ISBLANK(G241)),G241=0)</formula>
    </cfRule>
  </conditionalFormatting>
  <conditionalFormatting sqref="J243 G243:H243">
    <cfRule type="expression" dxfId="126" priority="103">
      <formula>AND(NOT(ISBLANK(G243)),G243=0)</formula>
    </cfRule>
  </conditionalFormatting>
  <conditionalFormatting sqref="F243">
    <cfRule type="expression" dxfId="125" priority="102">
      <formula>AND(NOT(ISBLANK(D243)),ISBLANK(F243))</formula>
    </cfRule>
  </conditionalFormatting>
  <conditionalFormatting sqref="H144 J138 G138:H138 G140:H140 J140 J143:J144 J147:J151 G148:H148 J134 J153 J169 J171 J177 J179:J180">
    <cfRule type="expression" dxfId="124" priority="101">
      <formula>AND(NOT(ISBLANK(#REF!)),#REF!=0)</formula>
    </cfRule>
  </conditionalFormatting>
  <conditionalFormatting sqref="G149:H151">
    <cfRule type="expression" dxfId="123" priority="100">
      <formula>AND(NOT(ISBLANK(G149)),G149=0)</formula>
    </cfRule>
  </conditionalFormatting>
  <conditionalFormatting sqref="G147:H147">
    <cfRule type="expression" dxfId="122" priority="99">
      <formula>AND(NOT(ISBLANK(G147)),G147=0)</formula>
    </cfRule>
  </conditionalFormatting>
  <conditionalFormatting sqref="G146:H146">
    <cfRule type="expression" dxfId="121" priority="98">
      <formula>AND(NOT(ISBLANK(G146)),G146=0)</formula>
    </cfRule>
  </conditionalFormatting>
  <conditionalFormatting sqref="G145:H146">
    <cfRule type="expression" dxfId="120" priority="97">
      <formula>AND(NOT(ISBLANK(G145)),G145=0)</formula>
    </cfRule>
  </conditionalFormatting>
  <conditionalFormatting sqref="G141:H142">
    <cfRule type="expression" dxfId="119" priority="96">
      <formula>AND(NOT(ISBLANK(G141)),G141=0)</formula>
    </cfRule>
  </conditionalFormatting>
  <conditionalFormatting sqref="G143:H143">
    <cfRule type="expression" dxfId="118" priority="95">
      <formula>AND(NOT(ISBLANK(G143)),G143=0)</formula>
    </cfRule>
  </conditionalFormatting>
  <conditionalFormatting sqref="G142:H142">
    <cfRule type="expression" dxfId="117" priority="94">
      <formula>AND(NOT(ISBLANK(G142)),G142=0)</formula>
    </cfRule>
  </conditionalFormatting>
  <conditionalFormatting sqref="H152">
    <cfRule type="expression" dxfId="116" priority="93">
      <formula>AND(NOT(ISBLANK(H152)),H152=0)</formula>
    </cfRule>
  </conditionalFormatting>
  <conditionalFormatting sqref="G153">
    <cfRule type="expression" dxfId="115" priority="92">
      <formula>AND(NOT(ISBLANK(G153)),G153=0)</formula>
    </cfRule>
  </conditionalFormatting>
  <conditionalFormatting sqref="J114 G114:H114">
    <cfRule type="expression" dxfId="114" priority="91">
      <formula>AND(NOT(ISBLANK(#REF!)),#REF!=0)</formula>
    </cfRule>
  </conditionalFormatting>
  <conditionalFormatting sqref="G118:H118">
    <cfRule type="expression" dxfId="113" priority="90">
      <formula>AND(NOT(ISBLANK(G118)),G118=0)</formula>
    </cfRule>
  </conditionalFormatting>
  <conditionalFormatting sqref="G134">
    <cfRule type="expression" dxfId="112" priority="88">
      <formula>AND(NOT(ISBLANK(G134)),G134=0)</formula>
    </cfRule>
  </conditionalFormatting>
  <conditionalFormatting sqref="H133">
    <cfRule type="expression" dxfId="111" priority="89">
      <formula>AND(NOT(ISBLANK(H133)),H133=0)</formula>
    </cfRule>
  </conditionalFormatting>
  <conditionalFormatting sqref="G68:H68">
    <cfRule type="expression" dxfId="110" priority="87">
      <formula>AND(NOT(ISBLANK(G68)),G68=0)</formula>
    </cfRule>
  </conditionalFormatting>
  <conditionalFormatting sqref="J68">
    <cfRule type="expression" dxfId="109" priority="86">
      <formula>AND(NOT(ISBLANK(J68)),J68=0)</formula>
    </cfRule>
  </conditionalFormatting>
  <conditionalFormatting sqref="G52:H52">
    <cfRule type="expression" dxfId="108" priority="85">
      <formula>AND(NOT(ISBLANK(G52)),G52=0)</formula>
    </cfRule>
  </conditionalFormatting>
  <conditionalFormatting sqref="J52">
    <cfRule type="expression" dxfId="107" priority="84">
      <formula>AND(NOT(ISBLANK(J52)),J52=0)</formula>
    </cfRule>
  </conditionalFormatting>
  <conditionalFormatting sqref="J56 J107:J108 J59:J60">
    <cfRule type="expression" dxfId="106" priority="83">
      <formula>AND(NOT(ISBLANK(#REF!)),#REF!=0)</formula>
    </cfRule>
  </conditionalFormatting>
  <conditionalFormatting sqref="G56:H56">
    <cfRule type="expression" dxfId="105" priority="82">
      <formula>AND(NOT(ISBLANK(#REF!)),#REF!=0)</formula>
    </cfRule>
  </conditionalFormatting>
  <conditionalFormatting sqref="G59:H60">
    <cfRule type="expression" dxfId="104" priority="81">
      <formula>AND(NOT(ISBLANK(G59)),G59=0)</formula>
    </cfRule>
  </conditionalFormatting>
  <conditionalFormatting sqref="J72 J75:J76">
    <cfRule type="expression" dxfId="103" priority="80">
      <formula>AND(NOT(ISBLANK(#REF!)),#REF!=0)</formula>
    </cfRule>
  </conditionalFormatting>
  <conditionalFormatting sqref="G72:H72">
    <cfRule type="expression" dxfId="102" priority="79">
      <formula>AND(NOT(ISBLANK(#REF!)),#REF!=0)</formula>
    </cfRule>
  </conditionalFormatting>
  <conditionalFormatting sqref="G75:H76">
    <cfRule type="expression" dxfId="101" priority="78">
      <formula>AND(NOT(ISBLANK(G75)),G75=0)</formula>
    </cfRule>
  </conditionalFormatting>
  <conditionalFormatting sqref="J91:J92">
    <cfRule type="expression" dxfId="100" priority="77">
      <formula>AND(NOT(ISBLANK(#REF!)),#REF!=0)</formula>
    </cfRule>
  </conditionalFormatting>
  <conditionalFormatting sqref="G91:H91">
    <cfRule type="expression" dxfId="99" priority="76">
      <formula>AND(NOT(ISBLANK(#REF!)),#REF!=0)</formula>
    </cfRule>
  </conditionalFormatting>
  <conditionalFormatting sqref="G92:H92">
    <cfRule type="expression" dxfId="98" priority="75">
      <formula>AND(NOT(ISBLANK(G92)),G92=0)</formula>
    </cfRule>
  </conditionalFormatting>
  <conditionalFormatting sqref="G107:H107">
    <cfRule type="expression" dxfId="97" priority="74">
      <formula>AND(NOT(ISBLANK(#REF!)),#REF!=0)</formula>
    </cfRule>
  </conditionalFormatting>
  <conditionalFormatting sqref="J116:J118">
    <cfRule type="expression" dxfId="96" priority="73">
      <formula>AND(NOT(ISBLANK(#REF!)),#REF!=0)</formula>
    </cfRule>
  </conditionalFormatting>
  <conditionalFormatting sqref="G116:H116">
    <cfRule type="expression" dxfId="95" priority="72">
      <formula>AND(NOT(ISBLANK(G116)),G116=0)</formula>
    </cfRule>
  </conditionalFormatting>
  <conditionalFormatting sqref="G117:H117">
    <cfRule type="expression" dxfId="94" priority="71">
      <formula>AND(NOT(ISBLANK(G117)),G117=0)</formula>
    </cfRule>
  </conditionalFormatting>
  <conditionalFormatting sqref="G119:H119">
    <cfRule type="expression" dxfId="93" priority="70">
      <formula>AND(NOT(ISBLANK(G119)),G119=0)</formula>
    </cfRule>
  </conditionalFormatting>
  <conditionalFormatting sqref="G132:H132">
    <cfRule type="expression" dxfId="92" priority="69">
      <formula>AND(NOT(ISBLANK(G132)),G132=0)</formula>
    </cfRule>
  </conditionalFormatting>
  <conditionalFormatting sqref="J131:J132">
    <cfRule type="expression" dxfId="91" priority="68">
      <formula>AND(NOT(ISBLANK(#REF!)),#REF!=0)</formula>
    </cfRule>
  </conditionalFormatting>
  <conditionalFormatting sqref="G131:H131">
    <cfRule type="expression" dxfId="90" priority="67">
      <formula>AND(NOT(ISBLANK(#REF!)),#REF!=0)</formula>
    </cfRule>
  </conditionalFormatting>
  <conditionalFormatting sqref="D3">
    <cfRule type="expression" dxfId="89" priority="66">
      <formula>NOT(ISBLANK(D3))</formula>
    </cfRule>
  </conditionalFormatting>
  <conditionalFormatting sqref="D4">
    <cfRule type="expression" dxfId="88" priority="65">
      <formula>NOT(ISBLANK(D4))</formula>
    </cfRule>
  </conditionalFormatting>
  <conditionalFormatting sqref="J119">
    <cfRule type="expression" dxfId="87" priority="64">
      <formula>AND(NOT(ISBLANK(#REF!)),#REF!=0)</formula>
    </cfRule>
  </conditionalFormatting>
  <conditionalFormatting sqref="G121:H121">
    <cfRule type="expression" dxfId="86" priority="63">
      <formula>AND(NOT(ISBLANK(G121)),G121=0)</formula>
    </cfRule>
  </conditionalFormatting>
  <conditionalFormatting sqref="G3">
    <cfRule type="expression" dxfId="85" priority="62">
      <formula>NOT(ISBLANK(G3))</formula>
    </cfRule>
  </conditionalFormatting>
  <conditionalFormatting sqref="D4">
    <cfRule type="expression" dxfId="84" priority="61">
      <formula>NOT(ISBLANK(D4))</formula>
    </cfRule>
  </conditionalFormatting>
  <conditionalFormatting sqref="D7">
    <cfRule type="expression" dxfId="83" priority="60">
      <formula>NOT(ISBLANK(D7))</formula>
    </cfRule>
  </conditionalFormatting>
  <conditionalFormatting sqref="G197:H197 J197">
    <cfRule type="expression" dxfId="82" priority="59">
      <formula>AND(NOT(ISBLANK(G197)),G197=0)</formula>
    </cfRule>
  </conditionalFormatting>
  <conditionalFormatting sqref="B197">
    <cfRule type="duplicateValues" dxfId="81" priority="58"/>
  </conditionalFormatting>
  <conditionalFormatting sqref="J141:J142">
    <cfRule type="expression" dxfId="80" priority="57">
      <formula>AND(NOT(ISBLANK(#REF!)),#REF!=0)</formula>
    </cfRule>
  </conditionalFormatting>
  <conditionalFormatting sqref="G157:H157 J157">
    <cfRule type="expression" dxfId="79" priority="56">
      <formula>AND(NOT(ISBLANK(#REF!)),#REF!=0)</formula>
    </cfRule>
  </conditionalFormatting>
  <conditionalFormatting sqref="J183">
    <cfRule type="expression" dxfId="78" priority="55">
      <formula>AND(NOT(ISBLANK(#REF!)),#REF!=0)</formula>
    </cfRule>
  </conditionalFormatting>
  <conditionalFormatting sqref="H182">
    <cfRule type="expression" dxfId="77" priority="54">
      <formula>AND(NOT(ISBLANK(H182)),H182=0)</formula>
    </cfRule>
  </conditionalFormatting>
  <conditionalFormatting sqref="G183">
    <cfRule type="expression" dxfId="76" priority="53">
      <formula>AND(NOT(ISBLANK(G183)),G183=0)</formula>
    </cfRule>
  </conditionalFormatting>
  <conditionalFormatting sqref="J152">
    <cfRule type="expression" dxfId="75" priority="48">
      <formula>AND(NOT(ISBLANK(J152)),J152=0)</formula>
    </cfRule>
  </conditionalFormatting>
  <conditionalFormatting sqref="I153">
    <cfRule type="expression" dxfId="74" priority="45">
      <formula>AND(NOT(ISBLANK(I153)),I153=0)</formula>
    </cfRule>
  </conditionalFormatting>
  <conditionalFormatting sqref="J145:J146">
    <cfRule type="expression" dxfId="73" priority="52">
      <formula>AND(NOT(ISBLANK(#REF!)),#REF!=0)</formula>
    </cfRule>
  </conditionalFormatting>
  <conditionalFormatting sqref="J163:J166">
    <cfRule type="expression" dxfId="72" priority="51">
      <formula>AND(NOT(ISBLANK(#REF!)),#REF!=0)</formula>
    </cfRule>
  </conditionalFormatting>
  <conditionalFormatting sqref="G160:H166">
    <cfRule type="expression" dxfId="71" priority="50">
      <formula>AND(NOT(ISBLANK(G160)),G160=0)</formula>
    </cfRule>
  </conditionalFormatting>
  <conditionalFormatting sqref="J133">
    <cfRule type="expression" dxfId="70" priority="49">
      <formula>AND(NOT(ISBLANK(J133)),J133=0)</formula>
    </cfRule>
  </conditionalFormatting>
  <conditionalFormatting sqref="J182">
    <cfRule type="expression" dxfId="69" priority="47">
      <formula>AND(NOT(ISBLANK(J182)),J182=0)</formula>
    </cfRule>
  </conditionalFormatting>
  <conditionalFormatting sqref="I134">
    <cfRule type="expression" dxfId="68" priority="46">
      <formula>AND(NOT(ISBLANK(I134)),I134=0)</formula>
    </cfRule>
  </conditionalFormatting>
  <conditionalFormatting sqref="I183">
    <cfRule type="expression" dxfId="67" priority="44">
      <formula>AND(NOT(ISBLANK(I183)),I183=0)</formula>
    </cfRule>
  </conditionalFormatting>
  <conditionalFormatting sqref="I158">
    <cfRule type="cellIs" dxfId="66" priority="43" operator="equal">
      <formula>0</formula>
    </cfRule>
  </conditionalFormatting>
  <conditionalFormatting sqref="I167">
    <cfRule type="cellIs" dxfId="65" priority="42" operator="equal">
      <formula>0</formula>
    </cfRule>
  </conditionalFormatting>
  <conditionalFormatting sqref="J168">
    <cfRule type="expression" dxfId="64" priority="41">
      <formula>AND(NOT(ISBLANK(#REF!)),#REF!=0)</formula>
    </cfRule>
  </conditionalFormatting>
  <conditionalFormatting sqref="G168:H168">
    <cfRule type="expression" dxfId="63" priority="40">
      <formula>AND(NOT(ISBLANK(G168)),G168=0)</formula>
    </cfRule>
  </conditionalFormatting>
  <conditionalFormatting sqref="J173">
    <cfRule type="expression" dxfId="62" priority="31">
      <formula>AND(NOT(ISBLANK(#REF!)),#REF!=0)</formula>
    </cfRule>
  </conditionalFormatting>
  <conditionalFormatting sqref="I163:I166">
    <cfRule type="expression" dxfId="61" priority="39">
      <formula>AND(NOT(ISBLANK(I163)),I163=0)</formula>
    </cfRule>
  </conditionalFormatting>
  <conditionalFormatting sqref="H170">
    <cfRule type="expression" dxfId="60" priority="38">
      <formula>AND(NOT(ISBLANK(H170)),H170=0)</formula>
    </cfRule>
  </conditionalFormatting>
  <conditionalFormatting sqref="H180">
    <cfRule type="expression" dxfId="59" priority="35">
      <formula>AND(NOT(ISBLANK(H180)),H180=0)</formula>
    </cfRule>
  </conditionalFormatting>
  <conditionalFormatting sqref="H172">
    <cfRule type="expression" dxfId="58" priority="37">
      <formula>AND(NOT(ISBLANK(H172)),H172=0)</formula>
    </cfRule>
  </conditionalFormatting>
  <conditionalFormatting sqref="H174">
    <cfRule type="expression" dxfId="57" priority="36">
      <formula>AND(NOT(ISBLANK(H174)),H174=0)</formula>
    </cfRule>
  </conditionalFormatting>
  <conditionalFormatting sqref="G175:H175">
    <cfRule type="expression" dxfId="56" priority="34">
      <formula>AND(NOT(ISBLANK(G175)),G175=0)</formula>
    </cfRule>
  </conditionalFormatting>
  <conditionalFormatting sqref="J175">
    <cfRule type="expression" dxfId="55" priority="33">
      <formula>AND(NOT(ISBLANK(#REF!)),#REF!=0)</formula>
    </cfRule>
  </conditionalFormatting>
  <conditionalFormatting sqref="G173:H173">
    <cfRule type="expression" dxfId="54" priority="32">
      <formula>AND(NOT(ISBLANK(G173)),G173=0)</formula>
    </cfRule>
  </conditionalFormatting>
  <conditionalFormatting sqref="G176">
    <cfRule type="expression" dxfId="53" priority="30">
      <formula>AND(NOT(ISBLANK(G176)),G176=0)</formula>
    </cfRule>
  </conditionalFormatting>
  <conditionalFormatting sqref="H176">
    <cfRule type="expression" dxfId="52" priority="29">
      <formula>AND(NOT(ISBLANK(H176)),H176=0)</formula>
    </cfRule>
  </conditionalFormatting>
  <conditionalFormatting sqref="G178">
    <cfRule type="expression" dxfId="51" priority="28">
      <formula>AND(NOT(ISBLANK(G178)),G178=0)</formula>
    </cfRule>
  </conditionalFormatting>
  <conditionalFormatting sqref="H178">
    <cfRule type="expression" dxfId="50" priority="27">
      <formula>AND(NOT(ISBLANK(H178)),H178=0)</formula>
    </cfRule>
  </conditionalFormatting>
  <conditionalFormatting sqref="D3">
    <cfRule type="expression" dxfId="49" priority="26">
      <formula>NOT(ISBLANK(D3))</formula>
    </cfRule>
  </conditionalFormatting>
  <conditionalFormatting sqref="D3">
    <cfRule type="expression" dxfId="48" priority="25">
      <formula>NOT(ISBLANK(D3))</formula>
    </cfRule>
  </conditionalFormatting>
  <conditionalFormatting sqref="G263:H263">
    <cfRule type="expression" dxfId="47" priority="24">
      <formula>AND(NOT(ISBLANK(G263)),G263=0)</formula>
    </cfRule>
  </conditionalFormatting>
  <conditionalFormatting sqref="I162">
    <cfRule type="expression" dxfId="46" priority="19">
      <formula>AND(NOT(ISBLANK(I162)),I162=0)</formula>
    </cfRule>
  </conditionalFormatting>
  <conditionalFormatting sqref="J40">
    <cfRule type="expression" dxfId="45" priority="23">
      <formula>AND(NOT(ISBLANK(#REF!)),#REF!=0)</formula>
    </cfRule>
  </conditionalFormatting>
  <conditionalFormatting sqref="J40">
    <cfRule type="expression" dxfId="44" priority="22">
      <formula>AND(NOT(ISBLANK(#REF!)),#REF!=0)</formula>
    </cfRule>
  </conditionalFormatting>
  <conditionalFormatting sqref="J123">
    <cfRule type="expression" dxfId="43" priority="21">
      <formula>AND(NOT(ISBLANK(J123)),J123=0)</formula>
    </cfRule>
  </conditionalFormatting>
  <conditionalFormatting sqref="J162">
    <cfRule type="expression" dxfId="42" priority="20">
      <formula>AND(NOT(ISBLANK(#REF!)),#REF!=0)</formula>
    </cfRule>
  </conditionalFormatting>
  <conditionalFormatting sqref="G122:H122">
    <cfRule type="expression" dxfId="41" priority="18">
      <formula>AND(NOT(ISBLANK(G122)),G122=0)</formula>
    </cfRule>
  </conditionalFormatting>
  <conditionalFormatting sqref="J122">
    <cfRule type="expression" dxfId="40" priority="17">
      <formula>AND(NOT(ISBLANK(#REF!)),#REF!=0)</formula>
    </cfRule>
  </conditionalFormatting>
  <conditionalFormatting sqref="I122">
    <cfRule type="expression" dxfId="39" priority="16">
      <formula>AND(NOT(ISBLANK(I122)),I122=0)</formula>
    </cfRule>
  </conditionalFormatting>
  <conditionalFormatting sqref="G39:H39">
    <cfRule type="expression" dxfId="38" priority="15">
      <formula>AND(NOT(ISBLANK(G39)),G39=0)</formula>
    </cfRule>
  </conditionalFormatting>
  <conditionalFormatting sqref="J39">
    <cfRule type="expression" dxfId="37" priority="14">
      <formula>AND(NOT(ISBLANK(#REF!)),#REF!=0)</formula>
    </cfRule>
  </conditionalFormatting>
  <conditionalFormatting sqref="I39">
    <cfRule type="expression" dxfId="36" priority="13">
      <formula>AND(NOT(ISBLANK(I39)),I39=0)</formula>
    </cfRule>
  </conditionalFormatting>
  <conditionalFormatting sqref="H218">
    <cfRule type="expression" dxfId="35" priority="12">
      <formula>AND(NOT(ISBLANK(H218)),H218=0)</formula>
    </cfRule>
  </conditionalFormatting>
  <conditionalFormatting sqref="J218">
    <cfRule type="expression" dxfId="34" priority="11">
      <formula>AND(NOT(ISBLANK(J218)),J218=0)</formula>
    </cfRule>
  </conditionalFormatting>
  <conditionalFormatting sqref="G159:H159">
    <cfRule type="expression" dxfId="33" priority="10">
      <formula>AND(NOT(ISBLANK(G159)),G159=0)</formula>
    </cfRule>
  </conditionalFormatting>
  <conditionalFormatting sqref="I159">
    <cfRule type="expression" dxfId="32" priority="8">
      <formula>AND(NOT(ISBLANK(I159)),I159=0)</formula>
    </cfRule>
  </conditionalFormatting>
  <conditionalFormatting sqref="J159">
    <cfRule type="expression" dxfId="31" priority="9">
      <formula>AND(NOT(ISBLANK(#REF!)),#REF!=0)</formula>
    </cfRule>
  </conditionalFormatting>
  <conditionalFormatting sqref="G30:H30">
    <cfRule type="expression" dxfId="30" priority="7">
      <formula>AND(NOT(ISBLANK(G30)),G30=0)</formula>
    </cfRule>
  </conditionalFormatting>
  <conditionalFormatting sqref="I30">
    <cfRule type="expression" dxfId="29" priority="5">
      <formula>AND(NOT(ISBLANK(I30)),I30=0)</formula>
    </cfRule>
  </conditionalFormatting>
  <conditionalFormatting sqref="J30">
    <cfRule type="expression" dxfId="28" priority="6">
      <formula>AND(NOT(ISBLANK(#REF!)),#REF!=0)</formula>
    </cfRule>
  </conditionalFormatting>
  <conditionalFormatting sqref="J57:J58">
    <cfRule type="expression" dxfId="27" priority="4">
      <formula>AND(NOT(ISBLANK(#REF!)),#REF!=0)</formula>
    </cfRule>
  </conditionalFormatting>
  <conditionalFormatting sqref="G57:H58">
    <cfRule type="expression" dxfId="26" priority="3">
      <formula>AND(NOT(ISBLANK(G57)),G57=0)</formula>
    </cfRule>
  </conditionalFormatting>
  <conditionalFormatting sqref="J73:J74">
    <cfRule type="expression" dxfId="25" priority="2">
      <formula>AND(NOT(ISBLANK(#REF!)),#REF!=0)</formula>
    </cfRule>
  </conditionalFormatting>
  <conditionalFormatting sqref="G73:H74">
    <cfRule type="expression" dxfId="24" priority="1">
      <formula>AND(NOT(ISBLANK(G73)),G73=0)</formula>
    </cfRule>
  </conditionalFormatting>
  <printOptions horizontalCentered="1"/>
  <pageMargins left="0.39370078740157483" right="0.23622047244094491" top="0.23622047244094491" bottom="0.39370078740157483" header="0.31496062992125984" footer="0.31496062992125984"/>
  <pageSetup paperSize="9" scale="70" fitToHeight="6" orientation="landscape" r:id="rId1"/>
  <rowBreaks count="11" manualBreakCount="11">
    <brk id="24" max="16383" man="1"/>
    <brk id="50" max="9" man="1"/>
    <brk id="64" max="9" man="1"/>
    <brk id="80" max="16383" man="1"/>
    <brk id="90" max="9" man="1"/>
    <brk id="112" max="16383" man="1"/>
    <brk id="136" max="16383" man="1"/>
    <brk id="155" max="16383" man="1"/>
    <brk id="185" max="16383" man="1"/>
    <brk id="219" max="16383" man="1"/>
    <brk id="260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Výkaz_výmer</vt:lpstr>
      <vt:lpstr>Výkaz_výmer!Oblasť_tlače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2020-09-08T05:21:53Z</dcterms:created>
  <dcterms:modified xsi:type="dcterms:W3CDTF">2022-06-09T13:35:16Z</dcterms:modified>
</cp:coreProperties>
</file>