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72" windowWidth="18936" windowHeight="9840" tabRatio="791" activeTab="3"/>
  </bookViews>
  <sheets>
    <sheet name="REKAP celok" sheetId="1" r:id="rId1"/>
    <sheet name="Rekap_SO_01" sheetId="2" r:id="rId2"/>
    <sheet name="VV_Zadanie_SO_01" sheetId="3" r:id="rId3"/>
    <sheet name="Kryci list_SO_02" sheetId="4" r:id="rId4"/>
    <sheet name="Rekapitulacia_SO_02" sheetId="5" r:id="rId5"/>
    <sheet name="VV_Zadanie_SO_02" sheetId="6" r:id="rId6"/>
  </sheets>
  <externalReferences>
    <externalReference r:id="rId9"/>
  </externalReferences>
  <definedNames>
    <definedName name="_xlfn.IFERROR" hidden="1">#NAME?</definedName>
    <definedName name="Excel_BuiltIn_Print_Area_2">#REF!</definedName>
    <definedName name="Excel_BuiltIn_Print_Area_3">'Kryci list_SO_02'!$A:$M</definedName>
    <definedName name="Excel_BuiltIn_Print_Area_4">'Rekapitulacia_SO_02'!$A:$F</definedName>
    <definedName name="Excel_BuiltIn_Print_Area_5">'VV_Zadanie_SO_02'!$A:$O</definedName>
    <definedName name="_xlnm.Print_Titles" localSheetId="4">'Rekapitulacia_SO_02'!$8:$10</definedName>
    <definedName name="_xlnm.Print_Titles" localSheetId="2">'VV_Zadanie_SO_01'!$9:$11</definedName>
    <definedName name="_xlnm.Print_Titles" localSheetId="5">'VV_Zadanie_SO_02'!$8:$10</definedName>
    <definedName name="_xlnm.Print_Area" localSheetId="3">'Kryci list_SO_02'!$A$1:$M$28</definedName>
    <definedName name="_xlnm.Print_Area" localSheetId="0">'REKAP celok'!$A$1:$M$76</definedName>
    <definedName name="_xlnm.Print_Area" localSheetId="1">'Rekap_SO_01'!$A$1:$M$62</definedName>
    <definedName name="_xlnm.Print_Area" localSheetId="4">'Rekapitulacia_SO_02'!$A:$G</definedName>
    <definedName name="_xlnm.Print_Area" localSheetId="2">'VV_Zadanie_SO_01'!$B$2:$K$372</definedName>
  </definedNames>
  <calcPr fullCalcOnLoad="1"/>
</workbook>
</file>

<file path=xl/comments3.xml><?xml version="1.0" encoding="utf-8"?>
<comments xmlns="http://schemas.openxmlformats.org/spreadsheetml/2006/main">
  <authors>
    <author>Marek_Tomko</author>
    <author>tomko</author>
  </authors>
  <commentList>
    <comment ref="D13" authorId="0">
      <text>
        <r>
          <rPr>
            <b/>
            <sz val="8"/>
            <rFont val="Tahoma"/>
            <family val="2"/>
          </rPr>
          <t>výruby, zemné práce a pod.</t>
        </r>
      </text>
    </comment>
    <comment ref="D357" authorId="1">
      <text>
        <r>
          <rPr>
            <sz val="8"/>
            <rFont val="Tahoma"/>
            <family val="2"/>
          </rPr>
          <t>OD NAS Z RASTISLAVOVEJ alebo z Bernatoviec
-Betka to vola vodorovne premiestnenie
-3,5 kubika na 1auto na 1 trasu
-1,36 Eura na km
teda jedno auto stale urobi dve jazdy tam aj spat a prenesie:
-3,5t max - napr:
-3,5 palety kobercoveho travnika *30m2 teda cca spolu 120m2 travneho koberca
-300 krikov (podla mareka o dost cmenej neviem kolko)
-10 stromov (8-12 velkych alebo 30 tuji)</t>
        </r>
      </text>
    </comment>
    <comment ref="N357" authorId="0">
      <text>
        <r>
          <rPr>
            <b/>
            <sz val="8"/>
            <rFont val="Tahoma"/>
            <family val="2"/>
          </rPr>
          <t>Marek_Tomko:</t>
        </r>
        <r>
          <rPr>
            <sz val="8"/>
            <rFont val="Tahoma"/>
            <family val="2"/>
          </rPr>
          <t xml:space="preserve">
km TAM aj SPAT
teda*2</t>
        </r>
      </text>
    </comment>
  </commentList>
</comments>
</file>

<file path=xl/sharedStrings.xml><?xml version="1.0" encoding="utf-8"?>
<sst xmlns="http://schemas.openxmlformats.org/spreadsheetml/2006/main" count="1892" uniqueCount="790">
  <si>
    <t>Plošná úprava terénu pri nerovnostiach ± 10 cm</t>
  </si>
  <si>
    <t>m</t>
  </si>
  <si>
    <t>Založenie záhonu s urovnaním, nalož.odpadu na dopr.prostriedok,odvoz do 20 km a zloženie – v hornine 1-2</t>
  </si>
  <si>
    <t>185 80 4312</t>
  </si>
  <si>
    <r>
      <t xml:space="preserve">Mulčovanie rastlín o hrúbke do 0,1 m v rovine </t>
    </r>
    <r>
      <rPr>
        <sz val="8"/>
        <color indexed="17"/>
        <rFont val="Arial"/>
        <family val="2"/>
      </rPr>
      <t>(stromy)</t>
    </r>
  </si>
  <si>
    <t>Trvalky</t>
  </si>
  <si>
    <r>
      <t>m</t>
    </r>
    <r>
      <rPr>
        <vertAlign val="superscript"/>
        <sz val="8"/>
        <rFont val="Arial"/>
        <family val="2"/>
      </rPr>
      <t>2</t>
    </r>
  </si>
  <si>
    <t>Presun hmôt pre sadové úpravy (vnútrostaveniskový)</t>
  </si>
  <si>
    <t>Uloženie záhonovej lišty</t>
  </si>
  <si>
    <t>kg</t>
  </si>
  <si>
    <t>Obrobenie pôdy frézovaním</t>
  </si>
  <si>
    <t>Prevzdušnenie trávnika bez pieskovania - do 20 km, s povysávaním</t>
  </si>
  <si>
    <t>Výsadba drevín s balom so zaliatím pri ø balu – do 200 mm</t>
  </si>
  <si>
    <t>Výsadba drevín s balom so zaliatím pri ø balu – do 300 mm</t>
  </si>
  <si>
    <t>Výsadba drevín s balom so zaliatím pri ø balu – do 400 mm</t>
  </si>
  <si>
    <t>Výsadba drevín s balom so zaliatím pri ø balu – do 500 mm</t>
  </si>
  <si>
    <t>Výsadba drevín s balom so zaliatím pri ø balu – do 600 mm</t>
  </si>
  <si>
    <t>Výsadba drevín s balom so zaliatím pri ø balu – do 800 mm</t>
  </si>
  <si>
    <t>Výsadba drevín s balom so zaliatím pri ø balu – do 1000 mm</t>
  </si>
  <si>
    <t>Chemické odburinenie trávnika – postrekom naširoko</t>
  </si>
  <si>
    <t>Uviazanie dreviny ku kolom</t>
  </si>
  <si>
    <t>h.</t>
  </si>
  <si>
    <t>bm</t>
  </si>
  <si>
    <t>Obalenie kmeňa stromčeka prírodnou jutovinou</t>
  </si>
  <si>
    <r>
      <t>Chránička kmeňa</t>
    </r>
    <r>
      <rPr>
        <sz val="8"/>
        <color indexed="17"/>
        <rFont val="Arial"/>
        <family val="2"/>
      </rPr>
      <t xml:space="preserve"> (proti mechanickému poškodeniu kosením)</t>
    </r>
  </si>
  <si>
    <r>
      <t>Popruh</t>
    </r>
    <r>
      <rPr>
        <sz val="8"/>
        <color indexed="17"/>
        <rFont val="Arial"/>
        <family val="2"/>
      </rPr>
      <t xml:space="preserve"> (uviazanie stromu ku kotveniu)</t>
    </r>
  </si>
  <si>
    <t>Voda pre zálievku rastlín</t>
  </si>
  <si>
    <t>Zhotovenie vrstvy z geotextílie, 1:5</t>
  </si>
  <si>
    <t>Uloženie zavlažovacej rúrky</t>
  </si>
  <si>
    <r>
      <t xml:space="preserve">Zavlažovanie- melioračné rúrky Flexi - Ø 80mm </t>
    </r>
    <r>
      <rPr>
        <sz val="8"/>
        <color indexed="17"/>
        <rFont val="Arial"/>
        <family val="2"/>
      </rPr>
      <t>(1ks na strom = 4m rúry)</t>
    </r>
  </si>
  <si>
    <t>Vodorovné premiestnenie</t>
  </si>
  <si>
    <t xml:space="preserve">               Hmotnosť</t>
  </si>
  <si>
    <t>M.j.</t>
  </si>
  <si>
    <t xml:space="preserve">                v tonách</t>
  </si>
  <si>
    <t>dodávka</t>
  </si>
  <si>
    <t>montáž</t>
  </si>
  <si>
    <t>ks</t>
  </si>
  <si>
    <t>Kód položky</t>
  </si>
  <si>
    <t>Popis položky</t>
  </si>
  <si>
    <t>Množstvo</t>
  </si>
  <si>
    <t>Náklady spolu v €</t>
  </si>
  <si>
    <t>∑</t>
  </si>
  <si>
    <t>Spolu s DPH 20% :</t>
  </si>
  <si>
    <t>MAT</t>
  </si>
  <si>
    <t>€</t>
  </si>
  <si>
    <t>Práce spolu:</t>
  </si>
  <si>
    <t>m³</t>
  </si>
  <si>
    <t>t</t>
  </si>
  <si>
    <t>m²</t>
  </si>
  <si>
    <t>hod.</t>
  </si>
  <si>
    <t>Kry</t>
  </si>
  <si>
    <t>Materiál spolu:</t>
  </si>
  <si>
    <t>Kosenie s príp.pohrabaním, nalož.na dopr.prostriedok, odvozom a so zložením – pre odberateľov – T (rovina )</t>
  </si>
  <si>
    <t>Príplatok za každých 1 000 m</t>
  </si>
  <si>
    <t>Založenie trávnika výsevom  s 1 pokosením,zaliatím (bez dovozu vody),naložením, odvozom odpadu  do 20 km a zloženie – v hornine 1-2</t>
  </si>
  <si>
    <t>Založenie trávnika drnovaním (mačinovaním)</t>
  </si>
  <si>
    <t>Výsadba stromov - ihlčnaté</t>
  </si>
  <si>
    <t xml:space="preserve">Osadenie kolov pri dĺžke do 3 m </t>
  </si>
  <si>
    <t>Mulčovanie rastlín o hrúbke do 0,1 m v rovine</t>
  </si>
  <si>
    <t xml:space="preserve">Cena: Papierový cenník - nezáma strana </t>
  </si>
  <si>
    <r>
      <t>Zemina pre 50%VP</t>
    </r>
    <r>
      <rPr>
        <sz val="8"/>
        <color indexed="17"/>
        <rFont val="Arial"/>
        <family val="2"/>
      </rPr>
      <t xml:space="preserve"> </t>
    </r>
  </si>
  <si>
    <t xml:space="preserve">Osadenie kolov pri dĺžke – do 2 m </t>
  </si>
  <si>
    <t>II. Sadové úpravy</t>
  </si>
  <si>
    <t>HZS 1</t>
  </si>
  <si>
    <t>Jednot. cena v €</t>
  </si>
  <si>
    <t>Uhrabanie</t>
  </si>
  <si>
    <t>l</t>
  </si>
  <si>
    <t>Pieskovanie</t>
  </si>
  <si>
    <t>Preosievaný piesko (kopaný) s dodávkou (vrstva 1 cm)</t>
  </si>
  <si>
    <t>Lontrel - selektívny herbicíd (1l / 1 ha)</t>
  </si>
  <si>
    <t>Starane - selektívny herbicíd ( 3l / 1ha)</t>
  </si>
  <si>
    <t>Trávne osivo (15g/m2 - polovičná dávka)</t>
  </si>
  <si>
    <r>
      <t>Voda pre zálievku rastlín</t>
    </r>
    <r>
      <rPr>
        <sz val="8"/>
        <color indexed="17"/>
        <rFont val="Arial"/>
        <family val="2"/>
      </rPr>
      <t xml:space="preserve"> (trávnik)</t>
    </r>
  </si>
  <si>
    <t>Obrobenie pôdy hrabaním 2x</t>
  </si>
  <si>
    <t>Obrobenie pôdy valcovaním 2x</t>
  </si>
  <si>
    <t xml:space="preserve">Výsadba stromov - listnaté </t>
  </si>
  <si>
    <t>Dosev trávnika (najskôr 2 týždne po chemickom odburinení) a prvá kosba po vzídení</t>
  </si>
  <si>
    <t xml:space="preserve">Valcovanie 2x </t>
  </si>
  <si>
    <t>Mulčovacia kôra / 80l</t>
  </si>
  <si>
    <t>Zemina pre doplnenie</t>
  </si>
  <si>
    <t>Trávne osivo (30g/m2 )</t>
  </si>
  <si>
    <t xml:space="preserve"> </t>
  </si>
  <si>
    <t>Popínavky</t>
  </si>
  <si>
    <t>km</t>
  </si>
  <si>
    <t>Hĺbenie jám bez VP – do 0,05 m3</t>
  </si>
  <si>
    <t>Hĺbenie jám s 50% VP – do 0,01 m3</t>
  </si>
  <si>
    <t>Hĺbenie jám s 50% VP – do 0,02 m3</t>
  </si>
  <si>
    <t>Hĺbenie jám s 50% VP – do 0,05 m3</t>
  </si>
  <si>
    <t>Hĺbenie jám s 50% VP – do 0,125 m3</t>
  </si>
  <si>
    <t>183 10 1216</t>
  </si>
  <si>
    <t>?</t>
  </si>
  <si>
    <t>Obrobenie pôdy prekopaním, hĺbky do 10 cm</t>
  </si>
  <si>
    <t>IHLIČNATÝ</t>
  </si>
  <si>
    <t>POPÍNAVKA</t>
  </si>
  <si>
    <t>TRVALKA</t>
  </si>
  <si>
    <t>20% DPH:</t>
  </si>
  <si>
    <t>Osadenie chráničky</t>
  </si>
  <si>
    <t>Drevené koly 2,5m Ø 5 cm  (kotvenie)</t>
  </si>
  <si>
    <t>Záslepka na zavlažovaciu rúru</t>
  </si>
  <si>
    <r>
      <t>m</t>
    </r>
    <r>
      <rPr>
        <sz val="8"/>
        <rFont val="Arial"/>
        <family val="2"/>
      </rPr>
      <t>²</t>
    </r>
  </si>
  <si>
    <r>
      <t>m</t>
    </r>
    <r>
      <rPr>
        <vertAlign val="superscript"/>
        <sz val="8"/>
        <color indexed="8"/>
        <rFont val="Arial"/>
        <family val="2"/>
      </rPr>
      <t>3</t>
    </r>
  </si>
  <si>
    <r>
      <t>m</t>
    </r>
    <r>
      <rPr>
        <vertAlign val="superscript"/>
        <sz val="8"/>
        <color indexed="8"/>
        <rFont val="Arial"/>
        <family val="2"/>
      </rPr>
      <t>2</t>
    </r>
  </si>
  <si>
    <r>
      <t>Hĺbenie jám s 50% VP – do 0,4 m</t>
    </r>
    <r>
      <rPr>
        <vertAlign val="superscript"/>
        <sz val="8"/>
        <color indexed="8"/>
        <rFont val="Arial"/>
        <family val="2"/>
      </rPr>
      <t>3</t>
    </r>
  </si>
  <si>
    <r>
      <t>Hĺbenie jám s 50% VP – do 0,01 m</t>
    </r>
    <r>
      <rPr>
        <vertAlign val="superscript"/>
        <sz val="8"/>
        <color indexed="8"/>
        <rFont val="Arial"/>
        <family val="2"/>
      </rPr>
      <t>3</t>
    </r>
  </si>
  <si>
    <r>
      <t>Dovoz vody pre zálievku (0,01 m</t>
    </r>
    <r>
      <rPr>
        <sz val="8"/>
        <rFont val="Arial"/>
        <family val="2"/>
      </rPr>
      <t xml:space="preserve">³/ m²) </t>
    </r>
  </si>
  <si>
    <r>
      <t>Zálievka nad 20m</t>
    </r>
    <r>
      <rPr>
        <sz val="8"/>
        <rFont val="Arial"/>
        <family val="2"/>
      </rPr>
      <t>² (0,01m³/m²)</t>
    </r>
  </si>
  <si>
    <r>
      <t>Dovoz vody pre zálievku rastlín  (0,01m</t>
    </r>
    <r>
      <rPr>
        <sz val="8"/>
        <rFont val="Arial"/>
        <family val="2"/>
      </rPr>
      <t>³/m²)</t>
    </r>
  </si>
  <si>
    <r>
      <t>Zálievka rastlín - nad 20 m</t>
    </r>
    <r>
      <rPr>
        <sz val="8"/>
        <rFont val="Arial"/>
        <family val="2"/>
      </rPr>
      <t>²  (0,01m³/m²)</t>
    </r>
  </si>
  <si>
    <r>
      <t xml:space="preserve">Dovoz vody pre zálievku rastlín </t>
    </r>
    <r>
      <rPr>
        <sz val="8"/>
        <color indexed="57"/>
        <rFont val="Arial"/>
        <family val="2"/>
      </rPr>
      <t>(bez trávnika)</t>
    </r>
  </si>
  <si>
    <t>Číslo položky</t>
  </si>
  <si>
    <r>
      <t xml:space="preserve">Vodorovné premiest. ornice (dovoz) do 10 000 m </t>
    </r>
    <r>
      <rPr>
        <sz val="8"/>
        <color indexed="17"/>
        <rFont val="Arial"/>
        <family val="2"/>
      </rPr>
      <t>(bez trávnika)</t>
    </r>
  </si>
  <si>
    <t>Rekonštrukcia trávnika - podsev</t>
  </si>
  <si>
    <t>Jedno treba vymazať</t>
  </si>
  <si>
    <t>Práce:</t>
  </si>
  <si>
    <t>Materiál:</t>
  </si>
  <si>
    <t>Výsadba stromov - ihličnaté SPOLU:</t>
  </si>
  <si>
    <t>Rastlinný materiál:</t>
  </si>
  <si>
    <t>Výsadba stromov - listnaté SPOLU:</t>
  </si>
  <si>
    <t>Rekonštrukcia trávnika - podsev SPOLU:</t>
  </si>
  <si>
    <t>Založenie trávnika bez doplnenia zeminy SPOLU:</t>
  </si>
  <si>
    <t>II. Sadové úpravy SPOLU:</t>
  </si>
  <si>
    <t>Rastlinný materiál spolu:</t>
  </si>
  <si>
    <t>Ostatné práce pre sadové úpravy</t>
  </si>
  <si>
    <t>nad 20cm</t>
  </si>
  <si>
    <t>do 14 cm</t>
  </si>
  <si>
    <r>
      <t>NOVÝ MATERIÁL - jutovina na bežné metre 1,54</t>
    </r>
    <r>
      <rPr>
        <b/>
        <sz val="8"/>
        <color indexed="10"/>
        <rFont val="Calibri"/>
        <family val="2"/>
      </rPr>
      <t>€</t>
    </r>
    <r>
      <rPr>
        <b/>
        <sz val="8"/>
        <color indexed="10"/>
        <rFont val="Arial"/>
        <family val="2"/>
      </rPr>
      <t xml:space="preserve"> na bm - šírka rolky 1,1 m</t>
    </r>
  </si>
  <si>
    <r>
      <t>Hĺbenie jám s 50% VP – do 0,25 m</t>
    </r>
    <r>
      <rPr>
        <sz val="8"/>
        <rFont val="Arial"/>
        <family val="2"/>
      </rPr>
      <t>³</t>
    </r>
  </si>
  <si>
    <t>LISTNATÝ - do 14 cm</t>
  </si>
  <si>
    <r>
      <t>50%VP - 0,029m³/1ks</t>
    </r>
    <r>
      <rPr>
        <sz val="8"/>
        <color indexed="53"/>
        <rFont val="Arial"/>
        <family val="2"/>
      </rPr>
      <t xml:space="preserve"> (ø 0,6m = 0,113m³x1,5=0,170m³=&gt;velkosť jamy)</t>
    </r>
  </si>
  <si>
    <r>
      <t xml:space="preserve">50%VP - 0,067m³/1ks </t>
    </r>
    <r>
      <rPr>
        <sz val="8"/>
        <color indexed="53"/>
        <rFont val="Arial"/>
        <family val="2"/>
      </rPr>
      <t>(ø 0,8m = 0,268m³x1,5=0,402m³=&gt;velkosť jamy)</t>
    </r>
  </si>
  <si>
    <r>
      <t xml:space="preserve">Rastlinný materiál - </t>
    </r>
    <r>
      <rPr>
        <b/>
        <sz val="8"/>
        <rFont val="Arial"/>
        <family val="2"/>
      </rPr>
      <t>STROMY LISTNATÉ</t>
    </r>
  </si>
  <si>
    <r>
      <t xml:space="preserve">Rastlinný materiál - </t>
    </r>
    <r>
      <rPr>
        <b/>
        <sz val="8"/>
        <rFont val="Arial"/>
        <family val="2"/>
      </rPr>
      <t>STROMY IHLIČNATÉ</t>
    </r>
  </si>
  <si>
    <t>do 1 m</t>
  </si>
  <si>
    <t>1 - 2 m</t>
  </si>
  <si>
    <t>nad 2 m</t>
  </si>
  <si>
    <t>Jutový pás na ochranu kmeňa v mieste úväzu kotvenia (rolka š: 1,1m =&gt; 0,1m pás na 1 strom)</t>
  </si>
  <si>
    <t>Opravené podľa Peťa Vrábla - že dve vrecia na strom</t>
  </si>
  <si>
    <r>
      <t>50%VP - 0,029m³/1ks</t>
    </r>
    <r>
      <rPr>
        <sz val="8"/>
        <color indexed="53"/>
        <rFont val="Arial"/>
        <family val="2"/>
      </rPr>
      <t xml:space="preserve"> (ø 0,6m = 0,113m³x1,5=</t>
    </r>
    <r>
      <rPr>
        <b/>
        <sz val="8"/>
        <color indexed="53"/>
        <rFont val="Arial"/>
        <family val="2"/>
      </rPr>
      <t>0,170m³=&gt;velkosť jamy</t>
    </r>
    <r>
      <rPr>
        <sz val="8"/>
        <color indexed="53"/>
        <rFont val="Arial"/>
        <family val="2"/>
      </rPr>
      <t>)</t>
    </r>
  </si>
  <si>
    <t>KER - 40 - 60 cm</t>
  </si>
  <si>
    <t>40-60cm</t>
  </si>
  <si>
    <t>KER - 60 - 80 cm</t>
  </si>
  <si>
    <t>do 40cm</t>
  </si>
  <si>
    <t>KER - 60 - 100 cm</t>
  </si>
  <si>
    <t>60-100cm</t>
  </si>
  <si>
    <t>nad 100cm</t>
  </si>
  <si>
    <t>nad100cm</t>
  </si>
  <si>
    <t>popínavky</t>
  </si>
  <si>
    <r>
      <t>Voda pre zálievku rastlín</t>
    </r>
    <r>
      <rPr>
        <sz val="8"/>
        <color indexed="17"/>
        <rFont val="Arial"/>
        <family val="2"/>
      </rPr>
      <t xml:space="preserve"> (5l /ker, 2l / trvalka)</t>
    </r>
  </si>
  <si>
    <r>
      <t xml:space="preserve">50%VP - 0,0011m³/1ks </t>
    </r>
    <r>
      <rPr>
        <sz val="8"/>
        <color indexed="53"/>
        <rFont val="Arial"/>
        <family val="2"/>
      </rPr>
      <t>(ø 0,2m = 0,0042m³x1,5=</t>
    </r>
    <r>
      <rPr>
        <b/>
        <sz val="8"/>
        <color indexed="53"/>
        <rFont val="Arial"/>
        <family val="2"/>
      </rPr>
      <t>0,0063m³=&gt;velkosť jamy</t>
    </r>
    <r>
      <rPr>
        <sz val="8"/>
        <color indexed="53"/>
        <rFont val="Arial"/>
        <family val="2"/>
      </rPr>
      <t>)</t>
    </r>
  </si>
  <si>
    <r>
      <t xml:space="preserve">50%VP - 0,00013m³/1ks </t>
    </r>
    <r>
      <rPr>
        <sz val="8"/>
        <color indexed="53"/>
        <rFont val="Arial"/>
        <family val="2"/>
      </rPr>
      <t>(ø 0,1m = 0,0005m³x1,5=</t>
    </r>
    <r>
      <rPr>
        <b/>
        <sz val="8"/>
        <color indexed="53"/>
        <rFont val="Arial"/>
        <family val="2"/>
      </rPr>
      <t>0,00075m³=&gt;velkosť jamy</t>
    </r>
    <r>
      <rPr>
        <sz val="8"/>
        <color indexed="53"/>
        <rFont val="Arial"/>
        <family val="2"/>
      </rPr>
      <t>)</t>
    </r>
  </si>
  <si>
    <r>
      <t xml:space="preserve">50%VP - 0,00013m³/1ks </t>
    </r>
    <r>
      <rPr>
        <sz val="8"/>
        <color indexed="53"/>
        <rFont val="Arial"/>
        <family val="2"/>
      </rPr>
      <t>(ø 0,1m = 0,0005m³x1,5=</t>
    </r>
    <r>
      <rPr>
        <b/>
        <sz val="8"/>
        <color indexed="53"/>
        <rFont val="Arial"/>
        <family val="2"/>
      </rPr>
      <t>0,00075m³=&gt;velkosť jamy</t>
    </r>
    <r>
      <rPr>
        <sz val="8"/>
        <color indexed="53"/>
        <rFont val="Arial"/>
        <family val="2"/>
      </rPr>
      <t>)</t>
    </r>
  </si>
  <si>
    <r>
      <t xml:space="preserve">50%VP - 0,0085m³/1ks </t>
    </r>
    <r>
      <rPr>
        <sz val="8"/>
        <color indexed="53"/>
        <rFont val="Arial"/>
        <family val="2"/>
      </rPr>
      <t>(ø 0,4m = 0,033m³x1,5=</t>
    </r>
    <r>
      <rPr>
        <b/>
        <sz val="8"/>
        <color indexed="53"/>
        <rFont val="Arial"/>
        <family val="2"/>
      </rPr>
      <t>0,050m³=&gt;velkosť jamy</t>
    </r>
    <r>
      <rPr>
        <sz val="8"/>
        <color indexed="53"/>
        <rFont val="Arial"/>
        <family val="2"/>
      </rPr>
      <t>)</t>
    </r>
  </si>
  <si>
    <r>
      <t xml:space="preserve">50%VP - 0,0035m³/1ks </t>
    </r>
    <r>
      <rPr>
        <sz val="8"/>
        <color indexed="53"/>
        <rFont val="Arial"/>
        <family val="2"/>
      </rPr>
      <t>(ø 0,3m = 0,014m³x1,5=</t>
    </r>
    <r>
      <rPr>
        <b/>
        <sz val="8"/>
        <color indexed="53"/>
        <rFont val="Arial"/>
        <family val="2"/>
      </rPr>
      <t>0,021m³=&gt;velkosť jamy</t>
    </r>
    <r>
      <rPr>
        <sz val="8"/>
        <color indexed="53"/>
        <rFont val="Arial"/>
        <family val="2"/>
      </rPr>
      <t>)</t>
    </r>
  </si>
  <si>
    <r>
      <t xml:space="preserve">50%VP - 0,017m³/1ks </t>
    </r>
    <r>
      <rPr>
        <sz val="8"/>
        <color indexed="53"/>
        <rFont val="Arial"/>
        <family val="2"/>
      </rPr>
      <t>(ø 0,5m = 0,065m³x1,5=</t>
    </r>
    <r>
      <rPr>
        <b/>
        <sz val="8"/>
        <color indexed="53"/>
        <rFont val="Arial"/>
        <family val="2"/>
      </rPr>
      <t>0,098m³=&gt;velkosť jamy</t>
    </r>
    <r>
      <rPr>
        <sz val="8"/>
        <color indexed="53"/>
        <rFont val="Arial"/>
        <family val="2"/>
      </rPr>
      <t>)</t>
    </r>
  </si>
  <si>
    <t>VEĽKOSŤ</t>
  </si>
  <si>
    <t>REKAPITULÁCIA</t>
  </si>
  <si>
    <t>Výsadba stromov - ihličnaté:</t>
  </si>
  <si>
    <t>Výsadba stromov - listnaté:</t>
  </si>
  <si>
    <t>trvalky</t>
  </si>
  <si>
    <t>Nepoužité veľkosti skryť!!</t>
  </si>
  <si>
    <t>Nepoužité priemery skryť!!</t>
  </si>
  <si>
    <r>
      <t>Drôt</t>
    </r>
    <r>
      <rPr>
        <sz val="8"/>
        <color indexed="17"/>
        <rFont val="Arial"/>
        <family val="2"/>
      </rPr>
      <t xml:space="preserve"> (Ø3mm, upevnenie geotextílie k povrchu)</t>
    </r>
  </si>
  <si>
    <t>0,250kg / m²</t>
  </si>
  <si>
    <r>
      <t xml:space="preserve">Hĺbenie jám s 50% VP – do 0,01 m3 - </t>
    </r>
    <r>
      <rPr>
        <b/>
        <sz val="8"/>
        <rFont val="Arial"/>
        <family val="2"/>
      </rPr>
      <t>popínavky</t>
    </r>
  </si>
  <si>
    <r>
      <t xml:space="preserve">Výsadba drevín s balom so zaliatím pri ø balu – do 100 mm - </t>
    </r>
    <r>
      <rPr>
        <b/>
        <sz val="8"/>
        <rFont val="Arial"/>
        <family val="2"/>
      </rPr>
      <t>popínavky</t>
    </r>
  </si>
  <si>
    <t>KER - 20 - 40 cm</t>
  </si>
  <si>
    <t>Výsadba drevín s balom so zaliatím pri ø balu – do 400 mm - do nádob</t>
  </si>
  <si>
    <t>Príprava nádob pre vysadenie rastlín so zhotovením vsakovacej vrstvy a naplnením nádob zeminou alebo substrátom,pri výške nádoby do 700 mm a ploche nádoby – nad 1,0 m2 do 2,0 m2</t>
  </si>
  <si>
    <t>Príprava nádob pre vysadenie rastlín so zhotovením vsakovacej vrstvy a naplnením nádob zeminou alebo substrátom,pri výške nádoby do 700 mm a ploche nádoby  – nad 0,6 m2 do 1,0 m2</t>
  </si>
  <si>
    <t>Príprava nádob pre vysadenie rastlín so zhotovením vsakovacej vrstvy a naplnením nádob zeminou alebo substrátom,pri výške nádoby do 700 mm a ploche nádoby – nad 0,3 m2 do 0,6 m2</t>
  </si>
  <si>
    <t>Substrát Florimo záhradnícky - 75l</t>
  </si>
  <si>
    <t>Keramzit - 50l</t>
  </si>
  <si>
    <t>Výsadba záhonov</t>
  </si>
  <si>
    <t>Uloženie zatrávňovača (preprava a uloženie)</t>
  </si>
  <si>
    <t>Ekoraster / zatrávňovač  - uloženie, výsev trávnika, svah 1:2</t>
  </si>
  <si>
    <t xml:space="preserve">Založenie trávnika výsevom osiva vo vegetačných prefabrikátoch s doplnením ornice alebo substrátu vo vrstve do 70mm, s usadením vodou a s prípadným naložením, odvozom odpadu do 20 km a so zložením </t>
  </si>
  <si>
    <t>POZNÁMKA !!!!!</t>
  </si>
  <si>
    <t xml:space="preserve">Rozpočet </t>
  </si>
  <si>
    <t>Výsadba krov do nádob</t>
  </si>
  <si>
    <t>Výsadba krov do nádob SPOLU:</t>
  </si>
  <si>
    <t>DPH:</t>
  </si>
  <si>
    <t>SPOLU</t>
  </si>
  <si>
    <t>Založenie trávnikov:</t>
  </si>
  <si>
    <t>Výsadba záhonov:</t>
  </si>
  <si>
    <t>Ostatné práce:</t>
  </si>
  <si>
    <t>Zemina- výplň rastra</t>
  </si>
  <si>
    <t>Zatrávňovač - RASTER (+10% stratné)</t>
  </si>
  <si>
    <t>KER - nad 100 cm</t>
  </si>
  <si>
    <r>
      <t>Hĺbenie jám s 50% VP – do 1,0 m</t>
    </r>
    <r>
      <rPr>
        <sz val="8"/>
        <rFont val="Arial"/>
        <family val="2"/>
      </rPr>
      <t>³</t>
    </r>
  </si>
  <si>
    <r>
      <t xml:space="preserve">50%VP - 0,131m³/1ks </t>
    </r>
    <r>
      <rPr>
        <sz val="8"/>
        <color indexed="53"/>
        <rFont val="Arial"/>
        <family val="2"/>
      </rPr>
      <t>(ø 1m = 0,523m³x1,5=0,785m³=&gt;velkosť jamy)</t>
    </r>
  </si>
  <si>
    <t>LISTNATÝ - nad 20 cm</t>
  </si>
  <si>
    <t>Výsadba záhonov  SPOLU:</t>
  </si>
  <si>
    <r>
      <t xml:space="preserve">Výsadba drevín s balom so zaliatím pri ø balu – do 100 mm do nádob - </t>
    </r>
    <r>
      <rPr>
        <b/>
        <sz val="8"/>
        <rFont val="Arial"/>
        <family val="2"/>
      </rPr>
      <t>popínavky</t>
    </r>
  </si>
  <si>
    <t>Výsadba drevín s balom so zaliatím pri ø balu – do 500 mm - do nádob</t>
  </si>
  <si>
    <t>Výsadba drevín s balom so zaliatím pri ø balu – do 300 mm - do nádob</t>
  </si>
  <si>
    <t>Výsadba drevín s balom so zaliatím pri ø balu – do 200 mm - do nádob</t>
  </si>
  <si>
    <t>Výsadba trvaliek so zaliatím - v nádobách</t>
  </si>
  <si>
    <t>ešte to treba prepracovať - hlavne ceny!</t>
  </si>
  <si>
    <t>Trávna mčina s dovozom (5% stratné)</t>
  </si>
  <si>
    <t>Doprava maciny (Parkona/ Grass: Finticka 22 080 06 Prešov-Nizna Sebastova) 
(pripocita sa ku macine; km vynasobi 2x)</t>
  </si>
  <si>
    <t>VŽDY SKONTROLOVAŤ</t>
  </si>
  <si>
    <t>TREBA TO?</t>
  </si>
  <si>
    <t>CELKOM bez DPH:</t>
  </si>
  <si>
    <t>CELKOM s DPH:</t>
  </si>
  <si>
    <t>Výsadbado nádob:</t>
  </si>
  <si>
    <t xml:space="preserve"> -</t>
  </si>
  <si>
    <t>3 koly na 1 ks stromu=&gt; 2,5m/0,7m=3,57ks =&gt; 3ks/2,5m</t>
  </si>
  <si>
    <r>
      <t>Zemina pre 50%VP</t>
    </r>
    <r>
      <rPr>
        <sz val="8"/>
        <color indexed="17"/>
        <rFont val="Arial"/>
        <family val="2"/>
      </rPr>
      <t xml:space="preserve"> (1m³=1,4t)</t>
    </r>
  </si>
  <si>
    <t>Zemina alebo substrát??</t>
  </si>
  <si>
    <r>
      <t>Netkaná geotextília 50g/m</t>
    </r>
    <r>
      <rPr>
        <sz val="8"/>
        <rFont val="Arial"/>
        <family val="2"/>
      </rPr>
      <t>²</t>
    </r>
    <r>
      <rPr>
        <sz val="8"/>
        <rFont val="Arial"/>
        <family val="2"/>
      </rPr>
      <t xml:space="preserve">  (</t>
    </r>
    <r>
      <rPr>
        <sz val="8"/>
        <color indexed="17"/>
        <rFont val="Arial"/>
        <family val="2"/>
      </rPr>
      <t>vrátane straty 20% na prekryvoch)</t>
    </r>
  </si>
  <si>
    <t>I. Stavebné práce</t>
  </si>
  <si>
    <t>I. Stavebné práce SPOLU:</t>
  </si>
  <si>
    <t>Demontáž herných prvkov</t>
  </si>
  <si>
    <t>sub.</t>
  </si>
  <si>
    <t xml:space="preserve">Vytrhanie obrúb betónových, s vybúraním lôžka, s naložením na dopravný prostriedok </t>
  </si>
  <si>
    <t>Odstránenie krytov s naložením na dopravný prostriedok, do 200 m2 z betónu prostého, hr. vrstvy nad 150 do 300 mm (BET.PLOCHY)</t>
  </si>
  <si>
    <t>Odstránenie krytov s naložením na dopravný prostriedok,nad 200 m2 z kameniva ťaženého, hr. vrstvy do 100 mm (ŠTRK)</t>
  </si>
  <si>
    <t>Búranie základov  z betónu prostého (VŠETKY ZÁKLADY BEZ BET. PLôCH)</t>
  </si>
  <si>
    <t xml:space="preserve">Búranie akýchkoľvek betónových schodiskových stupňov zhotovených na mieste </t>
  </si>
  <si>
    <t>Odkopávky a prekopávky nezapažené s naložením na dopravný prostriedok v horninách 1 a 2 do 100 m3 (PIESOK)</t>
  </si>
  <si>
    <t>Odvoz sutiny a vybúraných hmôt na skládku do 1 km</t>
  </si>
  <si>
    <t>Poplatok za skladovanie stavebného odpadu (17) betón, tehly, dlaždice, obkladačky a keramika (17 01) Ostatné (O) (17 01, 02, 03)</t>
  </si>
  <si>
    <t>Poplatok za skladovanie stavebného odpadu (17) kovy (vrátane ich zliatín) (17 04) ostatné (O)(17 04 01, 02, 04, 05, 06, 07, 11)</t>
  </si>
  <si>
    <t>Zásyp jám so zhutnením  sypaninou vo vykopávkach a vybúraných konštr. do 100 m3</t>
  </si>
  <si>
    <t>Odkopávka a prekopávka nezapažená v hornine 1 a 2, nad 100 do 1000 m3 (VŠETKY VÝKOPY)</t>
  </si>
  <si>
    <t>Uloženie sypaniny do zhutnených násypov s rozprestretím sypaniny vo vrstvách, z hornín súdržných</t>
  </si>
  <si>
    <t>181 10 1102</t>
  </si>
  <si>
    <t>Úprava pláne v hornine tr. 1-4 so zhutnením</t>
  </si>
  <si>
    <t>Osadenie obruby z oceľ. pásoviny -  široká oceľ 8x200 mm</t>
  </si>
  <si>
    <t>Osadenie obruby z oceľ. pásoviny -  široká oceľ 8x250 mm</t>
  </si>
  <si>
    <r>
      <t xml:space="preserve">Podklad zo štrdodrvy s rozprestretím a zhutnením, po zhutnení </t>
    </r>
    <r>
      <rPr>
        <b/>
        <sz val="8"/>
        <rFont val="Arial"/>
        <family val="2"/>
      </rPr>
      <t>hr. do 100 mm</t>
    </r>
  </si>
  <si>
    <r>
      <t xml:space="preserve">Podklad zo štrdodrvy s rozprestretím a zhutnením, po zhutnení </t>
    </r>
    <r>
      <rPr>
        <b/>
        <sz val="8"/>
        <rFont val="Arial"/>
        <family val="2"/>
      </rPr>
      <t>hr. do 50 mm</t>
    </r>
  </si>
  <si>
    <t>Podklad pod dlažbu v rovine alebo sklone 1:5, hr 30 - 100 mm</t>
  </si>
  <si>
    <t>Kladenie betónovej dlažby komunikacií pre peších do lôžka z kameniva, veľ. do 0,09 m2 plochy od 100 do 300 m2</t>
  </si>
  <si>
    <r>
      <t xml:space="preserve">Podklad zo štrdodrvy s rozprestretím a zhutnením, po zhutnení </t>
    </r>
    <r>
      <rPr>
        <b/>
        <sz val="8"/>
        <rFont val="Arial"/>
        <family val="2"/>
      </rPr>
      <t>hr. do 60 mm</t>
    </r>
  </si>
  <si>
    <r>
      <t xml:space="preserve">Podklad zo štrdodrvy s rozprestretím a zhutnením, po zhutnení </t>
    </r>
    <r>
      <rPr>
        <b/>
        <sz val="8"/>
        <rFont val="Arial"/>
        <family val="2"/>
      </rPr>
      <t>hr. do 40 mm</t>
    </r>
  </si>
  <si>
    <r>
      <t>Zálievka - nad 20 m²</t>
    </r>
    <r>
      <rPr>
        <b/>
        <sz val="8"/>
        <color indexed="17"/>
        <rFont val="Arial"/>
        <family val="2"/>
      </rPr>
      <t xml:space="preserve"> (Kropenie pochôdznej vrstvy pri hutnení =&gt; 20l/m²)</t>
    </r>
  </si>
  <si>
    <r>
      <t>m</t>
    </r>
    <r>
      <rPr>
        <vertAlign val="superscript"/>
        <sz val="8"/>
        <color indexed="8"/>
        <rFont val="Arial"/>
        <family val="2"/>
      </rPr>
      <t>3</t>
    </r>
  </si>
  <si>
    <t>Montáž oporných a zárubných múrov z drôtokamenných košov zo zváraných panelov</t>
  </si>
  <si>
    <t>Zhotovenie výstuže schodiskových konštrukcií z betonárskej ocele</t>
  </si>
  <si>
    <t>Osadenie kovového zábradlia</t>
  </si>
  <si>
    <t>Zhotovenie dreveného sedenia na gabionových múrikoch so zhotovením povrchovej úpravy dreva</t>
  </si>
  <si>
    <t>Kladenie šľapákov v rovine alebo na svahu do 1:2</t>
  </si>
  <si>
    <t>Štrkodrva fr. 0-32 mm (podkladová vrstva)</t>
  </si>
  <si>
    <t>Štrkodrva fr. 8-16 mm (podkladová vrstva)</t>
  </si>
  <si>
    <t>Štrkodrva fr. 4-8 mm (lôžko pod dlažbu)</t>
  </si>
  <si>
    <t>Štrkodrva fr. 32-63 mm (podkladová vrstva)</t>
  </si>
  <si>
    <t>Štrkodrva fr. 16-32 mm (podkladová vrstva)</t>
  </si>
  <si>
    <t>Vápencová štrkodrva fr. 0-4 mm, farba - svetlo hnedá/ piesková</t>
  </si>
  <si>
    <r>
      <t xml:space="preserve">Voda </t>
    </r>
    <r>
      <rPr>
        <sz val="8"/>
        <color indexed="17"/>
        <rFont val="Arial"/>
        <family val="2"/>
      </rPr>
      <t xml:space="preserve">(kropenie pri valcovaní / zhutňovaní pochôdznej vrstvy) </t>
    </r>
  </si>
  <si>
    <t>MOBILIÁR</t>
  </si>
  <si>
    <t>Doprava tovaru a montážnikov na miesto určenia - PARKOVÉ LAVIČKY, ODPADKOVÉ KOŠE</t>
  </si>
  <si>
    <t>Vnútrostaveniskový presun hmôt</t>
  </si>
  <si>
    <t>Dovoz vody (pre kropenie pri zhutňovaní pochôdznej vrstvy mlatu)</t>
  </si>
  <si>
    <t>Rozobratie, s naložením na dopravný prostriedok dlažieb z betónových tvárnic na sucho, so škárami vyplnenými pieskom alebo mačinou (DLAŽBA 4m²)</t>
  </si>
  <si>
    <t>Spojovací, kotviaci a pomocný materiál</t>
  </si>
  <si>
    <t>Acer platanoides ´Drumondii´, obv. km. 14-16 cm, vpb.</t>
  </si>
  <si>
    <t>Platanus acerifolia, obv. km. 16 - 18 cm, vpb.</t>
  </si>
  <si>
    <t>Výsadba trvaliek so zaliatím – podrast stromov</t>
  </si>
  <si>
    <t>Liquidambar styraciflua, 14-16 cm, vpb. alebo kon.</t>
  </si>
  <si>
    <t>Založenie trávnika s doplnením zeminy (10 cm)-rovina</t>
  </si>
  <si>
    <t>Založenie trávnika s doplnením zeminy (10 cm)-rovina SPOLU:</t>
  </si>
  <si>
    <t>Založenie trávnika s doplnením zeminy (10 cm)-svah 1:2</t>
  </si>
  <si>
    <t>Založenie trávnika s doplnením zeminy (10 cm)-svah 1:2 SPOLU:</t>
  </si>
  <si>
    <r>
      <t xml:space="preserve">Vodorovné premiestnením ornice (dovoz) do 10 000 m </t>
    </r>
    <r>
      <rPr>
        <sz val="8"/>
        <color indexed="17"/>
        <rFont val="Arial"/>
        <family val="2"/>
      </rPr>
      <t>(0,10m³ / m²)</t>
    </r>
  </si>
  <si>
    <r>
      <t xml:space="preserve">Príplatok za každých 1 000 m </t>
    </r>
  </si>
  <si>
    <r>
      <t>m</t>
    </r>
    <r>
      <rPr>
        <sz val="8"/>
        <rFont val="Arial"/>
        <family val="2"/>
      </rPr>
      <t>³</t>
    </r>
  </si>
  <si>
    <r>
      <t xml:space="preserve">Vodorovné premiestnením ornice (dovoz) do 10 000 m </t>
    </r>
    <r>
      <rPr>
        <sz val="8"/>
        <color indexed="17"/>
        <rFont val="Arial"/>
        <family val="2"/>
      </rPr>
      <t>(0,1m³ / m²)</t>
    </r>
  </si>
  <si>
    <t>Spevnené plochy, drobná architektúra, mobiliár, herné prvky</t>
  </si>
  <si>
    <t>Spevnené plochy, drobná architektúra, mobiliár, herné prvky SPOLU:</t>
  </si>
  <si>
    <t>Doprava tovaru a montážnikov na miesto určenia - HERNÉ PRVKY</t>
  </si>
  <si>
    <t>cena CENKROS 2020</t>
  </si>
  <si>
    <t>CENKROS nemá cenu</t>
  </si>
  <si>
    <t>upravené 05/2020</t>
  </si>
  <si>
    <r>
      <rPr>
        <b/>
        <sz val="8"/>
        <color indexed="62"/>
        <rFont val="Arial"/>
        <family val="2"/>
      </rPr>
      <t>cena CENKROS 2020</t>
    </r>
    <r>
      <rPr>
        <b/>
        <sz val="8"/>
        <color indexed="10"/>
        <rFont val="Arial"/>
        <family val="2"/>
      </rPr>
      <t xml:space="preserve"> schody nie! + obrubníky 20,55m³</t>
    </r>
  </si>
  <si>
    <t>Osadenie záhonového alebo parkového obrubníka betónového so zaliatím a zatrením škár cementovou maltou, so zhotovením lôžka s bočnou oporou z betónu  prostého tr. C 16/20</t>
  </si>
  <si>
    <t>Zhotovenie vrstvy z geotextílie, 1:5 s pripevnením k podkladu oceľ. skobami.</t>
  </si>
  <si>
    <t>cena CENKROS 2020, + príplatok za upevnenie</t>
  </si>
  <si>
    <t>cena CENKROS 2020,  97,88 - mont, 42,13 dodavka</t>
  </si>
  <si>
    <t>cena CENKROS 2020 mont+dod</t>
  </si>
  <si>
    <t>Debnenie stupňov betónovaných na teréne -  zhotovenie</t>
  </si>
  <si>
    <t>Debnenie stupňov betónovaných na teréne -  odstránenie</t>
  </si>
  <si>
    <t>Osadenie prefabrikovaných schodiskových stupňov na cementovú maltu s vyškárovaním</t>
  </si>
  <si>
    <r>
      <rPr>
        <b/>
        <u val="single"/>
        <sz val="8"/>
        <color indexed="62"/>
        <rFont val="Arial"/>
        <family val="2"/>
      </rPr>
      <t>cena CENKROS 2020</t>
    </r>
    <r>
      <rPr>
        <b/>
        <u val="single"/>
        <sz val="8"/>
        <color indexed="10"/>
        <rFont val="Arial"/>
        <family val="2"/>
      </rPr>
      <t xml:space="preserve"> Cena nad 500m2!!!!!!!</t>
    </r>
  </si>
  <si>
    <r>
      <rPr>
        <b/>
        <u val="single"/>
        <sz val="8"/>
        <color indexed="62"/>
        <rFont val="Arial"/>
        <family val="2"/>
      </rPr>
      <t>cena CENKROS 2020</t>
    </r>
    <r>
      <rPr>
        <b/>
        <u val="single"/>
        <sz val="8"/>
        <color indexed="10"/>
        <rFont val="Arial"/>
        <family val="2"/>
      </rPr>
      <t xml:space="preserve"> Cena do 500m2!!!!!!!</t>
    </r>
  </si>
  <si>
    <t>Rozprestretie a urovnanie ornice hrúbky vrstvy – do 100 mm</t>
  </si>
  <si>
    <t>Celkom práce a materiál - I. Stavebné práce a II. Sadové úpravy :</t>
  </si>
  <si>
    <t>Flexibilné mrazuvzdorné cementové lepidlo 25 kg, C2TE S1</t>
  </si>
  <si>
    <t>cena VVS</t>
  </si>
  <si>
    <r>
      <t xml:space="preserve">Parková lavička rozmery: </t>
    </r>
    <r>
      <rPr>
        <sz val="8"/>
        <rFont val="Arial"/>
        <family val="2"/>
      </rPr>
      <t>(DxVxŠ) 1500x820x700 mm. Charakter konštrukcie: oceľová konštrukcia spojená s drevenými doskami pomocou šrubovaných spojov z nerezu. Povrchová úprava: oceľová konštrukcia bočníc je opatrená ochrannou vrstvou zinku a práškovým vypaľovaním lakom. Nosná kostra: dve bočnice zvarené z oceľových trubiek štvorcového profilu 40 × 40 mm a 20 × 20 mm a výpalkov z oceľového plechu hrúbky 5 mm. Sedák: 3 dosky z masívneho tropického dreva obežníkového prierezu (110x33 mm) dĺžky 1418 mm. Operadlo: 2 dosky z masívneho tropického dreva obežníkového prierezu (110 x 33mm) dĺžky 1500 mm. Farebné prevedenie: odtiene polyesterových práškových lakov v jemnej štruktúre mat. Kotvenie: kotvenie pod dlažbu do betónového základu pomocou závitových tyčí M8. Hmotnosť: 31 kg. (Resp. ekvivalent)</t>
    </r>
  </si>
  <si>
    <t>Parková lavička rozmery: (DxVxŠ) 1500x820x700 mm - MONTÁŽ</t>
  </si>
  <si>
    <t xml:space="preserve">Odpadkový kôš, 50 l, rozmery: (DxVxŠ)  1175x315x315 mm - MONTÁŽ </t>
  </si>
  <si>
    <t>HERNÉ PRVKY</t>
  </si>
  <si>
    <t>Acer tataricum spb. ginnala, viackmeň, 200 -250 cm, vpb.</t>
  </si>
  <si>
    <t>plochy medzi chodníkmi a bez plôch s exist stromami - všetko v rovine</t>
  </si>
  <si>
    <t>Výplň drôtokamenných košov  - andezit A1 sekané hranoly
hr. 70-100mm,  ∅ 100 - 300 mm, s dovozom do 15 km</t>
  </si>
  <si>
    <t>cena rátaná z netu Kamenta + orientačne dovoz prepočet na 30 km tam späť+ rezrva</t>
  </si>
  <si>
    <t>cena odhadom</t>
  </si>
  <si>
    <t>cena prerátaním CP od stolarskerezivo.sk</t>
  </si>
  <si>
    <t>Bet. brubník cestný bez skosenia rozmery: 1000 x 260 x 150 mm - použiť na šľapák (Resp. ekvivalent)</t>
  </si>
  <si>
    <t>Ostatné práce a materiál</t>
  </si>
  <si>
    <t>POZNÁMKY</t>
  </si>
  <si>
    <t>Bet. blokové schodiskové stupne s hladkou strojovou úpravou, rozmery: 150x 350 x 1000 mm, farba: sivá (Resp. ekvivalent)</t>
  </si>
  <si>
    <t>Bet. blokové schodiskové stupne s hladkou strojovou úpravou, rozmery: 150x 350 x 750 mm, farba: sivá (Resp. ekvivalent)</t>
  </si>
  <si>
    <t>Bet. blokové schodiskové stupne s hladkou strojovou úpravou, rozmery: 150x 350 x 500 mm, farba: sivá (Resp. ekvivalent)</t>
  </si>
  <si>
    <t>Drôtokamenné koše - zvárané, rozmer oka 5x10cm, priemer drôtu 4,0 mm povrchová ochrana Galmac (Zn+5%Al)</t>
  </si>
  <si>
    <t>cena zo skúseností :D</t>
  </si>
  <si>
    <t>Vybúranie kovových madiel, zábradlí a iných kovových prvkov</t>
  </si>
  <si>
    <t>Betón základových pásov, prostý tr. C 20/25</t>
  </si>
  <si>
    <t>Schodiskové konštrukcie, betón tr. C 20/25</t>
  </si>
  <si>
    <t xml:space="preserve">cena rátaná z netu </t>
  </si>
  <si>
    <r>
      <rPr>
        <u val="single"/>
        <sz val="8"/>
        <rFont val="Arial"/>
        <family val="2"/>
      </rPr>
      <t>Podperná konzola</t>
    </r>
    <r>
      <rPr>
        <sz val="8"/>
        <rFont val="Arial"/>
        <family val="2"/>
      </rPr>
      <t xml:space="preserve"> - zváraná konštrukcia s povrchovou úpravou žiarovým zinkovaním bez dodatočných náterov, upevnená k základu chemickou kotvou s 2ks závitových tyčí M10x120 mm, rozmery: 480x400 mm, oceľ profil 40x40mm a 40x20 mm hr. steny 2mm, celkom </t>
    </r>
    <r>
      <rPr>
        <b/>
        <sz val="8"/>
        <rFont val="Arial"/>
        <family val="2"/>
      </rPr>
      <t>40 ks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spojovacie oceľ. pláty</t>
    </r>
    <r>
      <rPr>
        <sz val="8"/>
        <rFont val="Arial"/>
        <family val="2"/>
      </rPr>
      <t xml:space="preserve">: 80x500mm, hr. 5 mm, povrch. úprava žiarovým zinkovaním, celkom </t>
    </r>
    <r>
      <rPr>
        <b/>
        <sz val="8"/>
        <rFont val="Arial"/>
        <family val="2"/>
      </rPr>
      <t>40ks</t>
    </r>
    <r>
      <rPr>
        <sz val="8"/>
        <rFont val="Arial"/>
        <family val="2"/>
      </rPr>
      <t xml:space="preserve">,  80x530mm, 80x570mm, hr. 5 mm, povrch. úprava žiarovým zinkovaním, celkom </t>
    </r>
    <r>
      <rPr>
        <b/>
        <sz val="8"/>
        <rFont val="Arial"/>
        <family val="2"/>
      </rPr>
      <t>2ks</t>
    </r>
  </si>
  <si>
    <t xml:space="preserve">Obiehacie koly - MONTÁŽ </t>
  </si>
  <si>
    <t>Preliezačka, 2x dierovaný výlez, šikmý výlez s lezeckými úchytmi, plošina, rebrík a stožiar. Veková skupina: 3 - 6 rokov. Rozmery: 0,9 x 2,1 x 2,5 m. Potrebná plocha: 3,9 x 5,1 m. Povrch tmliaci náraz: 16,5 m2. Max. výška pádu 0,95 m. Počet používateľov: 6.Materiál: nosné konštrukcie sú z agátových guľatín zbavených belí a obrúsených, so zachovaným charakterom prirodzene rastúcej agátovej guľatiny priemeru 120-250 mm alebo agátových kolov opracovaných špecifickým orezom (Stakato). Plošné prvky sú z agátových fošní a vodovzdornej preglejky hr. 16-18 mm. Spojovací materiál je podľa použitia, účelu a zaťaženia zo zinkovanej alebo nerezovej ocele. Povrch. úprava: drevené (agátové) časti sú ošetrené 2 nátermi tenkej vrstvy lazúry. Kovové časti sú ošetrené žiarovým zinkom alebo práškovým lakom. Všetky materiály použité na povrchovú úpravu zodpovedajú hygienickým a ekologickým požiadavkám. Kotvenie je prevedené zabetónovaním agátových stojok do betónových pätiek. Herné prvky majú spĺňať kritériá bezpečnosti a kvality definované normou STN EN 1176(Resp. ekvivalent)</t>
  </si>
  <si>
    <t xml:space="preserve">Balančná kladina - MONTÁŽ </t>
  </si>
  <si>
    <t>Preliezačka - MONTÁŽ</t>
  </si>
  <si>
    <t>Balančná kladina . Veková skupina: 3 - 14 rokov. Rozmery: 1,6 x 1,1 x 0,6 m. Potrebná plocha: 4,6 x 4,1 m. Povrch tmliaci náraz: 14 m2. Max. výška pádu do 0,6 m. Počet používateľov: 3. Materiál: nosné konštrukcie sú z agátových guľatín zbavených belí a obrúsených, so zachovaným charakterom prirodzene rastúcej agátovej guľatiny priemeru 120-250 mm alebo agátových kolov opracovaných špecifickým orezom (Stakato). Plošné prvky sú z agátových fošní a vodovzdornej preglejky hr. 16-18 mm. Spojovací materiál je podľa použitia, účelu a zaťaženia zo zinkovanej alebo nerezovej ocele. Povrch. úprava: drevené (agátové) časti sú ošetrené 2 nátermi tenkej vrstvy lazúry. Kovové časti sú ošetrené žiarovým zinkom alebo práškovým lakom. Všetky materiály použité na povrchovú úpravu zodpovedajú hygienickým a ekologickým požiadavkám. Kotvenie je prevedené zabetónovaním agátových stojok do betónových pätiek. Herné prvky majú spĺňať kritériá bezpečnosti a kvality definované normou STN EN 1176(Resp. ekvivalent)</t>
  </si>
  <si>
    <t xml:space="preserve">Kovové zábradlie: oceľ. profil  prierezu 40x40 cm hr. 2mm  celková dĺžka 40 m (madlo 12m, 26x stĺpik 1,06m celkom 28m), stĺpiky s privarenou kotviacou päticou z oceľ. plátu 120x120 mm hr. 5 mm so štirmi otvormi pre ukotvenie závit. tyčou M10x120 mm - upevnenie ku základu chemickou kotvou. Konce madiel zaslepené privarenou oceľ. záslepkou. Porchová úprava žiarovým zinkovaním a náterom exteriérovou farbou na kov - RAL 7016 antracitová šedá. </t>
  </si>
  <si>
    <t>Vytýčenie inžinierskych sietí</t>
  </si>
  <si>
    <t xml:space="preserve">cena podla Cennika- Peto Novek, treba SPP a VO - SPP do 100m zadara, VO 84Euro + moja rezerva na 150 </t>
  </si>
  <si>
    <t>Obiehacie koly s rôznou výškou od 2,2 do 3,4 m. Veková skupina: 3 - 14 rokov. Rozmery: 0,2 x 0,2 x cca 3,0 m. Potrebná plocha: 3,0 x 3,0 m. Max. výška pádu do 0,6 m. Počet používateľov: 2. Materiál: nosné konštrukcie sú z agátových guľatín zbavených belí a obrúsených, so zachovaným charakterom prirodzene rastúcej agátovej guľatiny priemeru 120-250 mm alebo agátových kolov opracovaných špecifickým orezom (Stakato). Plošné prvky sú z agátových fošní a vodovzdornej preglejky hr. 16-18 mm. Spojovací materiál je podľa použitia, účelu a zaťaženia zo zinkovanej alebo nerezovej ocele. Povrch. úprava: drevené (agátové) časti sú ošetrené 2 nátermi tenkej vrstvy lazúry. Kovové časti sú ošetrené žiarovým zinkom alebo práškovým lakom. Všetky materiály použité na povrchovú úpravu zodpovedajú hygienickým a ekologickým požiadavkám. Kotvenie je prevedené zabetónovaním agátových stojok do betónových pätiek. Herné prvky majú spĺňať kritériá bezpečnosti a kvality definované normou STN EN 1176(Resp. ekvivalent)</t>
  </si>
  <si>
    <t>Berbeis thunbergii ´Atropurpurea Nana´, kon. min. 20-30 cm</t>
  </si>
  <si>
    <t>Deutzia gracilis ´Nikko´, kon. min. 20-30 cm</t>
  </si>
  <si>
    <t>Euonymus fortunei ´Coloratus´(zelený plazivý), kon. min. 20-30 cm</t>
  </si>
  <si>
    <t>Euonymus fortunei ´Emerald and Gold´, kon. min.  20-40 cm</t>
  </si>
  <si>
    <t xml:space="preserve">Euonymus japonicus (zelený), kon. min. 20-40 cm </t>
  </si>
  <si>
    <t>Lonicera pileata, kon. min. 20-40 cm</t>
  </si>
  <si>
    <t>Spiraea x bumalda ´Goldflame´, kon. min. 20-30 cm</t>
  </si>
  <si>
    <t>Spiraea x cinerea grefsheim, kon. min. 15 - 20 cm</t>
  </si>
  <si>
    <t>Cornus alba ´Sibirica´, kon. min. 100-120 cm, kon.</t>
  </si>
  <si>
    <t>cena CENKROS 2020 - práce 0,58 mat 1,26</t>
  </si>
  <si>
    <t>cena CENKROS 2020 - práce 0,61 mat 1,54</t>
  </si>
  <si>
    <t>cena CENKROS 2020 - práce 0,67 mat 1,83</t>
  </si>
  <si>
    <t>cena CENKROS 2020 - práce 0,71 mat 2,69</t>
  </si>
  <si>
    <t>Devený hranol - agát, prierez 60x60mm,(dl. 2m - 49ks, 2,5m 14ks, 1,5m 21ks, 1m - 14ks, celková dĺžka 179m), hobľované rezivo so zrazenými vrchnými hranami, kvalitatívna trieda A, celkom 0,65m³, povrchová úprava exteriérovým bezfarebným olejovým náterom, (Resp. ekvivalent)</t>
  </si>
  <si>
    <t>premac</t>
  </si>
  <si>
    <r>
      <t>Investor:</t>
    </r>
    <r>
      <rPr>
        <sz val="10"/>
        <rFont val="Calibri"/>
        <family val="2"/>
      </rPr>
      <t xml:space="preserve">  Mesto Košice, Trieda SNP 48/A, 040 01 Košice</t>
    </r>
  </si>
  <si>
    <r>
      <t xml:space="preserve">Názov: </t>
    </r>
    <r>
      <rPr>
        <sz val="10"/>
        <rFont val="Calibri"/>
        <family val="2"/>
      </rPr>
      <t>Regenerácia vnútrobloku - Oddychová zóna Čínska ulica, Košice</t>
    </r>
  </si>
  <si>
    <r>
      <t>Objekt:</t>
    </r>
    <r>
      <rPr>
        <sz val="10"/>
        <rFont val="Calibri"/>
        <family val="2"/>
      </rPr>
      <t xml:space="preserve"> SO 01 Sadovnícko - architektonické riešenie vnútrobloku</t>
    </r>
  </si>
  <si>
    <r>
      <t xml:space="preserve">Zodp. projektant: </t>
    </r>
    <r>
      <rPr>
        <sz val="10"/>
        <rFont val="Calibri"/>
        <family val="2"/>
      </rPr>
      <t>Ing. arch. Alexaner Lami</t>
    </r>
  </si>
  <si>
    <t>Odvoz sutiny a vybúraných hmôt na skládku za každý ďalší 1 km(19km)</t>
  </si>
  <si>
    <t>cena CENKROS 2020,  2,80 - mont, 3,09 dodavka</t>
  </si>
  <si>
    <t>Zhotovenie izolácie termoplastami na ploche zvislej fóliou profilovanou - nopovou položenou voľne</t>
  </si>
  <si>
    <t>Spevnené plochy, drobná architektúra, mobiliár, herné prvky :</t>
  </si>
  <si>
    <t>Búracie, výkopové a zemné práce:</t>
  </si>
  <si>
    <t>Búracie, výkopové a zemné práce</t>
  </si>
  <si>
    <t>Búracie, výkopové a zemné práce SPOLU:</t>
  </si>
  <si>
    <t>SO 01 Sadovnícko- architektonicé riešenie vnútrobloku</t>
  </si>
  <si>
    <t>Rozpočet rekapitulácia</t>
  </si>
  <si>
    <t>SO 02 Verejné osvetlenie</t>
  </si>
  <si>
    <t>Verejné osvetlenie  SPOLU:</t>
  </si>
  <si>
    <t xml:space="preserve"> - </t>
  </si>
  <si>
    <t>cena odhadom podla CP od Stromservisu</t>
  </si>
  <si>
    <t>Ošetrenie existujúcich stromov -akreditovaným arboristom(vr.materiálu)</t>
  </si>
  <si>
    <t>Debnenie na ochranu kmeňov exist.stromov - listnaté stromy (OSB dosky hr. 18 mm+spevňujúce latovanie)</t>
  </si>
  <si>
    <t>Prípravné práce - demontáž debnenia na ochranu kmeňov exist.stromov - listnaté stromy 14 ks=&gt; 0,25h/1ks - 2 pracovníci</t>
  </si>
  <si>
    <t>Prípravné práce - zhotovenie a montáž debnenia na ochranu kmeňov exist.stromov - listnaté stromy 14 ks=&gt; 1h/1ks - 2 pracovníci</t>
  </si>
  <si>
    <r>
      <rPr>
        <b/>
        <sz val="8"/>
        <rFont val="Arial"/>
        <family val="2"/>
      </rPr>
      <t>Odpadkový kôš</t>
    </r>
    <r>
      <rPr>
        <sz val="8"/>
        <rFont val="Arial"/>
        <family val="2"/>
      </rPr>
      <t xml:space="preserve"> štvorcového pôdorysu opláštený drevenými lamelami s objemom nádoby 50 l s popolníkom  - objem 0,8 l, rozmery: (DxVxŠ)  1175x315x315 mm, Charakter konštrukcie: Oceľová konštrukcia s drevenými lamelami pripojenými pomocou šrubovaných spojov z nerezu. Povrchová úprava:  Ochranná vrstva zinku a vypaľovaný práškový lak, Nosná kostra:  Zváraná oceľová konštrukcia z výpalkov plechu hrúbky 4 mm a rúrky  štvorcového  prierezu 80x80x3 mm, Opláštenie:  4 lamely z masívneho tropického dreva ošetreného prírodným olejom lichobežníkového prierezu 15×37×67×804 mm, 12 lamiel z masívneho  tropického dreva ošetreného prírodným olejom lichobežníkového prierezu 15×67×67×804 mm, Vnútorná nádoba:  Ohýbaný pozinkovaný plech hrúbky 0,8 mm, objem 50 l. Strieška: zvárané výpalky z oceľového plechu hrúbky 3 a 5 mm. Farebné prevedenie: konštrukcia odtieň polyesterových práškových lakov v jemnej štruktúre mat - identické farebné prevedenie ako lavička, Kotvenie: kotvenie pod terén do betónového základu pomocou závitových tyčí M12.  Hmotnosť: 29 kg, (Resp. ekvivalent)</t>
    </r>
  </si>
  <si>
    <t>Pásovina - široká oceľ 8x250 mm (+5%rezerva zaokrúhlene)</t>
  </si>
  <si>
    <t>Pásovina - široká oceľ 8x200 mm (+5%rezerva zaokrúhlane)</t>
  </si>
  <si>
    <t>Obrubník parkový, 1000x50x200 mm,  pohľadová hrana rovná, farba sivá (+5% rezerva zaokrúhlene)</t>
  </si>
  <si>
    <t>Dlažba betónová s priznanou škárou, rozmer 200x100x60 mm, sivá (+5%rezerva zaokrúhlene) (Resp. ekvivalent)</t>
  </si>
  <si>
    <t>Geotextília polypropylénová 300 g/m2, netkaná separačno-filtračná geotextília  (+5%rezerva zaokrúhlene)</t>
  </si>
  <si>
    <t>Osadenie chráničky káblov nad DN 80 do DN 110 - kábel VO (vr.mat.)</t>
  </si>
  <si>
    <r>
      <t>Záhonová lišta EKO-BRIM (</t>
    </r>
    <r>
      <rPr>
        <sz val="8"/>
        <color indexed="17"/>
        <rFont val="Arial"/>
        <family val="2"/>
      </rPr>
      <t>vrátane 10% stratného zaokrúhlene)</t>
    </r>
  </si>
  <si>
    <r>
      <t xml:space="preserve">Klince pre lištu EKO-BRIM </t>
    </r>
    <r>
      <rPr>
        <sz val="8"/>
        <color indexed="17"/>
        <rFont val="Arial"/>
        <family val="2"/>
      </rPr>
      <t>(5ks/bm, vrátane 10% stratného zaokrúhlene)</t>
    </r>
  </si>
  <si>
    <t>Netkaná geotextília 50g/m²  (vr. straty 20% na prekryvoch)</t>
  </si>
  <si>
    <t>Drevené koly 2,5m polov. 6 cm (spojky - horné a spodné priečne laty 9x 0,7m =&gt;narezané z 2,5m kolov)</t>
  </si>
  <si>
    <t>*_Rozpočet nezohľadňuje nepredvídateľné situácie, ktoré môžu vzniknúť počas realizácie._Zálievky zahrnuté do rozpočtu sú jednorazové!_ Rezervy na materiál sú znázornené v opise položky konkrétneho materiálu.</t>
  </si>
  <si>
    <t>Plošná úprava terénu pri nerovnostiach ± 15 cm (plochy trávnikov medzi navrh. spev.plochami - časť v rovine)</t>
  </si>
  <si>
    <r>
      <t>Oceľ.tyč Ø12 mm, kotvenie oceľ.pásoviny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>(500mm x Ø12 mm - 2ks/m, 112 m mlatové plochy+2 m schody s +5%rezervvou - zaokrúhlene)</t>
    </r>
  </si>
  <si>
    <t>Informačná tabuľka pre herné prvky - mont+ mat</t>
  </si>
  <si>
    <t>Inšpekčný certifikát</t>
  </si>
  <si>
    <t xml:space="preserve"> Odpočet - prípočet</t>
  </si>
  <si>
    <t>F</t>
  </si>
  <si>
    <t xml:space="preserve">Súčet riadkov 21 až 23: </t>
  </si>
  <si>
    <t xml:space="preserve"> DPH    0% z:</t>
  </si>
  <si>
    <t xml:space="preserve"> DPH   20% z:</t>
  </si>
  <si>
    <t>pečiatka:</t>
  </si>
  <si>
    <t xml:space="preserve">Súčet riadkov 5, 10, 15 a 20: </t>
  </si>
  <si>
    <t>podpis:</t>
  </si>
  <si>
    <t>dátum:</t>
  </si>
  <si>
    <t>Celkové náklady</t>
  </si>
  <si>
    <t>E</t>
  </si>
  <si>
    <t>odberateľ, obstarávateľ</t>
  </si>
  <si>
    <t xml:space="preserve">Súčet riadkov 16 až 19: </t>
  </si>
  <si>
    <t xml:space="preserve"> Projektové práce</t>
  </si>
  <si>
    <t xml:space="preserve"> Inžinierska činnosť</t>
  </si>
  <si>
    <t xml:space="preserve"> Ostatné náklady uvedené v rozpočte</t>
  </si>
  <si>
    <t>ON - ostatné náklady</t>
  </si>
  <si>
    <t>D</t>
  </si>
  <si>
    <t>dodávateľ, zhotoviteľ</t>
  </si>
  <si>
    <t>projektant, rozpočtár, cenár</t>
  </si>
  <si>
    <t xml:space="preserve">Súčet riadkov 11 až 14: </t>
  </si>
  <si>
    <t xml:space="preserve">Súčet riadkov 6 až 9: </t>
  </si>
  <si>
    <t xml:space="preserve"> Súčet:</t>
  </si>
  <si>
    <t xml:space="preserve"> Iné:</t>
  </si>
  <si>
    <t xml:space="preserve"> Sťažené podmienky</t>
  </si>
  <si>
    <t xml:space="preserve"> Bez pevnej podlahy</t>
  </si>
  <si>
    <t xml:space="preserve"> MCE:</t>
  </si>
  <si>
    <t xml:space="preserve"> Prevádzkové vplyvy</t>
  </si>
  <si>
    <t xml:space="preserve"> Murárske výpomoce</t>
  </si>
  <si>
    <t xml:space="preserve"> PSV:</t>
  </si>
  <si>
    <t xml:space="preserve"> Zariadenie staveniska</t>
  </si>
  <si>
    <t xml:space="preserve"> Práce nadčas</t>
  </si>
  <si>
    <t xml:space="preserve"> HSV:</t>
  </si>
  <si>
    <t>NUS - náklady umiestnenia stavby</t>
  </si>
  <si>
    <t>C</t>
  </si>
  <si>
    <t>IN - Individuálne náklady</t>
  </si>
  <si>
    <t>B</t>
  </si>
  <si>
    <t>Spolu ZRN</t>
  </si>
  <si>
    <t>Špecifikovaný materiál</t>
  </si>
  <si>
    <t>Konštrukcie</t>
  </si>
  <si>
    <t xml:space="preserve"> ZRN</t>
  </si>
  <si>
    <t>A</t>
  </si>
  <si>
    <t>M</t>
  </si>
  <si>
    <t>M2 ZP</t>
  </si>
  <si>
    <t>M2 UP</t>
  </si>
  <si>
    <t>M3 OP</t>
  </si>
  <si>
    <t>IČ DPH:</t>
  </si>
  <si>
    <t>DIČ:</t>
  </si>
  <si>
    <t>IČO:</t>
  </si>
  <si>
    <t xml:space="preserve"> Projektant:</t>
  </si>
  <si>
    <t>Mesiac 2015</t>
  </si>
  <si>
    <t>za obdobie</t>
  </si>
  <si>
    <t>EUR</t>
  </si>
  <si>
    <t>Krycí list OP v</t>
  </si>
  <si>
    <t>OP</t>
  </si>
  <si>
    <t xml:space="preserve"> Dodávateľ:</t>
  </si>
  <si>
    <t>Krycí list splátky v</t>
  </si>
  <si>
    <t>VF</t>
  </si>
  <si>
    <t xml:space="preserve"> Odberateľ:</t>
  </si>
  <si>
    <t>Krycí list výrobnej kalkulácie v</t>
  </si>
  <si>
    <t>VK</t>
  </si>
  <si>
    <t xml:space="preserve">Zmluva č.: </t>
  </si>
  <si>
    <t>Čerpanie</t>
  </si>
  <si>
    <t xml:space="preserve">Spracoval: </t>
  </si>
  <si>
    <t xml:space="preserve">JKSO : </t>
  </si>
  <si>
    <t xml:space="preserve"> Objekt : SO č.2 Verejné osvetlenie</t>
  </si>
  <si>
    <t>Krycí list rozpočtu v</t>
  </si>
  <si>
    <t>Rozpočet</t>
  </si>
  <si>
    <t xml:space="preserve">Rozpočet: </t>
  </si>
  <si>
    <t xml:space="preserve">Miesto: </t>
  </si>
  <si>
    <t xml:space="preserve"> Stavba : Oddychová zóna - Čínska ulica, Košice</t>
  </si>
  <si>
    <t>Obdobie</t>
  </si>
  <si>
    <t>Hlavička2</t>
  </si>
  <si>
    <t>Mena</t>
  </si>
  <si>
    <t>Hlavička1</t>
  </si>
  <si>
    <t>V module</t>
  </si>
  <si>
    <t>Rozpočet celkom:</t>
  </si>
  <si>
    <t>M46 - 202 Zemné práce vykonávané pri externých mon spolu:</t>
  </si>
  <si>
    <t>Úprava terénu spolu:</t>
  </si>
  <si>
    <t>Odvoz zeminy spolu:</t>
  </si>
  <si>
    <t>Zásyp rýh spolu:</t>
  </si>
  <si>
    <t>Krytie káblov, spojok, odbočníc spolu:</t>
  </si>
  <si>
    <t>Káblové ryhy spolu:</t>
  </si>
  <si>
    <t>Stožiarové púzdra spolu:</t>
  </si>
  <si>
    <t>Stožiarové puzdra spolu:</t>
  </si>
  <si>
    <t>Prípravné terénne práce spolu:</t>
  </si>
  <si>
    <t>Vytyčovanie trás spolu:</t>
  </si>
  <si>
    <t>M21 - 155 Elektromontáže spolu:</t>
  </si>
  <si>
    <t>M21090 spolu:</t>
  </si>
  <si>
    <t>M21080 spolu:</t>
  </si>
  <si>
    <t>Vedenia uzemňovacie spolu:</t>
  </si>
  <si>
    <t>Svietidlá a osvetľovacie zariadenia spolu:</t>
  </si>
  <si>
    <t>Ukončenie vodičov - súbory pre káble spolu:</t>
  </si>
  <si>
    <t>Rúrkové vedenie, krabice, svorkovnice spolu:</t>
  </si>
  <si>
    <t>799 - PSV ostatné spolu:</t>
  </si>
  <si>
    <t>I99999 spolu:</t>
  </si>
  <si>
    <t>9 - OSTATNÉ KONŠTRUKCIE A PRÁCE spolu:</t>
  </si>
  <si>
    <t>Poplatok za ulož. a znešk. staveb. odpadu na urč.skládkach - ostatný o</t>
  </si>
  <si>
    <t>Spolu</t>
  </si>
  <si>
    <t>materiál</t>
  </si>
  <si>
    <t>Nh</t>
  </si>
  <si>
    <t>Suť v tonách</t>
  </si>
  <si>
    <t>Hmotnosť v tonách</t>
  </si>
  <si>
    <t>Špecifikovaný</t>
  </si>
  <si>
    <t>Popis položky, stavebného dielu, remesla</t>
  </si>
  <si>
    <t>Rekapitulácia OP v</t>
  </si>
  <si>
    <t>Objekt : SO č.2 Verejné osvetlenie</t>
  </si>
  <si>
    <t>Rekapitulácia splátky v</t>
  </si>
  <si>
    <t>Stavba : Oddychová zóna - Čínska ulica, Košice</t>
  </si>
  <si>
    <t>Rekapitulácia výrobnej kalkulácie v</t>
  </si>
  <si>
    <t xml:space="preserve">Dodávateľ: </t>
  </si>
  <si>
    <t>Rekapitulácia rozpočtu v</t>
  </si>
  <si>
    <t xml:space="preserve">Projektant: </t>
  </si>
  <si>
    <t xml:space="preserve">Odberateľ: </t>
  </si>
  <si>
    <t>M46/M46062/</t>
  </si>
  <si>
    <t>M46/</t>
  </si>
  <si>
    <t>S</t>
  </si>
  <si>
    <t>MK</t>
  </si>
  <si>
    <t>1</t>
  </si>
  <si>
    <t>45.11.21</t>
  </si>
  <si>
    <t>460620013</t>
  </si>
  <si>
    <t xml:space="preserve">190620013           </t>
  </si>
  <si>
    <t xml:space="preserve"> M46/M46062/0037    </t>
  </si>
  <si>
    <t>m2</t>
  </si>
  <si>
    <t>Provizórna úprava terénu, zemina tr 3</t>
  </si>
  <si>
    <t>946</t>
  </si>
  <si>
    <t xml:space="preserve">   32  </t>
  </si>
  <si>
    <t>Úprava terénu</t>
  </si>
  <si>
    <t>M46062</t>
  </si>
  <si>
    <t>M46/M46060/</t>
  </si>
  <si>
    <t>45.11.24</t>
  </si>
  <si>
    <t>460600001</t>
  </si>
  <si>
    <t xml:space="preserve">190600001           </t>
  </si>
  <si>
    <t xml:space="preserve"> M46/M46060/0036    </t>
  </si>
  <si>
    <t>m3</t>
  </si>
  <si>
    <t>Odvoz zeminy do 1km</t>
  </si>
  <si>
    <t xml:space="preserve">   31  </t>
  </si>
  <si>
    <t>Odvoz zeminy</t>
  </si>
  <si>
    <t>M46060</t>
  </si>
  <si>
    <t>M46/M46056/</t>
  </si>
  <si>
    <t>460560163</t>
  </si>
  <si>
    <t xml:space="preserve">190560163           </t>
  </si>
  <si>
    <t xml:space="preserve"> M46/M46056/0035    </t>
  </si>
  <si>
    <t>Zásyp ryhy šírky 35, hĺbky 80, zemina tr 3</t>
  </si>
  <si>
    <t xml:space="preserve">   30  </t>
  </si>
  <si>
    <t>Zásyp rýh</t>
  </si>
  <si>
    <t>M46056</t>
  </si>
  <si>
    <t>M46/M46049/</t>
  </si>
  <si>
    <t>45.21.44</t>
  </si>
  <si>
    <t>460490011</t>
  </si>
  <si>
    <t xml:space="preserve">190490011           </t>
  </si>
  <si>
    <t xml:space="preserve"> M46/M46049/0033    </t>
  </si>
  <si>
    <t>Zakrytie káblov výstražnou fóliou PVC šírky 22cm</t>
  </si>
  <si>
    <t xml:space="preserve">   29  </t>
  </si>
  <si>
    <t>Krytie káblov, spojok, odbočníc</t>
  </si>
  <si>
    <t>M46049</t>
  </si>
  <si>
    <t>M46/M46020/</t>
  </si>
  <si>
    <t>460200163</t>
  </si>
  <si>
    <t xml:space="preserve">190200163           </t>
  </si>
  <si>
    <t xml:space="preserve"> M46/M46020/0031    </t>
  </si>
  <si>
    <t>Káblové ryhy šírky 35, hĺbky 80, zemina tr 3</t>
  </si>
  <si>
    <t xml:space="preserve">   28  </t>
  </si>
  <si>
    <t>Káblové ryhy</t>
  </si>
  <si>
    <t>M46020</t>
  </si>
  <si>
    <t>M46/M46010/</t>
  </si>
  <si>
    <t>45.21.43</t>
  </si>
  <si>
    <t>460100022</t>
  </si>
  <si>
    <t xml:space="preserve">190100022           </t>
  </si>
  <si>
    <t xml:space="preserve"> M46/M46010/0030    </t>
  </si>
  <si>
    <t>kus</t>
  </si>
  <si>
    <t>Stožiarové púzdro pre stožiar VO, v trase, D 250x1500mm</t>
  </si>
  <si>
    <t xml:space="preserve">   27  </t>
  </si>
  <si>
    <t>460100002</t>
  </si>
  <si>
    <t xml:space="preserve">190100002           </t>
  </si>
  <si>
    <t xml:space="preserve"> M46/M46010/0029    </t>
  </si>
  <si>
    <t>Stožiarové púzdro pre stožiar VO, mimo trasy, D 250x1500mm</t>
  </si>
  <si>
    <t xml:space="preserve">   26  </t>
  </si>
  <si>
    <t>Stožiarové púzdra</t>
  </si>
  <si>
    <t>M46010</t>
  </si>
  <si>
    <t>M46/M46005/</t>
  </si>
  <si>
    <t>460050003</t>
  </si>
  <si>
    <t xml:space="preserve">190050003           </t>
  </si>
  <si>
    <t xml:space="preserve"> M46/M46005/0028    </t>
  </si>
  <si>
    <t>Jama - stožiar nepätkový, jedn J, rovina, do 8m, zemina tr 3</t>
  </si>
  <si>
    <t xml:space="preserve">   25  </t>
  </si>
  <si>
    <t>Stožiarové puzdra</t>
  </si>
  <si>
    <t>M46005</t>
  </si>
  <si>
    <t>M46/M46003/</t>
  </si>
  <si>
    <t>460030007</t>
  </si>
  <si>
    <t xml:space="preserve">190030007           </t>
  </si>
  <si>
    <t xml:space="preserve"> M46/M46003/0027    </t>
  </si>
  <si>
    <t>Odobratie ornice ručne nad 15 cm, zemina tr. 2</t>
  </si>
  <si>
    <t xml:space="preserve">   24  </t>
  </si>
  <si>
    <t>Prípravné terénne práce</t>
  </si>
  <si>
    <t>M46003</t>
  </si>
  <si>
    <t>M46/M46001/</t>
  </si>
  <si>
    <t>460010011</t>
  </si>
  <si>
    <t xml:space="preserve">190010011           </t>
  </si>
  <si>
    <t xml:space="preserve"> M46/M46001/0026    </t>
  </si>
  <si>
    <t>Vytýčenie trasy M21 NN vedenia v prehľadnom teréne</t>
  </si>
  <si>
    <t xml:space="preserve">   23  </t>
  </si>
  <si>
    <t>Vytyčovanie trás</t>
  </si>
  <si>
    <t>M46001</t>
  </si>
  <si>
    <t>M46 - 202 Zemné práce vykonávané pri externých mon</t>
  </si>
  <si>
    <t>M46</t>
  </si>
  <si>
    <t>M21/M21090/</t>
  </si>
  <si>
    <t>M21/</t>
  </si>
  <si>
    <t>MZ</t>
  </si>
  <si>
    <t>2</t>
  </si>
  <si>
    <t xml:space="preserve">                    </t>
  </si>
  <si>
    <t>31.30.13</t>
  </si>
  <si>
    <t>341400M140</t>
  </si>
  <si>
    <t xml:space="preserve">341400M140          </t>
  </si>
  <si>
    <t xml:space="preserve"> M21/M21090/0025    </t>
  </si>
  <si>
    <t>Kábel Al 750V : AYKY-J 4x16</t>
  </si>
  <si>
    <t xml:space="preserve">   22  </t>
  </si>
  <si>
    <t>45.31.1*</t>
  </si>
  <si>
    <t>210901045</t>
  </si>
  <si>
    <t xml:space="preserve">741901045           </t>
  </si>
  <si>
    <t xml:space="preserve"> M21/M21090/0024    </t>
  </si>
  <si>
    <t>Kábel 750V pevne uložený AYKY 4x16</t>
  </si>
  <si>
    <t>921</t>
  </si>
  <si>
    <t xml:space="preserve">   21  </t>
  </si>
  <si>
    <t>M21090</t>
  </si>
  <si>
    <t>M21/M21080/</t>
  </si>
  <si>
    <t>8</t>
  </si>
  <si>
    <t xml:space="preserve">08500020            </t>
  </si>
  <si>
    <t xml:space="preserve">  .  .  </t>
  </si>
  <si>
    <t>921AN33192</t>
  </si>
  <si>
    <t xml:space="preserve">921AN33192          </t>
  </si>
  <si>
    <t xml:space="preserve"> M21/M21080/0023    </t>
  </si>
  <si>
    <t>Výzbroj 721 AL stožiarová</t>
  </si>
  <si>
    <t xml:space="preserve">   20  </t>
  </si>
  <si>
    <t>341510M030</t>
  </si>
  <si>
    <t xml:space="preserve">341510M030          </t>
  </si>
  <si>
    <t xml:space="preserve"> M21/M21080/0022    </t>
  </si>
  <si>
    <t>Kábel ohybný gumený Cu 750V : CGSG 3G2,50</t>
  </si>
  <si>
    <t xml:space="preserve">   19  </t>
  </si>
  <si>
    <t>210802412</t>
  </si>
  <si>
    <t xml:space="preserve">741802412           </t>
  </si>
  <si>
    <t xml:space="preserve"> M21/M21080/0021    </t>
  </si>
  <si>
    <t>Šnúra gumená 750V voľne uložená CGSG 3x2,5</t>
  </si>
  <si>
    <t xml:space="preserve">   18  </t>
  </si>
  <si>
    <t>M21080</t>
  </si>
  <si>
    <t>M21/M21022/</t>
  </si>
  <si>
    <t>31.20.10</t>
  </si>
  <si>
    <t>3549000A34</t>
  </si>
  <si>
    <t xml:space="preserve">3549000A34          </t>
  </si>
  <si>
    <t xml:space="preserve"> M21/M21022/0020    </t>
  </si>
  <si>
    <t>Pásovina uzemňovacia FeZn 30x4</t>
  </si>
  <si>
    <t xml:space="preserve">   17  </t>
  </si>
  <si>
    <t>210220021</t>
  </si>
  <si>
    <t xml:space="preserve">741220021           </t>
  </si>
  <si>
    <t xml:space="preserve"> M21/M21022/0019    </t>
  </si>
  <si>
    <t>Vedenie uzemňovacie v zemi FeZn do 120mm2, vrátane svoriek</t>
  </si>
  <si>
    <t xml:space="preserve">   16  </t>
  </si>
  <si>
    <t>Vedenia uzemňovacie</t>
  </si>
  <si>
    <t>M21022</t>
  </si>
  <si>
    <t>M21/M21020/</t>
  </si>
  <si>
    <t xml:space="preserve">St 260/76           </t>
  </si>
  <si>
    <t>28.11.22</t>
  </si>
  <si>
    <t>316700E162p</t>
  </si>
  <si>
    <t xml:space="preserve">316700E162p         </t>
  </si>
  <si>
    <t xml:space="preserve"> M21/M21020/0019    </t>
  </si>
  <si>
    <t>Stožiar osvetľovací rúrový : Stb 6/60, výška 6m, žiarovo zinkovaný</t>
  </si>
  <si>
    <t xml:space="preserve">   15  </t>
  </si>
  <si>
    <t>210204002</t>
  </si>
  <si>
    <t xml:space="preserve">741204002           </t>
  </si>
  <si>
    <t xml:space="preserve"> M21/M21020/0017    </t>
  </si>
  <si>
    <t>Stožiar osvetlovací sadový oceľový</t>
  </si>
  <si>
    <t xml:space="preserve">   14  </t>
  </si>
  <si>
    <t xml:space="preserve">FPL068221LEDBI      </t>
  </si>
  <si>
    <t>31.50.25</t>
  </si>
  <si>
    <t>3481M00003p</t>
  </si>
  <si>
    <t xml:space="preserve">3481M00003p         </t>
  </si>
  <si>
    <t xml:space="preserve"> M21/M21020/0016    </t>
  </si>
  <si>
    <t>Smart LED pouličné svietidlo CL 17-50W. IP 65, 230V, 4000K</t>
  </si>
  <si>
    <t xml:space="preserve">   13  </t>
  </si>
  <si>
    <t xml:space="preserve">FPL068208LEDBI      </t>
  </si>
  <si>
    <t>3481M00001p</t>
  </si>
  <si>
    <t xml:space="preserve">3481M00001p         </t>
  </si>
  <si>
    <t>Redukcia - nastavitelný uhol</t>
  </si>
  <si>
    <t xml:space="preserve">   12  </t>
  </si>
  <si>
    <t>210203501</t>
  </si>
  <si>
    <t xml:space="preserve">741203501           </t>
  </si>
  <si>
    <t xml:space="preserve"> M21/M21020/0015    </t>
  </si>
  <si>
    <t>Svietidlo VO  1x125-400W, montáž na výložníku</t>
  </si>
  <si>
    <t xml:space="preserve">   11  </t>
  </si>
  <si>
    <t>Svietidlá a osvetľovacie zariadenia</t>
  </si>
  <si>
    <t>M21020</t>
  </si>
  <si>
    <t>M21/M21010/</t>
  </si>
  <si>
    <t xml:space="preserve">502K033/S           </t>
  </si>
  <si>
    <t>354351R003</t>
  </si>
  <si>
    <t xml:space="preserve">354351R003          </t>
  </si>
  <si>
    <t xml:space="preserve"> M21/M21010/0011    </t>
  </si>
  <si>
    <t>Utesňovacia rozdeľovacia hlava pre 4-žilový kábel 1kV : 502K033/S, pre 4x [4÷35]mm2</t>
  </si>
  <si>
    <t xml:space="preserve">   10  </t>
  </si>
  <si>
    <t>210100252</t>
  </si>
  <si>
    <t xml:space="preserve">741100252           </t>
  </si>
  <si>
    <t xml:space="preserve"> M21/M21010/0009    </t>
  </si>
  <si>
    <t>Ukončenie káblov celoplastových smršť. záklopkou 4x16-25</t>
  </si>
  <si>
    <t xml:space="preserve">    9  </t>
  </si>
  <si>
    <t>210100003</t>
  </si>
  <si>
    <t xml:space="preserve">741100003           </t>
  </si>
  <si>
    <t xml:space="preserve"> M21/M21010/0008    </t>
  </si>
  <si>
    <t>Ukončenie vodiča v rozvádzači a zapojenie 10-16</t>
  </si>
  <si>
    <t xml:space="preserve">    8  </t>
  </si>
  <si>
    <t>Ukončenie vodičov - súbory pre káble</t>
  </si>
  <si>
    <t>M21010</t>
  </si>
  <si>
    <t>M21/M21001/</t>
  </si>
  <si>
    <t xml:space="preserve">19200049.00         </t>
  </si>
  <si>
    <t>31.20.27</t>
  </si>
  <si>
    <t>345659D306</t>
  </si>
  <si>
    <t xml:space="preserve">345659D306          </t>
  </si>
  <si>
    <t xml:space="preserve"> M21/M21001/0010    </t>
  </si>
  <si>
    <t>Spojka plastová PP nasúvacia : ZPS b 50, pre plastové rúrky, biela</t>
  </si>
  <si>
    <t xml:space="preserve">    7  </t>
  </si>
  <si>
    <t xml:space="preserve">19200136.00         </t>
  </si>
  <si>
    <t>345653D506</t>
  </si>
  <si>
    <t xml:space="preserve">345653D506          </t>
  </si>
  <si>
    <t xml:space="preserve"> M21/M21001/0008    </t>
  </si>
  <si>
    <t>Rúrka el-inšt plastová PVC tuhá : RS b 50, bez hrdla, biela</t>
  </si>
  <si>
    <t xml:space="preserve">    6  </t>
  </si>
  <si>
    <t>210010026</t>
  </si>
  <si>
    <t xml:space="preserve">74211-0026          </t>
  </si>
  <si>
    <t>Montáž el-inšt rúrky (plast) tuhá, uložená pevne D63 (d57)mm</t>
  </si>
  <si>
    <t xml:space="preserve">    5  </t>
  </si>
  <si>
    <t>Rúrkové vedenie, krabice, svorkovnice</t>
  </si>
  <si>
    <t>M21001</t>
  </si>
  <si>
    <t>M21 - 155 Elektromontáže</t>
  </si>
  <si>
    <t>M21</t>
  </si>
  <si>
    <t>I999/I99999/</t>
  </si>
  <si>
    <t>I999/</t>
  </si>
  <si>
    <t>IK</t>
  </si>
  <si>
    <t>7</t>
  </si>
  <si>
    <t>45.34.32</t>
  </si>
  <si>
    <t>999997006_de</t>
  </si>
  <si>
    <t xml:space="preserve">99999-7006          </t>
  </si>
  <si>
    <t>I</t>
  </si>
  <si>
    <t xml:space="preserve"> I999/I99999/0005   </t>
  </si>
  <si>
    <t>hod</t>
  </si>
  <si>
    <t>Konštrukcie a práce PSV, HZS T6 - demontáže 5 stožiarov so svietidlami</t>
  </si>
  <si>
    <t>700</t>
  </si>
  <si>
    <t xml:space="preserve">    4  </t>
  </si>
  <si>
    <t>999997006/p</t>
  </si>
  <si>
    <t xml:space="preserve">999997006           </t>
  </si>
  <si>
    <t>Konštrukcie a práce PSV, HZS T6 / revizia</t>
  </si>
  <si>
    <t xml:space="preserve">    3  </t>
  </si>
  <si>
    <t>999997006</t>
  </si>
  <si>
    <t xml:space="preserve"> I999/I99999/0004   </t>
  </si>
  <si>
    <t>Konštrukcie a práce PSV, HZS T6 - geodeticke zameranie skut. stavu</t>
  </si>
  <si>
    <t xml:space="preserve">    2  </t>
  </si>
  <si>
    <t>I99999</t>
  </si>
  <si>
    <t>799 - PSV ostatné</t>
  </si>
  <si>
    <t>I999</t>
  </si>
  <si>
    <t>E9/E97913/</t>
  </si>
  <si>
    <t>E9/</t>
  </si>
  <si>
    <t>EK</t>
  </si>
  <si>
    <t>45.11.11</t>
  </si>
  <si>
    <t>979131409</t>
  </si>
  <si>
    <t xml:space="preserve">979131409           </t>
  </si>
  <si>
    <t xml:space="preserve"> E9/E97913/0001     </t>
  </si>
  <si>
    <t>Poplatok za ulož.a znešk.staveb.sute na vymedzených skládkach "O"-ostatný odpad</t>
  </si>
  <si>
    <t>013</t>
  </si>
  <si>
    <t xml:space="preserve">    1  </t>
  </si>
  <si>
    <t>E97913</t>
  </si>
  <si>
    <t>9 - OSTATNÉ KONŠTRUKCIE A PRÁCE</t>
  </si>
  <si>
    <t>E9</t>
  </si>
  <si>
    <t>pozícia</t>
  </si>
  <si>
    <t>pre KL</t>
  </si>
  <si>
    <t>ceny</t>
  </si>
  <si>
    <t>číslo</t>
  </si>
  <si>
    <t>produkcie</t>
  </si>
  <si>
    <t>pre tlač</t>
  </si>
  <si>
    <t>položky</t>
  </si>
  <si>
    <t>DPH</t>
  </si>
  <si>
    <t>z režimu stavba</t>
  </si>
  <si>
    <t>zostatok</t>
  </si>
  <si>
    <t>od začiatku</t>
  </si>
  <si>
    <t>rozpočtované</t>
  </si>
  <si>
    <t>%</t>
  </si>
  <si>
    <t>Jednotková</t>
  </si>
  <si>
    <t>cena</t>
  </si>
  <si>
    <t>jednotka</t>
  </si>
  <si>
    <t>výmera</t>
  </si>
  <si>
    <t>výkaz-výmer</t>
  </si>
  <si>
    <t>cenníka</t>
  </si>
  <si>
    <t>Lev3</t>
  </si>
  <si>
    <t>Lev2</t>
  </si>
  <si>
    <t>Lev1</t>
  </si>
  <si>
    <t>Lev0</t>
  </si>
  <si>
    <t>Zaradenie</t>
  </si>
  <si>
    <t>Index mn.</t>
  </si>
  <si>
    <t>Index JC</t>
  </si>
  <si>
    <t>Jedn. cena</t>
  </si>
  <si>
    <t>AD</t>
  </si>
  <si>
    <t>AC</t>
  </si>
  <si>
    <t>Typ</t>
  </si>
  <si>
    <t>Katalógové</t>
  </si>
  <si>
    <t>Klasifikácia</t>
  </si>
  <si>
    <t>Vysoká sadzba</t>
  </si>
  <si>
    <t>Vyňatý</t>
  </si>
  <si>
    <t>Pozícia</t>
  </si>
  <si>
    <t>Merná</t>
  </si>
  <si>
    <t>Popis položky, stavebného dielu, remesla,</t>
  </si>
  <si>
    <t>Kód</t>
  </si>
  <si>
    <t>Por.</t>
  </si>
  <si>
    <t>N</t>
  </si>
  <si>
    <t>Súpis plánovaných prác a dodávok v</t>
  </si>
  <si>
    <t>Súpis vykonaných prác a dodávok v</t>
  </si>
  <si>
    <t>Prehľad kalkulovaných nákladov v</t>
  </si>
  <si>
    <t>Prehľad rozpočtových nákladov v</t>
  </si>
  <si>
    <t>Formát</t>
  </si>
  <si>
    <t>Počet des.miest</t>
  </si>
  <si>
    <t xml:space="preserve">Dátum: </t>
  </si>
  <si>
    <t xml:space="preserve">Dňa: </t>
  </si>
  <si>
    <t>Dodávateľ: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</si>
</sst>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00"/>
    <numFmt numFmtId="176" formatCode="0.00_ ;\-0.00\ "/>
    <numFmt numFmtId="177" formatCode="#,##0.000"/>
    <numFmt numFmtId="179" formatCode="#,##0.00_ ;\-#,##0.00\ "/>
    <numFmt numFmtId="185" formatCode="#,##0.00\ [$€-1]"/>
    <numFmt numFmtId="187" formatCode="#,##0.0"/>
    <numFmt numFmtId="188" formatCode="000&quot; &quot;00&quot; &quot;0000"/>
    <numFmt numFmtId="190" formatCode="#,##0.0000"/>
    <numFmt numFmtId="191" formatCode="#,##0.00000"/>
    <numFmt numFmtId="192" formatCode="0&quot;km&quot;"/>
    <numFmt numFmtId="193" formatCode="0&quot; aút&quot;"/>
    <numFmt numFmtId="200" formatCode="0.00;\-0.00"/>
    <numFmt numFmtId="203" formatCode="#,##0.00\ &quot;€&quot;"/>
    <numFmt numFmtId="208" formatCode="0.0000"/>
    <numFmt numFmtId="219" formatCode="0.00&quot;m²&quot;"/>
    <numFmt numFmtId="226" formatCode="#,##0\ "/>
    <numFmt numFmtId="227" formatCode="#,##0&quot; Sk&quot;"/>
    <numFmt numFmtId="228" formatCode="#,##0&quot;     &quot;"/>
    <numFmt numFmtId="229" formatCode="#,##0&quot; Sk&quot;;[Red]\-#,##0&quot; Sk&quot;"/>
    <numFmt numFmtId="230" formatCode="\ #,##0&quot; Sk &quot;;\-#,##0&quot; Sk &quot;;&quot; - Sk &quot;;@\ 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vertAlign val="superscript"/>
      <sz val="8"/>
      <name val="Arial"/>
      <family val="2"/>
    </font>
    <font>
      <b/>
      <sz val="8"/>
      <name val="Tahoma"/>
      <family val="2"/>
    </font>
    <font>
      <sz val="8"/>
      <color indexed="5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Calibri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u val="single"/>
      <sz val="8"/>
      <color indexed="53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6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color indexed="62"/>
      <name val="Arial"/>
      <family val="2"/>
    </font>
    <font>
      <u val="single"/>
      <sz val="8"/>
      <name val="Arial"/>
      <family val="2"/>
    </font>
    <font>
      <sz val="11"/>
      <color indexed="8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8"/>
      <color indexed="3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30"/>
      <name val="Arial"/>
      <family val="2"/>
    </font>
    <font>
      <b/>
      <sz val="11"/>
      <color indexed="10"/>
      <name val="Arial"/>
      <family val="2"/>
    </font>
    <font>
      <sz val="10"/>
      <name val="Arial CE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10"/>
      <name val="Arial Narrow"/>
      <family val="2"/>
    </font>
    <font>
      <b/>
      <sz val="7"/>
      <name val="Letter Gothic CE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16"/>
      <name val="Arial"/>
      <family val="2"/>
    </font>
    <font>
      <sz val="8"/>
      <color indexed="12"/>
      <name val="Arial Narrow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B0F0"/>
      <name val="Arial"/>
      <family val="2"/>
    </font>
    <font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  <font>
      <sz val="8"/>
      <color rgb="FF0070C0"/>
      <name val="Arial"/>
      <family val="2"/>
    </font>
    <font>
      <b/>
      <u val="single"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8"/>
      <color rgb="FF0070C0"/>
      <name val="Arial"/>
      <family val="2"/>
    </font>
    <font>
      <b/>
      <sz val="11"/>
      <color rgb="FFFF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FFB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CF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ABE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0" borderId="1">
      <alignment vertical="center"/>
      <protection/>
    </xf>
    <xf numFmtId="0" fontId="0" fillId="0" borderId="0" applyFill="0" applyBorder="0">
      <alignment vertical="center"/>
      <protection/>
    </xf>
    <xf numFmtId="229" fontId="71" fillId="0" borderId="1">
      <alignment/>
      <protection/>
    </xf>
    <xf numFmtId="0" fontId="0" fillId="0" borderId="1" applyFill="0">
      <alignment/>
      <protection/>
    </xf>
    <xf numFmtId="230" fontId="0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44" fontId="86" fillId="0" borderId="2">
      <alignment/>
      <protection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74" fillId="33" borderId="3" applyNumberFormat="0" applyAlignment="0" applyProtection="0"/>
    <xf numFmtId="0" fontId="10" fillId="0" borderId="4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0" borderId="0">
      <alignment/>
      <protection/>
    </xf>
    <xf numFmtId="0" fontId="3" fillId="9" borderId="0" applyNumberFormat="0" applyBorder="0" applyAlignment="0" applyProtection="0"/>
    <xf numFmtId="0" fontId="75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35" borderId="8" applyNumberFormat="0" applyAlignment="0" applyProtection="0"/>
    <xf numFmtId="0" fontId="17" fillId="32" borderId="0" applyNumberFormat="0" applyBorder="0" applyAlignment="0" applyProtection="0"/>
    <xf numFmtId="0" fontId="13" fillId="13" borderId="3" applyNumberFormat="0" applyAlignment="0" applyProtection="0"/>
    <xf numFmtId="0" fontId="4" fillId="36" borderId="8" applyNumberFormat="0" applyAlignment="0" applyProtection="0"/>
    <xf numFmtId="0" fontId="4" fillId="35" borderId="8" applyNumberFormat="0" applyAlignment="0" applyProtection="0"/>
    <xf numFmtId="0" fontId="11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13" borderId="0" applyNumberFormat="0" applyBorder="0" applyAlignment="0" applyProtection="0"/>
    <xf numFmtId="0" fontId="8" fillId="37" borderId="0" applyNumberFormat="0" applyBorder="0" applyAlignment="0" applyProtection="0"/>
    <xf numFmtId="0" fontId="8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4" borderId="13" applyNumberFormat="0" applyAlignment="0" applyProtection="0"/>
    <xf numFmtId="0" fontId="15" fillId="33" borderId="14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38" borderId="13" applyNumberFormat="0" applyFont="0" applyAlignment="0" applyProtection="0"/>
    <xf numFmtId="0" fontId="9" fillId="0" borderId="15" applyNumberFormat="0" applyFill="0" applyAlignment="0" applyProtection="0"/>
    <xf numFmtId="0" fontId="11" fillId="0" borderId="9" applyNumberFormat="0" applyFill="0" applyAlignment="0" applyProtection="0"/>
    <xf numFmtId="0" fontId="10" fillId="0" borderId="16" applyNumberFormat="0" applyFill="0" applyAlignment="0" applyProtection="0"/>
    <xf numFmtId="0" fontId="3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71" fillId="0" borderId="0" applyBorder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17">
      <alignment vertical="center"/>
      <protection/>
    </xf>
    <xf numFmtId="0" fontId="8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3" fillId="12" borderId="3" applyNumberFormat="0" applyAlignment="0" applyProtection="0"/>
    <xf numFmtId="0" fontId="14" fillId="39" borderId="3" applyNumberFormat="0" applyAlignment="0" applyProtection="0"/>
    <xf numFmtId="0" fontId="15" fillId="39" borderId="1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43" borderId="0" applyNumberFormat="0" applyBorder="0" applyAlignment="0" applyProtection="0"/>
  </cellStyleXfs>
  <cellXfs count="11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121" applyFont="1" applyFill="1" applyBorder="1" applyAlignment="1">
      <alignment horizontal="center" vertical="center"/>
      <protection/>
    </xf>
    <xf numFmtId="0" fontId="87" fillId="0" borderId="18" xfId="1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2" fontId="4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44" fontId="19" fillId="0" borderId="19" xfId="12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42" fillId="0" borderId="0" xfId="124" applyNumberFormat="1" applyFont="1" applyFill="1" applyAlignment="1">
      <alignment horizontal="left" vertical="center"/>
      <protection/>
    </xf>
    <xf numFmtId="0" fontId="0" fillId="0" borderId="20" xfId="0" applyNumberFormat="1" applyFont="1" applyFill="1" applyBorder="1" applyAlignment="1">
      <alignment horizontal="left" vertical="center"/>
    </xf>
    <xf numFmtId="0" fontId="29" fillId="0" borderId="2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44" borderId="21" xfId="0" applyFont="1" applyFill="1" applyBorder="1" applyAlignment="1">
      <alignment vertical="center"/>
    </xf>
    <xf numFmtId="0" fontId="19" fillId="44" borderId="2" xfId="0" applyFont="1" applyFill="1" applyBorder="1" applyAlignment="1">
      <alignment vertical="center"/>
    </xf>
    <xf numFmtId="0" fontId="18" fillId="0" borderId="22" xfId="124" applyFont="1" applyFill="1" applyBorder="1" applyAlignment="1">
      <alignment vertical="center" wrapText="1"/>
      <protection/>
    </xf>
    <xf numFmtId="0" fontId="18" fillId="0" borderId="23" xfId="124" applyFont="1" applyFill="1" applyBorder="1" applyAlignment="1">
      <alignment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24" xfId="124" applyFont="1" applyFill="1" applyBorder="1" applyAlignment="1">
      <alignment vertical="center" wrapText="1"/>
      <protection/>
    </xf>
    <xf numFmtId="0" fontId="19" fillId="0" borderId="0" xfId="12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45" borderId="26" xfId="0" applyFont="1" applyFill="1" applyBorder="1" applyAlignment="1">
      <alignment vertical="center" wrapText="1"/>
    </xf>
    <xf numFmtId="0" fontId="19" fillId="46" borderId="21" xfId="121" applyFont="1" applyFill="1" applyBorder="1" applyAlignment="1">
      <alignment horizontal="left" vertical="center"/>
      <protection/>
    </xf>
    <xf numFmtId="0" fontId="19" fillId="46" borderId="27" xfId="0" applyFont="1" applyFill="1" applyBorder="1" applyAlignment="1">
      <alignment vertical="center" wrapText="1"/>
    </xf>
    <xf numFmtId="0" fontId="19" fillId="45" borderId="2" xfId="0" applyFont="1" applyFill="1" applyBorder="1" applyAlignment="1">
      <alignment vertical="center"/>
    </xf>
    <xf numFmtId="0" fontId="19" fillId="45" borderId="21" xfId="0" applyFont="1" applyFill="1" applyBorder="1" applyAlignment="1">
      <alignment vertical="center"/>
    </xf>
    <xf numFmtId="0" fontId="19" fillId="45" borderId="19" xfId="0" applyFont="1" applyFill="1" applyBorder="1" applyAlignment="1">
      <alignment vertical="center"/>
    </xf>
    <xf numFmtId="0" fontId="18" fillId="0" borderId="23" xfId="124" applyFont="1" applyFill="1" applyBorder="1" applyAlignment="1">
      <alignment horizontal="center" vertical="center" wrapText="1"/>
      <protection/>
    </xf>
    <xf numFmtId="0" fontId="18" fillId="0" borderId="24" xfId="124" applyFont="1" applyFill="1" applyBorder="1" applyAlignment="1">
      <alignment horizontal="center" vertical="center" wrapText="1"/>
      <protection/>
    </xf>
    <xf numFmtId="0" fontId="18" fillId="0" borderId="24" xfId="0" applyFont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9" fillId="0" borderId="0" xfId="121" applyFont="1" applyFill="1" applyBorder="1" applyAlignment="1">
      <alignment horizontal="center" vertical="center"/>
      <protection/>
    </xf>
    <xf numFmtId="4" fontId="19" fillId="0" borderId="0" xfId="121" applyNumberFormat="1" applyFont="1" applyFill="1" applyBorder="1" applyAlignment="1">
      <alignment horizontal="center" vertical="center"/>
      <protection/>
    </xf>
    <xf numFmtId="0" fontId="19" fillId="0" borderId="0" xfId="121" applyNumberFormat="1" applyFont="1" applyFill="1" applyBorder="1" applyAlignment="1">
      <alignment horizontal="center" vertical="center"/>
      <protection/>
    </xf>
    <xf numFmtId="0" fontId="88" fillId="0" borderId="0" xfId="121" applyNumberFormat="1" applyFont="1" applyFill="1" applyBorder="1" applyAlignment="1">
      <alignment horizontal="center" vertical="center"/>
      <protection/>
    </xf>
    <xf numFmtId="0" fontId="19" fillId="47" borderId="26" xfId="0" applyFont="1" applyFill="1" applyBorder="1" applyAlignment="1">
      <alignment vertical="center" wrapText="1"/>
    </xf>
    <xf numFmtId="0" fontId="19" fillId="48" borderId="26" xfId="0" applyFont="1" applyFill="1" applyBorder="1" applyAlignment="1">
      <alignment vertical="center" wrapText="1"/>
    </xf>
    <xf numFmtId="203" fontId="19" fillId="0" borderId="0" xfId="0" applyNumberFormat="1" applyFont="1" applyFill="1" applyBorder="1" applyAlignment="1">
      <alignment vertical="center"/>
    </xf>
    <xf numFmtId="203" fontId="29" fillId="44" borderId="2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203" fontId="19" fillId="0" borderId="0" xfId="0" applyNumberFormat="1" applyFont="1" applyFill="1" applyBorder="1" applyAlignment="1">
      <alignment horizontal="right" vertical="center"/>
    </xf>
    <xf numFmtId="203" fontId="19" fillId="0" borderId="0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9" fillId="46" borderId="32" xfId="0" applyFont="1" applyFill="1" applyBorder="1" applyAlignment="1">
      <alignment vertical="center" wrapText="1"/>
    </xf>
    <xf numFmtId="44" fontId="19" fillId="0" borderId="0" xfId="0" applyNumberFormat="1" applyFont="1" applyFill="1" applyBorder="1" applyAlignment="1">
      <alignment horizontal="right" vertical="center"/>
    </xf>
    <xf numFmtId="44" fontId="19" fillId="0" borderId="0" xfId="0" applyNumberFormat="1" applyFont="1" applyFill="1" applyBorder="1" applyAlignment="1">
      <alignment horizontal="right" vertical="center"/>
    </xf>
    <xf numFmtId="0" fontId="19" fillId="49" borderId="26" xfId="0" applyFont="1" applyFill="1" applyBorder="1" applyAlignment="1">
      <alignment vertical="center" wrapText="1"/>
    </xf>
    <xf numFmtId="0" fontId="19" fillId="50" borderId="26" xfId="0" applyFont="1" applyFill="1" applyBorder="1" applyAlignment="1">
      <alignment vertical="center" wrapText="1"/>
    </xf>
    <xf numFmtId="0" fontId="19" fillId="51" borderId="26" xfId="0" applyFont="1" applyFill="1" applyBorder="1" applyAlignment="1">
      <alignment vertical="center" wrapText="1"/>
    </xf>
    <xf numFmtId="0" fontId="19" fillId="46" borderId="21" xfId="121" applyFont="1" applyFill="1" applyBorder="1" applyAlignment="1">
      <alignment horizontal="left" vertical="center"/>
      <protection/>
    </xf>
    <xf numFmtId="188" fontId="18" fillId="0" borderId="2" xfId="0" applyNumberFormat="1" applyFont="1" applyBorder="1" applyAlignment="1" applyProtection="1">
      <alignment horizontal="center" vertical="center"/>
      <protection locked="0"/>
    </xf>
    <xf numFmtId="188" fontId="18" fillId="47" borderId="2" xfId="0" applyNumberFormat="1" applyFont="1" applyFill="1" applyBorder="1" applyAlignment="1" applyProtection="1">
      <alignment horizontal="center" vertical="center"/>
      <protection locked="0"/>
    </xf>
    <xf numFmtId="44" fontId="18" fillId="0" borderId="26" xfId="0" applyNumberFormat="1" applyFont="1" applyBorder="1" applyAlignment="1" applyProtection="1">
      <alignment horizontal="center" vertical="center" wrapText="1"/>
      <protection locked="0"/>
    </xf>
    <xf numFmtId="44" fontId="18" fillId="0" borderId="2" xfId="0" applyNumberFormat="1" applyFont="1" applyBorder="1" applyAlignment="1" applyProtection="1">
      <alignment horizontal="center" vertical="center" wrapText="1"/>
      <protection locked="0"/>
    </xf>
    <xf numFmtId="44" fontId="18" fillId="0" borderId="21" xfId="0" applyNumberFormat="1" applyFont="1" applyBorder="1" applyAlignment="1" applyProtection="1">
      <alignment horizontal="center" vertical="center" wrapText="1"/>
      <protection locked="0"/>
    </xf>
    <xf numFmtId="44" fontId="18" fillId="0" borderId="27" xfId="0" applyNumberFormat="1" applyFont="1" applyBorder="1" applyAlignment="1" applyProtection="1">
      <alignment horizontal="center" vertical="center" wrapText="1"/>
      <protection locked="0"/>
    </xf>
    <xf numFmtId="188" fontId="18" fillId="0" borderId="33" xfId="0" applyNumberFormat="1" applyFont="1" applyBorder="1" applyAlignment="1" applyProtection="1">
      <alignment horizontal="center" vertical="center"/>
      <protection locked="0"/>
    </xf>
    <xf numFmtId="188" fontId="18" fillId="52" borderId="33" xfId="0" applyNumberFormat="1" applyFont="1" applyFill="1" applyBorder="1" applyAlignment="1" applyProtection="1">
      <alignment horizontal="center" vertical="center"/>
      <protection locked="0"/>
    </xf>
    <xf numFmtId="188" fontId="18" fillId="53" borderId="18" xfId="0" applyNumberFormat="1" applyFont="1" applyFill="1" applyBorder="1" applyAlignment="1" applyProtection="1">
      <alignment horizontal="center" vertical="center"/>
      <protection locked="0"/>
    </xf>
    <xf numFmtId="188" fontId="18" fillId="0" borderId="19" xfId="0" applyNumberFormat="1" applyFont="1" applyBorder="1" applyAlignment="1" applyProtection="1">
      <alignment horizontal="center" vertical="center"/>
      <protection locked="0"/>
    </xf>
    <xf numFmtId="188" fontId="18" fillId="54" borderId="18" xfId="0" applyNumberFormat="1" applyFont="1" applyFill="1" applyBorder="1" applyAlignment="1" applyProtection="1">
      <alignment horizontal="center" vertical="center"/>
      <protection locked="0"/>
    </xf>
    <xf numFmtId="188" fontId="18" fillId="54" borderId="19" xfId="0" applyNumberFormat="1" applyFont="1" applyFill="1" applyBorder="1" applyAlignment="1" applyProtection="1">
      <alignment horizontal="center" vertical="center"/>
      <protection locked="0"/>
    </xf>
    <xf numFmtId="44" fontId="89" fillId="0" borderId="26" xfId="38" applyFont="1" applyBorder="1" applyAlignment="1" applyProtection="1">
      <alignment horizontal="center" vertical="center"/>
      <protection locked="0"/>
    </xf>
    <xf numFmtId="188" fontId="18" fillId="47" borderId="18" xfId="0" applyNumberFormat="1" applyFont="1" applyFill="1" applyBorder="1" applyAlignment="1" applyProtection="1">
      <alignment horizontal="center" vertical="center"/>
      <protection locked="0"/>
    </xf>
    <xf numFmtId="188" fontId="18" fillId="55" borderId="18" xfId="0" applyNumberFormat="1" applyFont="1" applyFill="1" applyBorder="1" applyAlignment="1" applyProtection="1">
      <alignment horizontal="center" vertical="center"/>
      <protection locked="0"/>
    </xf>
    <xf numFmtId="44" fontId="18" fillId="0" borderId="21" xfId="38" applyFont="1" applyBorder="1" applyAlignment="1" applyProtection="1">
      <alignment horizontal="center" vertical="center"/>
      <protection locked="0"/>
    </xf>
    <xf numFmtId="188" fontId="18" fillId="55" borderId="19" xfId="0" applyNumberFormat="1" applyFont="1" applyFill="1" applyBorder="1" applyAlignment="1" applyProtection="1">
      <alignment horizontal="center" vertical="center"/>
      <protection locked="0"/>
    </xf>
    <xf numFmtId="44" fontId="90" fillId="0" borderId="2" xfId="38" applyFont="1" applyAlignment="1" applyProtection="1">
      <alignment horizontal="center" vertical="center"/>
      <protection locked="0"/>
    </xf>
    <xf numFmtId="44" fontId="90" fillId="0" borderId="18" xfId="38" applyFont="1" applyBorder="1" applyAlignment="1" applyProtection="1">
      <alignment horizontal="center" vertical="center"/>
      <protection locked="0"/>
    </xf>
    <xf numFmtId="44" fontId="90" fillId="0" borderId="19" xfId="38" applyFont="1" applyBorder="1" applyAlignment="1" applyProtection="1">
      <alignment horizontal="center" vertical="center"/>
      <protection locked="0"/>
    </xf>
    <xf numFmtId="44" fontId="90" fillId="0" borderId="33" xfId="38" applyFont="1" applyBorder="1" applyAlignment="1" applyProtection="1">
      <alignment horizontal="center" vertical="center"/>
      <protection locked="0"/>
    </xf>
    <xf numFmtId="44" fontId="91" fillId="0" borderId="18" xfId="38" applyFont="1" applyBorder="1" applyAlignment="1" applyProtection="1">
      <alignment horizontal="center" vertical="center"/>
      <protection locked="0"/>
    </xf>
    <xf numFmtId="44" fontId="91" fillId="0" borderId="26" xfId="0" applyNumberFormat="1" applyFont="1" applyBorder="1" applyAlignment="1" applyProtection="1">
      <alignment horizontal="center" vertical="center" wrapText="1"/>
      <protection locked="0"/>
    </xf>
    <xf numFmtId="44" fontId="91" fillId="0" borderId="27" xfId="0" applyNumberFormat="1" applyFont="1" applyBorder="1" applyAlignment="1" applyProtection="1">
      <alignment horizontal="center" vertical="center" wrapText="1"/>
      <protection locked="0"/>
    </xf>
    <xf numFmtId="44" fontId="89" fillId="0" borderId="21" xfId="38" applyFont="1" applyBorder="1" applyAlignment="1" applyProtection="1">
      <alignment horizontal="center" vertical="center"/>
      <protection locked="0"/>
    </xf>
    <xf numFmtId="44" fontId="91" fillId="0" borderId="0" xfId="0" applyNumberFormat="1" applyFont="1" applyBorder="1" applyAlignment="1" applyProtection="1">
      <alignment horizontal="left" vertical="center"/>
      <protection locked="0"/>
    </xf>
    <xf numFmtId="188" fontId="18" fillId="56" borderId="33" xfId="0" applyNumberFormat="1" applyFont="1" applyFill="1" applyBorder="1" applyAlignment="1" applyProtection="1">
      <alignment horizontal="center" vertical="center"/>
      <protection locked="0"/>
    </xf>
    <xf numFmtId="188" fontId="18" fillId="0" borderId="27" xfId="0" applyNumberFormat="1" applyFont="1" applyBorder="1" applyAlignment="1" applyProtection="1">
      <alignment horizontal="center" vertical="center"/>
      <protection locked="0"/>
    </xf>
    <xf numFmtId="44" fontId="91" fillId="0" borderId="27" xfId="38" applyFont="1" applyBorder="1" applyAlignment="1" applyProtection="1">
      <alignment horizontal="center" vertical="center"/>
      <protection locked="0"/>
    </xf>
    <xf numFmtId="44" fontId="91" fillId="0" borderId="33" xfId="38" applyFont="1" applyBorder="1" applyAlignment="1" applyProtection="1">
      <alignment horizontal="center" vertical="center"/>
      <protection locked="0"/>
    </xf>
    <xf numFmtId="44" fontId="91" fillId="0" borderId="26" xfId="38" applyFont="1" applyBorder="1" applyAlignment="1" applyProtection="1">
      <alignment horizontal="center" vertical="center"/>
      <protection locked="0"/>
    </xf>
    <xf numFmtId="44" fontId="91" fillId="0" borderId="34" xfId="38" applyFont="1" applyBorder="1" applyAlignment="1" applyProtection="1">
      <alignment horizontal="center" vertical="center"/>
      <protection locked="0"/>
    </xf>
    <xf numFmtId="44" fontId="91" fillId="0" borderId="19" xfId="38" applyFont="1" applyBorder="1" applyAlignment="1" applyProtection="1">
      <alignment horizontal="center" vertical="center"/>
      <protection locked="0"/>
    </xf>
    <xf numFmtId="44" fontId="91" fillId="0" borderId="21" xfId="0" applyNumberFormat="1" applyFont="1" applyBorder="1" applyAlignment="1" applyProtection="1">
      <alignment horizontal="center" vertical="center" wrapText="1"/>
      <protection locked="0"/>
    </xf>
    <xf numFmtId="44" fontId="92" fillId="0" borderId="19" xfId="38" applyFont="1" applyBorder="1" applyAlignment="1" applyProtection="1">
      <alignment horizontal="center" vertical="center"/>
      <protection locked="0"/>
    </xf>
    <xf numFmtId="44" fontId="19" fillId="0" borderId="18" xfId="38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4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NumberFormat="1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2" fillId="0" borderId="0" xfId="124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93" fillId="0" borderId="20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9" fillId="0" borderId="35" xfId="121" applyFont="1" applyFill="1" applyBorder="1" applyAlignment="1" applyProtection="1">
      <alignment horizontal="center" vertical="center"/>
      <protection locked="0"/>
    </xf>
    <xf numFmtId="0" fontId="19" fillId="0" borderId="35" xfId="121" applyFont="1" applyFill="1" applyBorder="1" applyAlignment="1" applyProtection="1">
      <alignment horizontal="center" vertical="center"/>
      <protection locked="0"/>
    </xf>
    <xf numFmtId="0" fontId="19" fillId="0" borderId="35" xfId="121" applyFont="1" applyFill="1" applyBorder="1" applyAlignment="1" applyProtection="1">
      <alignment vertical="center"/>
      <protection locked="0"/>
    </xf>
    <xf numFmtId="203" fontId="19" fillId="0" borderId="35" xfId="121" applyNumberFormat="1" applyFont="1" applyFill="1" applyBorder="1" applyAlignment="1" applyProtection="1">
      <alignment horizontal="right" vertical="center"/>
      <protection locked="0"/>
    </xf>
    <xf numFmtId="44" fontId="19" fillId="0" borderId="35" xfId="90" applyNumberFormat="1" applyFont="1" applyFill="1" applyBorder="1" applyAlignment="1" applyProtection="1">
      <alignment horizontal="center" vertical="center"/>
      <protection locked="0"/>
    </xf>
    <xf numFmtId="179" fontId="19" fillId="0" borderId="0" xfId="121" applyNumberFormat="1" applyFont="1" applyFill="1" applyBorder="1" applyAlignment="1" applyProtection="1">
      <alignment horizontal="right" vertical="center"/>
      <protection locked="0"/>
    </xf>
    <xf numFmtId="176" fontId="19" fillId="0" borderId="0" xfId="90" applyNumberFormat="1" applyFont="1" applyFill="1" applyBorder="1" applyAlignment="1" applyProtection="1">
      <alignment horizontal="center" vertical="center"/>
      <protection locked="0"/>
    </xf>
    <xf numFmtId="0" fontId="19" fillId="0" borderId="0" xfId="121" applyFont="1" applyFill="1" applyBorder="1" applyAlignment="1" applyProtection="1">
      <alignment horizontal="center" vertical="center"/>
      <protection locked="0"/>
    </xf>
    <xf numFmtId="174" fontId="19" fillId="0" borderId="0" xfId="12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8" fillId="45" borderId="36" xfId="121" applyFont="1" applyFill="1" applyBorder="1" applyAlignment="1" applyProtection="1">
      <alignment vertical="center"/>
      <protection locked="0"/>
    </xf>
    <xf numFmtId="0" fontId="18" fillId="45" borderId="28" xfId="121" applyFont="1" applyFill="1" applyBorder="1" applyAlignment="1" applyProtection="1">
      <alignment horizontal="center" vertical="center"/>
      <protection locked="0"/>
    </xf>
    <xf numFmtId="0" fontId="19" fillId="45" borderId="28" xfId="121" applyFont="1" applyFill="1" applyBorder="1" applyAlignment="1" applyProtection="1">
      <alignment horizontal="center" vertical="center"/>
      <protection locked="0"/>
    </xf>
    <xf numFmtId="0" fontId="19" fillId="45" borderId="37" xfId="121" applyFont="1" applyFill="1" applyBorder="1" applyAlignment="1" applyProtection="1">
      <alignment vertical="center"/>
      <protection locked="0"/>
    </xf>
    <xf numFmtId="0" fontId="19" fillId="45" borderId="38" xfId="121" applyFont="1" applyFill="1" applyBorder="1" applyAlignment="1" applyProtection="1">
      <alignment horizontal="center" vertical="center"/>
      <protection locked="0"/>
    </xf>
    <xf numFmtId="0" fontId="19" fillId="45" borderId="39" xfId="121" applyFont="1" applyFill="1" applyBorder="1" applyAlignment="1" applyProtection="1">
      <alignment horizontal="center" vertical="center"/>
      <protection locked="0"/>
    </xf>
    <xf numFmtId="0" fontId="19" fillId="45" borderId="40" xfId="121" applyFont="1" applyFill="1" applyBorder="1" applyAlignment="1" applyProtection="1">
      <alignment horizontal="center" vertical="center"/>
      <protection locked="0"/>
    </xf>
    <xf numFmtId="0" fontId="19" fillId="45" borderId="41" xfId="121" applyFont="1" applyFill="1" applyBorder="1" applyAlignment="1" applyProtection="1">
      <alignment horizontal="center" vertical="center"/>
      <protection locked="0"/>
    </xf>
    <xf numFmtId="0" fontId="19" fillId="45" borderId="42" xfId="121" applyFont="1" applyFill="1" applyBorder="1" applyAlignment="1" applyProtection="1">
      <alignment vertical="center"/>
      <protection locked="0"/>
    </xf>
    <xf numFmtId="0" fontId="19" fillId="45" borderId="43" xfId="121" applyFont="1" applyFill="1" applyBorder="1" applyAlignment="1" applyProtection="1">
      <alignment horizontal="center" vertical="center"/>
      <protection locked="0"/>
    </xf>
    <xf numFmtId="0" fontId="19" fillId="45" borderId="21" xfId="121" applyFont="1" applyFill="1" applyBorder="1" applyAlignment="1" applyProtection="1">
      <alignment horizontal="center" vertical="center"/>
      <protection locked="0"/>
    </xf>
    <xf numFmtId="0" fontId="19" fillId="45" borderId="20" xfId="121" applyFont="1" applyFill="1" applyBorder="1" applyAlignment="1" applyProtection="1">
      <alignment horizontal="center" vertical="center"/>
      <protection locked="0"/>
    </xf>
    <xf numFmtId="0" fontId="37" fillId="45" borderId="44" xfId="121" applyFont="1" applyFill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vertical="center"/>
      <protection locked="0"/>
    </xf>
    <xf numFmtId="0" fontId="19" fillId="0" borderId="46" xfId="121" applyFont="1" applyBorder="1" applyAlignment="1" applyProtection="1">
      <alignment horizontal="center" vertical="center"/>
      <protection locked="0"/>
    </xf>
    <xf numFmtId="0" fontId="19" fillId="0" borderId="27" xfId="121" applyFont="1" applyBorder="1" applyAlignment="1" applyProtection="1">
      <alignment horizontal="center" vertical="center"/>
      <protection locked="0"/>
    </xf>
    <xf numFmtId="0" fontId="19" fillId="0" borderId="27" xfId="121" applyNumberFormat="1" applyFont="1" applyBorder="1" applyAlignment="1" applyProtection="1">
      <alignment horizontal="center" vertical="center"/>
      <protection locked="0"/>
    </xf>
    <xf numFmtId="0" fontId="19" fillId="0" borderId="47" xfId="121" applyFont="1" applyBorder="1" applyAlignment="1" applyProtection="1">
      <alignment horizontal="center" vertical="center"/>
      <protection locked="0"/>
    </xf>
    <xf numFmtId="0" fontId="19" fillId="0" borderId="40" xfId="121" applyFont="1" applyFill="1" applyBorder="1" applyAlignment="1" applyProtection="1">
      <alignment horizontal="center" vertical="center"/>
      <protection locked="0"/>
    </xf>
    <xf numFmtId="0" fontId="19" fillId="0" borderId="48" xfId="121" applyFont="1" applyFill="1" applyBorder="1" applyAlignment="1" applyProtection="1">
      <alignment horizontal="center" vertical="center"/>
      <protection locked="0"/>
    </xf>
    <xf numFmtId="0" fontId="19" fillId="46" borderId="34" xfId="121" applyFont="1" applyFill="1" applyBorder="1" applyAlignment="1" applyProtection="1">
      <alignment horizontal="left" vertical="center"/>
      <protection locked="0"/>
    </xf>
    <xf numFmtId="0" fontId="19" fillId="0" borderId="49" xfId="121" applyFont="1" applyFill="1" applyBorder="1" applyAlignment="1" applyProtection="1">
      <alignment horizontal="center" vertical="center"/>
      <protection locked="0"/>
    </xf>
    <xf numFmtId="4" fontId="19" fillId="0" borderId="49" xfId="121" applyNumberFormat="1" applyFont="1" applyFill="1" applyBorder="1" applyAlignment="1" applyProtection="1">
      <alignment horizontal="center" vertical="center"/>
      <protection locked="0"/>
    </xf>
    <xf numFmtId="0" fontId="19" fillId="0" borderId="49" xfId="1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39" xfId="121" applyFont="1" applyFill="1" applyBorder="1" applyAlignment="1" applyProtection="1">
      <alignment horizontal="center" vertical="center"/>
      <protection locked="0"/>
    </xf>
    <xf numFmtId="0" fontId="19" fillId="0" borderId="18" xfId="121" applyFont="1" applyFill="1" applyBorder="1" applyAlignment="1" applyProtection="1">
      <alignment horizontal="center" vertical="center"/>
      <protection locked="0"/>
    </xf>
    <xf numFmtId="0" fontId="19" fillId="45" borderId="26" xfId="121" applyFont="1" applyFill="1" applyBorder="1" applyAlignment="1" applyProtection="1">
      <alignment horizontal="left" vertical="center"/>
      <protection locked="0"/>
    </xf>
    <xf numFmtId="4" fontId="18" fillId="0" borderId="18" xfId="121" applyNumberFormat="1" applyFont="1" applyFill="1" applyBorder="1" applyAlignment="1" applyProtection="1">
      <alignment horizontal="center" vertical="center"/>
      <protection locked="0"/>
    </xf>
    <xf numFmtId="0" fontId="19" fillId="0" borderId="38" xfId="12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188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4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185" fontId="18" fillId="0" borderId="18" xfId="0" applyNumberFormat="1" applyFont="1" applyFill="1" applyBorder="1" applyAlignment="1" applyProtection="1">
      <alignment vertical="center"/>
      <protection locked="0"/>
    </xf>
    <xf numFmtId="177" fontId="18" fillId="0" borderId="18" xfId="124" applyNumberFormat="1" applyFont="1" applyBorder="1" applyAlignment="1" applyProtection="1">
      <alignment horizontal="center" vertical="center"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4" fontId="18" fillId="0" borderId="27" xfId="0" applyNumberFormat="1" applyFont="1" applyBorder="1" applyAlignment="1" applyProtection="1">
      <alignment horizontal="center" vertical="center"/>
      <protection locked="0"/>
    </xf>
    <xf numFmtId="185" fontId="18" fillId="0" borderId="27" xfId="0" applyNumberFormat="1" applyFont="1" applyFill="1" applyBorder="1" applyAlignment="1" applyProtection="1">
      <alignment vertical="center"/>
      <protection locked="0"/>
    </xf>
    <xf numFmtId="177" fontId="18" fillId="0" borderId="27" xfId="124" applyNumberFormat="1" applyFont="1" applyBorder="1" applyAlignment="1" applyProtection="1">
      <alignment horizontal="center" vertical="center"/>
      <protection locked="0"/>
    </xf>
    <xf numFmtId="177" fontId="18" fillId="0" borderId="47" xfId="124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4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vertical="center"/>
      <protection locked="0"/>
    </xf>
    <xf numFmtId="185" fontId="18" fillId="0" borderId="19" xfId="0" applyNumberFormat="1" applyFont="1" applyFill="1" applyBorder="1" applyAlignment="1" applyProtection="1">
      <alignment vertical="center"/>
      <protection locked="0"/>
    </xf>
    <xf numFmtId="177" fontId="18" fillId="0" borderId="19" xfId="124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4" fontId="18" fillId="57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185" fontId="18" fillId="0" borderId="2" xfId="0" applyNumberFormat="1" applyFont="1" applyFill="1" applyBorder="1" applyAlignment="1" applyProtection="1">
      <alignment vertical="center"/>
      <protection locked="0"/>
    </xf>
    <xf numFmtId="177" fontId="18" fillId="0" borderId="2" xfId="124" applyNumberFormat="1" applyFont="1" applyBorder="1" applyAlignment="1" applyProtection="1">
      <alignment horizontal="center" vertical="center"/>
      <protection locked="0"/>
    </xf>
    <xf numFmtId="177" fontId="18" fillId="55" borderId="2" xfId="124" applyNumberFormat="1" applyFont="1" applyFill="1" applyBorder="1" applyAlignment="1" applyProtection="1">
      <alignment horizontal="center" vertical="center"/>
      <protection locked="0"/>
    </xf>
    <xf numFmtId="0" fontId="90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4" fontId="18" fillId="0" borderId="2" xfId="0" applyNumberFormat="1" applyFont="1" applyBorder="1" applyAlignment="1" applyProtection="1">
      <alignment horizontal="center" vertical="center"/>
      <protection locked="0"/>
    </xf>
    <xf numFmtId="177" fontId="1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122" applyFont="1" applyAlignment="1" applyProtection="1">
      <alignment vertical="center"/>
      <protection locked="0"/>
    </xf>
    <xf numFmtId="0" fontId="18" fillId="0" borderId="2" xfId="122" applyFont="1" applyBorder="1" applyAlignment="1" applyProtection="1">
      <alignment horizontal="left" vertical="center"/>
      <protection locked="0"/>
    </xf>
    <xf numFmtId="0" fontId="18" fillId="0" borderId="0" xfId="122" applyFont="1" applyBorder="1" applyAlignment="1" applyProtection="1">
      <alignment horizontal="center"/>
      <protection locked="0"/>
    </xf>
    <xf numFmtId="0" fontId="18" fillId="0" borderId="0" xfId="122" applyFont="1" applyBorder="1" applyAlignment="1" applyProtection="1">
      <alignment vertical="center"/>
      <protection locked="0"/>
    </xf>
    <xf numFmtId="0" fontId="18" fillId="0" borderId="0" xfId="122" applyFont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 applyProtection="1">
      <alignment horizontal="center" vertical="center"/>
      <protection locked="0"/>
    </xf>
    <xf numFmtId="192" fontId="94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0" xfId="122" applyFont="1" applyBorder="1" applyAlignment="1" applyProtection="1">
      <alignment horizontal="center" vertical="center"/>
      <protection locked="0"/>
    </xf>
    <xf numFmtId="4" fontId="18" fillId="57" borderId="18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18" xfId="122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19" fillId="45" borderId="26" xfId="0" applyFont="1" applyFill="1" applyBorder="1" applyAlignment="1" applyProtection="1">
      <alignment vertical="center" wrapText="1"/>
      <protection locked="0"/>
    </xf>
    <xf numFmtId="0" fontId="18" fillId="0" borderId="28" xfId="0" applyFont="1" applyFill="1" applyBorder="1" applyAlignment="1" applyProtection="1">
      <alignment vertical="center" wrapText="1"/>
      <protection locked="0"/>
    </xf>
    <xf numFmtId="0" fontId="18" fillId="0" borderId="24" xfId="0" applyFont="1" applyFill="1" applyBorder="1" applyAlignment="1" applyProtection="1">
      <alignment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8" fillId="44" borderId="50" xfId="0" applyFont="1" applyFill="1" applyBorder="1" applyAlignment="1" applyProtection="1">
      <alignment horizontal="center" vertical="center"/>
      <protection locked="0"/>
    </xf>
    <xf numFmtId="0" fontId="18" fillId="44" borderId="21" xfId="0" applyFont="1" applyFill="1" applyBorder="1" applyAlignment="1" applyProtection="1">
      <alignment horizontal="center" vertical="center"/>
      <protection locked="0"/>
    </xf>
    <xf numFmtId="0" fontId="19" fillId="44" borderId="21" xfId="0" applyFont="1" applyFill="1" applyBorder="1" applyAlignment="1" applyProtection="1">
      <alignment vertical="center"/>
      <protection locked="0"/>
    </xf>
    <xf numFmtId="0" fontId="18" fillId="44" borderId="21" xfId="124" applyFont="1" applyFill="1" applyBorder="1" applyAlignment="1" applyProtection="1">
      <alignment horizontal="center" vertical="center"/>
      <protection locked="0"/>
    </xf>
    <xf numFmtId="0" fontId="20" fillId="44" borderId="51" xfId="124" applyFont="1" applyFill="1" applyBorder="1" applyAlignment="1" applyProtection="1">
      <alignment horizontal="center" vertical="center"/>
      <protection locked="0"/>
    </xf>
    <xf numFmtId="0" fontId="18" fillId="44" borderId="52" xfId="0" applyFont="1" applyFill="1" applyBorder="1" applyAlignment="1" applyProtection="1">
      <alignment horizontal="center" vertical="center"/>
      <protection locked="0"/>
    </xf>
    <xf numFmtId="0" fontId="19" fillId="44" borderId="34" xfId="0" applyFont="1" applyFill="1" applyBorder="1" applyAlignment="1" applyProtection="1">
      <alignment horizontal="center" vertical="center"/>
      <protection locked="0"/>
    </xf>
    <xf numFmtId="0" fontId="19" fillId="44" borderId="34" xfId="0" applyFont="1" applyFill="1" applyBorder="1" applyAlignment="1" applyProtection="1">
      <alignment vertical="center"/>
      <protection locked="0"/>
    </xf>
    <xf numFmtId="4" fontId="19" fillId="44" borderId="34" xfId="0" applyNumberFormat="1" applyFont="1" applyFill="1" applyBorder="1" applyAlignment="1" applyProtection="1">
      <alignment vertical="center"/>
      <protection locked="0"/>
    </xf>
    <xf numFmtId="0" fontId="18" fillId="44" borderId="34" xfId="0" applyFont="1" applyFill="1" applyBorder="1" applyAlignment="1" applyProtection="1">
      <alignment horizontal="center" vertical="center"/>
      <protection locked="0"/>
    </xf>
    <xf numFmtId="4" fontId="19" fillId="44" borderId="5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121" applyFont="1" applyFill="1" applyBorder="1" applyAlignment="1" applyProtection="1">
      <alignment horizontal="center" vertical="center"/>
      <protection locked="0"/>
    </xf>
    <xf numFmtId="4" fontId="18" fillId="0" borderId="19" xfId="1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94" fillId="0" borderId="38" xfId="0" applyNumberFormat="1" applyFont="1" applyFill="1" applyBorder="1" applyAlignment="1" applyProtection="1">
      <alignment vertical="center" textRotation="90" wrapText="1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2" fontId="18" fillId="0" borderId="2" xfId="0" applyNumberFormat="1" applyFont="1" applyBorder="1" applyAlignment="1" applyProtection="1">
      <alignment horizontal="center" vertical="center"/>
      <protection locked="0"/>
    </xf>
    <xf numFmtId="44" fontId="89" fillId="0" borderId="2" xfId="38" applyFont="1" applyBorder="1" applyAlignment="1" applyProtection="1">
      <alignment horizontal="center"/>
      <protection locked="0"/>
    </xf>
    <xf numFmtId="44" fontId="18" fillId="0" borderId="0" xfId="0" applyNumberFormat="1" applyFont="1" applyBorder="1" applyAlignment="1" applyProtection="1">
      <alignment horizontal="center"/>
      <protection locked="0"/>
    </xf>
    <xf numFmtId="44" fontId="18" fillId="0" borderId="0" xfId="0" applyNumberFormat="1" applyFont="1" applyAlignment="1" applyProtection="1">
      <alignment horizontal="center"/>
      <protection locked="0"/>
    </xf>
    <xf numFmtId="44" fontId="18" fillId="0" borderId="0" xfId="0" applyNumberFormat="1" applyFont="1" applyAlignment="1" applyProtection="1">
      <alignment/>
      <protection locked="0"/>
    </xf>
    <xf numFmtId="44" fontId="59" fillId="0" borderId="0" xfId="0" applyNumberFormat="1" applyFont="1" applyAlignment="1" applyProtection="1">
      <alignment/>
      <protection locked="0"/>
    </xf>
    <xf numFmtId="188" fontId="18" fillId="59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4" fontId="95" fillId="60" borderId="2" xfId="0" applyNumberFormat="1" applyFont="1" applyFill="1" applyBorder="1" applyAlignment="1" applyProtection="1">
      <alignment horizontal="center" vertical="center"/>
      <protection locked="0"/>
    </xf>
    <xf numFmtId="0" fontId="18" fillId="59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vertical="center"/>
      <protection locked="0"/>
    </xf>
    <xf numFmtId="177" fontId="18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47" xfId="124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4" fontId="95" fillId="60" borderId="19" xfId="0" applyNumberFormat="1" applyFont="1" applyFill="1" applyBorder="1" applyAlignment="1" applyProtection="1">
      <alignment horizontal="center" vertical="center"/>
      <protection locked="0"/>
    </xf>
    <xf numFmtId="44" fontId="89" fillId="0" borderId="19" xfId="38" applyFont="1" applyBorder="1" applyAlignment="1" applyProtection="1">
      <alignment horizontal="center"/>
      <protection locked="0"/>
    </xf>
    <xf numFmtId="0" fontId="18" fillId="0" borderId="19" xfId="124" applyFont="1" applyFill="1" applyBorder="1" applyAlignment="1" applyProtection="1">
      <alignment horizontal="center" vertical="center"/>
      <protection locked="0"/>
    </xf>
    <xf numFmtId="44" fontId="18" fillId="0" borderId="0" xfId="0" applyNumberFormat="1" applyFont="1" applyBorder="1" applyAlignment="1" applyProtection="1">
      <alignment/>
      <protection locked="0"/>
    </xf>
    <xf numFmtId="0" fontId="18" fillId="0" borderId="33" xfId="0" applyFont="1" applyFill="1" applyBorder="1" applyAlignment="1" applyProtection="1">
      <alignment horizontal="left" vertical="center" wrapText="1"/>
      <protection locked="0"/>
    </xf>
    <xf numFmtId="4" fontId="95" fillId="60" borderId="18" xfId="0" applyNumberFormat="1" applyFont="1" applyFill="1" applyBorder="1" applyAlignment="1" applyProtection="1">
      <alignment horizontal="center" vertical="center"/>
      <protection locked="0"/>
    </xf>
    <xf numFmtId="44" fontId="89" fillId="0" borderId="18" xfId="38" applyFont="1" applyBorder="1" applyAlignment="1" applyProtection="1">
      <alignment horizontal="center"/>
      <protection locked="0"/>
    </xf>
    <xf numFmtId="44" fontId="89" fillId="0" borderId="0" xfId="0" applyNumberFormat="1" applyFont="1" applyAlignment="1" applyProtection="1">
      <alignment horizontal="center"/>
      <protection locked="0"/>
    </xf>
    <xf numFmtId="44" fontId="89" fillId="0" borderId="0" xfId="0" applyNumberFormat="1" applyFont="1" applyAlignment="1" applyProtection="1">
      <alignment/>
      <protection locked="0"/>
    </xf>
    <xf numFmtId="44" fontId="18" fillId="0" borderId="0" xfId="0" applyNumberFormat="1" applyFont="1" applyAlignment="1" applyProtection="1">
      <alignment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55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4" fontId="18" fillId="0" borderId="26" xfId="0" applyNumberFormat="1" applyFont="1" applyBorder="1" applyAlignment="1" applyProtection="1">
      <alignment horizontal="center" vertical="center"/>
      <protection locked="0"/>
    </xf>
    <xf numFmtId="185" fontId="18" fillId="0" borderId="26" xfId="0" applyNumberFormat="1" applyFont="1" applyFill="1" applyBorder="1" applyAlignment="1" applyProtection="1">
      <alignment vertical="center"/>
      <protection locked="0"/>
    </xf>
    <xf numFmtId="0" fontId="18" fillId="0" borderId="26" xfId="0" applyFont="1" applyFill="1" applyBorder="1" applyAlignment="1" applyProtection="1">
      <alignment vertical="center"/>
      <protection locked="0"/>
    </xf>
    <xf numFmtId="177" fontId="18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55" xfId="124" applyFont="1" applyFill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55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57" xfId="124" applyFont="1" applyFill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55" borderId="2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4" fontId="18" fillId="0" borderId="21" xfId="0" applyNumberFormat="1" applyFont="1" applyBorder="1" applyAlignment="1" applyProtection="1">
      <alignment horizontal="center" vertical="center" wrapText="1"/>
      <protection locked="0"/>
    </xf>
    <xf numFmtId="185" fontId="18" fillId="0" borderId="21" xfId="0" applyNumberFormat="1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190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51" xfId="124" applyFont="1" applyFill="1" applyBorder="1" applyAlignment="1" applyProtection="1">
      <alignment horizontal="center" vertical="center"/>
      <protection locked="0"/>
    </xf>
    <xf numFmtId="188" fontId="18" fillId="47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vertical="top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4" fontId="18" fillId="0" borderId="19" xfId="0" applyNumberFormat="1" applyFont="1" applyBorder="1" applyAlignment="1" applyProtection="1">
      <alignment horizontal="center" vertical="center" wrapText="1"/>
      <protection locked="0"/>
    </xf>
    <xf numFmtId="192" fontId="94" fillId="0" borderId="0" xfId="0" applyNumberFormat="1" applyFont="1" applyFill="1" applyBorder="1" applyAlignment="1" applyProtection="1">
      <alignment wrapText="1"/>
      <protection locked="0"/>
    </xf>
    <xf numFmtId="188" fontId="18" fillId="4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4" fontId="18" fillId="0" borderId="2" xfId="0" applyNumberFormat="1" applyFont="1" applyBorder="1" applyAlignment="1" applyProtection="1">
      <alignment horizontal="center" vertical="center" wrapText="1"/>
      <protection locked="0"/>
    </xf>
    <xf numFmtId="44" fontId="92" fillId="0" borderId="0" xfId="0" applyNumberFormat="1" applyFont="1" applyBorder="1" applyAlignment="1" applyProtection="1">
      <alignment horizontal="center"/>
      <protection locked="0"/>
    </xf>
    <xf numFmtId="44" fontId="89" fillId="0" borderId="0" xfId="0" applyNumberFormat="1" applyFont="1" applyFill="1" applyAlignment="1" applyProtection="1">
      <alignment horizontal="center"/>
      <protection locked="0"/>
    </xf>
    <xf numFmtId="44" fontId="89" fillId="0" borderId="0" xfId="0" applyNumberFormat="1" applyFont="1" applyFill="1" applyAlignment="1" applyProtection="1">
      <alignment/>
      <protection locked="0"/>
    </xf>
    <xf numFmtId="44" fontId="18" fillId="0" borderId="0" xfId="0" applyNumberFormat="1" applyFont="1" applyFill="1" applyAlignment="1" applyProtection="1">
      <alignment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47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4" fontId="18" fillId="0" borderId="26" xfId="0" applyNumberFormat="1" applyFont="1" applyBorder="1" applyAlignment="1" applyProtection="1">
      <alignment horizontal="center" vertical="center" wrapText="1"/>
      <protection locked="0"/>
    </xf>
    <xf numFmtId="177" fontId="18" fillId="0" borderId="26" xfId="124" applyNumberFormat="1" applyFont="1" applyBorder="1" applyAlignment="1" applyProtection="1">
      <alignment horizontal="center" vertical="center"/>
      <protection locked="0"/>
    </xf>
    <xf numFmtId="0" fontId="18" fillId="47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47" borderId="2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4" fontId="18" fillId="0" borderId="21" xfId="0" applyNumberFormat="1" applyFont="1" applyBorder="1" applyAlignment="1" applyProtection="1">
      <alignment horizontal="center" vertical="center"/>
      <protection locked="0"/>
    </xf>
    <xf numFmtId="177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/>
      <protection locked="0"/>
    </xf>
    <xf numFmtId="188" fontId="18" fillId="61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vertical="top" wrapText="1"/>
      <protection locked="0"/>
    </xf>
    <xf numFmtId="4" fontId="18" fillId="0" borderId="19" xfId="121" applyNumberFormat="1" applyFont="1" applyBorder="1" applyAlignment="1" applyProtection="1">
      <alignment horizontal="right"/>
      <protection locked="0"/>
    </xf>
    <xf numFmtId="0" fontId="18" fillId="0" borderId="19" xfId="124" applyFont="1" applyFill="1" applyBorder="1" applyAlignment="1" applyProtection="1">
      <alignment horizontal="center"/>
      <protection locked="0"/>
    </xf>
    <xf numFmtId="188" fontId="18" fillId="61" borderId="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" xfId="121" applyNumberFormat="1" applyFont="1" applyBorder="1" applyAlignment="1" applyProtection="1">
      <alignment horizontal="right"/>
      <protection locked="0"/>
    </xf>
    <xf numFmtId="0" fontId="18" fillId="0" borderId="2" xfId="124" applyFont="1" applyFill="1" applyBorder="1" applyAlignment="1" applyProtection="1">
      <alignment horizontal="center"/>
      <protection locked="0"/>
    </xf>
    <xf numFmtId="188" fontId="18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" xfId="0" applyFont="1" applyFill="1" applyBorder="1" applyAlignment="1" applyProtection="1">
      <alignment horizontal="left" vertical="top" wrapText="1"/>
      <protection locked="0"/>
    </xf>
    <xf numFmtId="0" fontId="18" fillId="0" borderId="2" xfId="124" applyFont="1" applyFill="1" applyBorder="1" applyAlignment="1" applyProtection="1">
      <alignment horizontal="center" vertical="center"/>
      <protection locked="0"/>
    </xf>
    <xf numFmtId="188" fontId="18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18" xfId="0" applyFont="1" applyFill="1" applyBorder="1" applyAlignment="1" applyProtection="1">
      <alignment horizontal="left" vertical="top" wrapText="1"/>
      <protection locked="0"/>
    </xf>
    <xf numFmtId="2" fontId="18" fillId="0" borderId="18" xfId="0" applyNumberFormat="1" applyFont="1" applyBorder="1" applyAlignment="1" applyProtection="1">
      <alignment horizontal="center" vertical="center"/>
      <protection locked="0"/>
    </xf>
    <xf numFmtId="4" fontId="18" fillId="51" borderId="18" xfId="0" applyNumberFormat="1" applyFont="1" applyFill="1" applyBorder="1" applyAlignment="1" applyProtection="1">
      <alignment horizontal="center" vertical="center"/>
      <protection locked="0"/>
    </xf>
    <xf numFmtId="44" fontId="94" fillId="0" borderId="18" xfId="38" applyFont="1" applyBorder="1" applyAlignment="1" applyProtection="1">
      <alignment horizontal="center" vertical="center"/>
      <protection locked="0"/>
    </xf>
    <xf numFmtId="0" fontId="18" fillId="61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190" fontId="18" fillId="0" borderId="26" xfId="0" applyNumberFormat="1" applyFont="1" applyBorder="1" applyAlignment="1" applyProtection="1">
      <alignment horizontal="center" vertical="center"/>
      <protection locked="0"/>
    </xf>
    <xf numFmtId="0" fontId="18" fillId="61" borderId="2" xfId="0" applyFont="1" applyFill="1" applyBorder="1" applyAlignment="1" applyProtection="1">
      <alignment horizontal="center" vertical="center"/>
      <protection locked="0"/>
    </xf>
    <xf numFmtId="0" fontId="18" fillId="9" borderId="2" xfId="0" applyFont="1" applyFill="1" applyBorder="1" applyAlignment="1" applyProtection="1">
      <alignment horizontal="center" vertical="center"/>
      <protection locked="0"/>
    </xf>
    <xf numFmtId="0" fontId="18" fillId="9" borderId="2" xfId="0" applyFont="1" applyFill="1" applyBorder="1" applyAlignment="1" applyProtection="1">
      <alignment horizontal="left" vertical="center" wrapText="1"/>
      <protection locked="0"/>
    </xf>
    <xf numFmtId="4" fontId="18" fillId="6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21" xfId="0" applyFont="1" applyFill="1" applyBorder="1" applyAlignment="1" applyProtection="1">
      <alignment horizontal="center" vertical="center"/>
      <protection locked="0"/>
    </xf>
    <xf numFmtId="0" fontId="18" fillId="9" borderId="21" xfId="0" applyFont="1" applyFill="1" applyBorder="1" applyAlignment="1" applyProtection="1">
      <alignment horizontal="left" vertical="center" wrapText="1"/>
      <protection locked="0"/>
    </xf>
    <xf numFmtId="2" fontId="18" fillId="0" borderId="21" xfId="0" applyNumberFormat="1" applyFont="1" applyBorder="1" applyAlignment="1" applyProtection="1">
      <alignment horizontal="center" vertical="center"/>
      <protection locked="0"/>
    </xf>
    <xf numFmtId="4" fontId="18" fillId="51" borderId="21" xfId="0" applyNumberFormat="1" applyFont="1" applyFill="1" applyBorder="1" applyAlignment="1" applyProtection="1">
      <alignment horizontal="center" vertical="center"/>
      <protection locked="0"/>
    </xf>
    <xf numFmtId="2" fontId="18" fillId="0" borderId="33" xfId="0" applyNumberFormat="1" applyFont="1" applyBorder="1" applyAlignment="1" applyProtection="1">
      <alignment horizontal="center" vertical="center"/>
      <protection locked="0"/>
    </xf>
    <xf numFmtId="0" fontId="18" fillId="54" borderId="26" xfId="0" applyFont="1" applyFill="1" applyBorder="1" applyAlignment="1" applyProtection="1">
      <alignment horizontal="center" vertical="center"/>
      <protection locked="0"/>
    </xf>
    <xf numFmtId="0" fontId="18" fillId="63" borderId="26" xfId="0" applyFont="1" applyFill="1" applyBorder="1" applyAlignment="1" applyProtection="1">
      <alignment vertical="center" wrapText="1"/>
      <protection locked="0"/>
    </xf>
    <xf numFmtId="2" fontId="18" fillId="0" borderId="26" xfId="0" applyNumberFormat="1" applyFont="1" applyBorder="1" applyAlignment="1" applyProtection="1">
      <alignment horizontal="center" vertical="center"/>
      <protection locked="0"/>
    </xf>
    <xf numFmtId="4" fontId="95" fillId="60" borderId="26" xfId="0" applyNumberFormat="1" applyFont="1" applyFill="1" applyBorder="1" applyAlignment="1" applyProtection="1">
      <alignment horizontal="center" vertical="center"/>
      <protection locked="0"/>
    </xf>
    <xf numFmtId="0" fontId="18" fillId="54" borderId="21" xfId="0" applyFont="1" applyFill="1" applyBorder="1" applyAlignment="1" applyProtection="1">
      <alignment horizontal="center" vertical="center"/>
      <protection locked="0"/>
    </xf>
    <xf numFmtId="0" fontId="18" fillId="63" borderId="21" xfId="0" applyFont="1" applyFill="1" applyBorder="1" applyAlignment="1" applyProtection="1">
      <alignment vertical="center" wrapText="1"/>
      <protection locked="0"/>
    </xf>
    <xf numFmtId="0" fontId="18" fillId="53" borderId="26" xfId="0" applyFont="1" applyFill="1" applyBorder="1" applyAlignment="1" applyProtection="1">
      <alignment horizontal="center" vertical="center"/>
      <protection locked="0"/>
    </xf>
    <xf numFmtId="0" fontId="18" fillId="53" borderId="2" xfId="0" applyFont="1" applyFill="1" applyBorder="1" applyAlignment="1" applyProtection="1">
      <alignment horizontal="center" vertical="center"/>
      <protection locked="0"/>
    </xf>
    <xf numFmtId="0" fontId="18" fillId="63" borderId="2" xfId="0" applyFont="1" applyFill="1" applyBorder="1" applyAlignment="1" applyProtection="1">
      <alignment vertical="center" wrapText="1"/>
      <protection locked="0"/>
    </xf>
    <xf numFmtId="0" fontId="18" fillId="53" borderId="21" xfId="0" applyFont="1" applyFill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4" fontId="18" fillId="0" borderId="33" xfId="0" applyNumberFormat="1" applyFont="1" applyBorder="1" applyAlignment="1" applyProtection="1">
      <alignment horizontal="center" vertical="center"/>
      <protection locked="0"/>
    </xf>
    <xf numFmtId="44" fontId="89" fillId="0" borderId="33" xfId="38" applyFont="1" applyBorder="1" applyAlignment="1" applyProtection="1">
      <alignment horizontal="center"/>
      <protection locked="0"/>
    </xf>
    <xf numFmtId="185" fontId="18" fillId="0" borderId="33" xfId="0" applyNumberFormat="1" applyFont="1" applyFill="1" applyBorder="1" applyAlignment="1" applyProtection="1">
      <alignment vertical="center"/>
      <protection locked="0"/>
    </xf>
    <xf numFmtId="0" fontId="94" fillId="0" borderId="0" xfId="0" applyNumberFormat="1" applyFont="1" applyFill="1" applyBorder="1" applyAlignment="1" applyProtection="1">
      <alignment vertical="center" textRotation="90" wrapText="1"/>
      <protection locked="0"/>
    </xf>
    <xf numFmtId="44" fontId="89" fillId="0" borderId="27" xfId="38" applyFont="1" applyBorder="1" applyAlignment="1" applyProtection="1">
      <alignment horizontal="center"/>
      <protection locked="0"/>
    </xf>
    <xf numFmtId="0" fontId="18" fillId="0" borderId="27" xfId="124" applyFont="1" applyFill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56" borderId="26" xfId="0" applyFont="1" applyFill="1" applyBorder="1" applyAlignment="1" applyProtection="1">
      <alignment horizontal="center" vertical="center"/>
      <protection locked="0"/>
    </xf>
    <xf numFmtId="0" fontId="18" fillId="56" borderId="21" xfId="0" applyFont="1" applyFill="1" applyBorder="1" applyAlignment="1" applyProtection="1">
      <alignment horizontal="center" vertical="center"/>
      <protection locked="0"/>
    </xf>
    <xf numFmtId="0" fontId="18" fillId="52" borderId="27" xfId="0" applyFont="1" applyFill="1" applyBorder="1" applyAlignment="1" applyProtection="1">
      <alignment horizontal="center" vertical="center"/>
      <protection locked="0"/>
    </xf>
    <xf numFmtId="0" fontId="18" fillId="63" borderId="27" xfId="0" applyFont="1" applyFill="1" applyBorder="1" applyAlignment="1" applyProtection="1">
      <alignment vertical="center" wrapText="1"/>
      <protection locked="0"/>
    </xf>
    <xf numFmtId="0" fontId="18" fillId="64" borderId="19" xfId="0" applyFont="1" applyFill="1" applyBorder="1" applyAlignment="1" applyProtection="1">
      <alignment horizontal="center" vertical="center" wrapText="1"/>
      <protection locked="0"/>
    </xf>
    <xf numFmtId="2" fontId="18" fillId="0" borderId="19" xfId="0" applyNumberFormat="1" applyFont="1" applyBorder="1" applyAlignment="1" applyProtection="1">
      <alignment horizontal="center" vertical="center"/>
      <protection locked="0"/>
    </xf>
    <xf numFmtId="44" fontId="18" fillId="0" borderId="19" xfId="0" applyNumberFormat="1" applyFont="1" applyBorder="1" applyAlignment="1" applyProtection="1">
      <alignment horizontal="center" vertical="center"/>
      <protection locked="0"/>
    </xf>
    <xf numFmtId="44" fontId="18" fillId="0" borderId="19" xfId="121" applyNumberFormat="1" applyFont="1" applyBorder="1" applyAlignment="1" applyProtection="1">
      <alignment horizontal="right" vertical="center"/>
      <protection locked="0"/>
    </xf>
    <xf numFmtId="185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88" fontId="18" fillId="64" borderId="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" xfId="0" applyNumberFormat="1" applyFont="1" applyBorder="1" applyAlignment="1" applyProtection="1">
      <alignment horizontal="center" vertical="center" wrapText="1"/>
      <protection locked="0"/>
    </xf>
    <xf numFmtId="44" fontId="18" fillId="0" borderId="2" xfId="0" applyNumberFormat="1" applyFont="1" applyBorder="1" applyAlignment="1" applyProtection="1">
      <alignment horizontal="center" vertical="center"/>
      <protection locked="0"/>
    </xf>
    <xf numFmtId="44" fontId="18" fillId="0" borderId="2" xfId="121" applyNumberFormat="1" applyFont="1" applyBorder="1" applyAlignment="1" applyProtection="1">
      <alignment horizontal="right" vertical="center"/>
      <protection locked="0"/>
    </xf>
    <xf numFmtId="185" fontId="18" fillId="0" borderId="2" xfId="0" applyNumberFormat="1" applyFont="1" applyBorder="1" applyAlignment="1" applyProtection="1">
      <alignment horizontal="center" vertical="center"/>
      <protection locked="0"/>
    </xf>
    <xf numFmtId="188" fontId="18" fillId="64" borderId="18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Border="1" applyAlignment="1" applyProtection="1">
      <alignment horizontal="center" vertical="center" wrapText="1"/>
      <protection locked="0"/>
    </xf>
    <xf numFmtId="44" fontId="18" fillId="0" borderId="18" xfId="0" applyNumberFormat="1" applyFont="1" applyBorder="1" applyAlignment="1" applyProtection="1">
      <alignment horizontal="center" vertical="center"/>
      <protection locked="0"/>
    </xf>
    <xf numFmtId="44" fontId="18" fillId="0" borderId="18" xfId="121" applyNumberFormat="1" applyFont="1" applyBorder="1" applyAlignment="1" applyProtection="1">
      <alignment horizontal="right" vertical="center"/>
      <protection locked="0"/>
    </xf>
    <xf numFmtId="185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64" borderId="26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vertical="center" wrapText="1"/>
      <protection locked="0"/>
    </xf>
    <xf numFmtId="185" fontId="18" fillId="0" borderId="26" xfId="0" applyNumberFormat="1" applyFont="1" applyBorder="1" applyAlignment="1" applyProtection="1">
      <alignment horizontal="center" vertical="center"/>
      <protection locked="0"/>
    </xf>
    <xf numFmtId="177" fontId="18" fillId="0" borderId="55" xfId="124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64" borderId="2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185" fontId="18" fillId="0" borderId="21" xfId="0" applyNumberFormat="1" applyFont="1" applyBorder="1" applyAlignment="1" applyProtection="1">
      <alignment horizontal="center" vertical="center"/>
      <protection locked="0"/>
    </xf>
    <xf numFmtId="177" fontId="18" fillId="0" borderId="51" xfId="124" applyNumberFormat="1" applyFont="1" applyBorder="1" applyAlignment="1" applyProtection="1">
      <alignment horizontal="center" vertical="center"/>
      <protection locked="0"/>
    </xf>
    <xf numFmtId="0" fontId="18" fillId="65" borderId="19" xfId="0" applyFont="1" applyFill="1" applyBorder="1" applyAlignment="1" applyProtection="1">
      <alignment horizontal="center" vertical="center" wrapText="1"/>
      <protection locked="0"/>
    </xf>
    <xf numFmtId="188" fontId="18" fillId="65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65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65" borderId="2" xfId="0" applyFont="1" applyFill="1" applyBorder="1" applyAlignment="1" applyProtection="1">
      <alignment horizontal="center" vertical="center"/>
      <protection locked="0"/>
    </xf>
    <xf numFmtId="177" fontId="18" fillId="0" borderId="57" xfId="124" applyNumberFormat="1" applyFont="1" applyBorder="1" applyAlignment="1" applyProtection="1">
      <alignment horizontal="center" vertical="center"/>
      <protection locked="0"/>
    </xf>
    <xf numFmtId="0" fontId="18" fillId="65" borderId="21" xfId="0" applyFont="1" applyFill="1" applyBorder="1" applyAlignment="1" applyProtection="1">
      <alignment horizontal="center" vertical="center"/>
      <protection locked="0"/>
    </xf>
    <xf numFmtId="4" fontId="19" fillId="0" borderId="19" xfId="121" applyNumberFormat="1" applyFont="1" applyFill="1" applyBorder="1" applyAlignment="1" applyProtection="1">
      <alignment horizontal="center" vertical="center"/>
      <protection locked="0"/>
    </xf>
    <xf numFmtId="44" fontId="20" fillId="0" borderId="19" xfId="121" applyNumberFormat="1" applyFont="1" applyFill="1" applyBorder="1" applyAlignment="1" applyProtection="1">
      <alignment horizontal="center" vertical="center"/>
      <protection locked="0"/>
    </xf>
    <xf numFmtId="185" fontId="19" fillId="0" borderId="19" xfId="121" applyNumberFormat="1" applyFont="1" applyFill="1" applyBorder="1" applyAlignment="1" applyProtection="1">
      <alignment horizontal="center" vertical="center"/>
      <protection locked="0"/>
    </xf>
    <xf numFmtId="4" fontId="19" fillId="66" borderId="33" xfId="0" applyNumberFormat="1" applyFont="1" applyFill="1" applyBorder="1" applyAlignment="1" applyProtection="1">
      <alignment horizontal="center" vertical="center"/>
      <protection locked="0"/>
    </xf>
    <xf numFmtId="185" fontId="18" fillId="0" borderId="33" xfId="0" applyNumberFormat="1" applyFont="1" applyBorder="1" applyAlignment="1" applyProtection="1">
      <alignment horizontal="center" vertical="center"/>
      <protection locked="0"/>
    </xf>
    <xf numFmtId="177" fontId="18" fillId="0" borderId="33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vertical="top" wrapText="1"/>
      <protection locked="0"/>
    </xf>
    <xf numFmtId="2" fontId="18" fillId="0" borderId="18" xfId="0" applyNumberFormat="1" applyFont="1" applyBorder="1" applyAlignment="1" applyProtection="1">
      <alignment horizontal="center" vertical="center"/>
      <protection locked="0"/>
    </xf>
    <xf numFmtId="177" fontId="18" fillId="0" borderId="18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8" fillId="0" borderId="18" xfId="0" applyNumberFormat="1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Fill="1" applyBorder="1" applyAlignment="1" applyProtection="1">
      <alignment horizontal="center" vertical="center"/>
      <protection locked="0"/>
    </xf>
    <xf numFmtId="185" fontId="18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0" fontId="19" fillId="45" borderId="19" xfId="0" applyFont="1" applyFill="1" applyBorder="1" applyAlignment="1" applyProtection="1">
      <alignment vertical="center" wrapText="1"/>
      <protection locked="0"/>
    </xf>
    <xf numFmtId="0" fontId="18" fillId="0" borderId="40" xfId="124" applyFont="1" applyFill="1" applyBorder="1" applyAlignment="1" applyProtection="1">
      <alignment vertical="center" wrapText="1"/>
      <protection locked="0"/>
    </xf>
    <xf numFmtId="0" fontId="18" fillId="0" borderId="49" xfId="124" applyFont="1" applyFill="1" applyBorder="1" applyAlignment="1" applyProtection="1">
      <alignment vertical="center" wrapText="1"/>
      <protection locked="0"/>
    </xf>
    <xf numFmtId="0" fontId="18" fillId="0" borderId="49" xfId="124" applyFont="1" applyFill="1" applyBorder="1" applyAlignment="1" applyProtection="1">
      <alignment horizontal="center" vertical="center" wrapText="1"/>
      <protection locked="0"/>
    </xf>
    <xf numFmtId="0" fontId="18" fillId="0" borderId="41" xfId="124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18" fillId="44" borderId="56" xfId="0" applyFont="1" applyFill="1" applyBorder="1" applyAlignment="1" applyProtection="1">
      <alignment horizontal="center" vertical="center"/>
      <protection locked="0"/>
    </xf>
    <xf numFmtId="0" fontId="18" fillId="44" borderId="2" xfId="0" applyFont="1" applyFill="1" applyBorder="1" applyAlignment="1" applyProtection="1">
      <alignment horizontal="center" vertical="center"/>
      <protection locked="0"/>
    </xf>
    <xf numFmtId="0" fontId="19" fillId="44" borderId="2" xfId="0" applyFont="1" applyFill="1" applyBorder="1" applyAlignment="1" applyProtection="1">
      <alignment vertical="center"/>
      <protection locked="0"/>
    </xf>
    <xf numFmtId="0" fontId="18" fillId="44" borderId="2" xfId="124" applyFont="1" applyFill="1" applyBorder="1" applyAlignment="1" applyProtection="1">
      <alignment horizontal="center" vertical="center"/>
      <protection locked="0"/>
    </xf>
    <xf numFmtId="0" fontId="20" fillId="44" borderId="57" xfId="124" applyFont="1" applyFill="1" applyBorder="1" applyAlignment="1" applyProtection="1">
      <alignment horizontal="center" vertical="center"/>
      <protection locked="0"/>
    </xf>
    <xf numFmtId="0" fontId="19" fillId="44" borderId="21" xfId="0" applyFont="1" applyFill="1" applyBorder="1" applyAlignment="1" applyProtection="1">
      <alignment horizontal="center" vertical="center"/>
      <protection locked="0"/>
    </xf>
    <xf numFmtId="4" fontId="19" fillId="44" borderId="21" xfId="0" applyNumberFormat="1" applyFont="1" applyFill="1" applyBorder="1" applyAlignment="1" applyProtection="1">
      <alignment vertical="center"/>
      <protection locked="0"/>
    </xf>
    <xf numFmtId="4" fontId="19" fillId="66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4" fontId="19" fillId="0" borderId="0" xfId="0" applyNumberFormat="1" applyFont="1" applyFill="1" applyBorder="1" applyAlignment="1" applyProtection="1">
      <alignment horizontal="right" vertical="center"/>
      <protection locked="0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24" xfId="0" applyFont="1" applyFill="1" applyBorder="1" applyAlignment="1" applyProtection="1">
      <alignment vertical="center"/>
      <protection locked="0"/>
    </xf>
    <xf numFmtId="0" fontId="19" fillId="46" borderId="27" xfId="0" applyFont="1" applyFill="1" applyBorder="1" applyAlignment="1" applyProtection="1">
      <alignment vertical="center" wrapText="1"/>
      <protection locked="0"/>
    </xf>
    <xf numFmtId="0" fontId="18" fillId="0" borderId="22" xfId="124" applyFont="1" applyFill="1" applyBorder="1" applyAlignment="1" applyProtection="1">
      <alignment vertical="center" wrapText="1"/>
      <protection locked="0"/>
    </xf>
    <xf numFmtId="0" fontId="18" fillId="0" borderId="23" xfId="124" applyFont="1" applyFill="1" applyBorder="1" applyAlignment="1" applyProtection="1">
      <alignment vertical="center" wrapText="1"/>
      <protection locked="0"/>
    </xf>
    <xf numFmtId="0" fontId="18" fillId="0" borderId="23" xfId="124" applyFont="1" applyFill="1" applyBorder="1" applyAlignment="1" applyProtection="1">
      <alignment horizontal="center" vertical="center" wrapText="1"/>
      <protection locked="0"/>
    </xf>
    <xf numFmtId="0" fontId="18" fillId="0" borderId="59" xfId="124" applyFont="1" applyFill="1" applyBorder="1" applyAlignment="1" applyProtection="1">
      <alignment vertical="center" wrapText="1"/>
      <protection locked="0"/>
    </xf>
    <xf numFmtId="0" fontId="18" fillId="45" borderId="56" xfId="0" applyFont="1" applyFill="1" applyBorder="1" applyAlignment="1" applyProtection="1">
      <alignment horizontal="center" vertical="center"/>
      <protection locked="0"/>
    </xf>
    <xf numFmtId="0" fontId="18" fillId="45" borderId="2" xfId="0" applyFont="1" applyFill="1" applyBorder="1" applyAlignment="1" applyProtection="1">
      <alignment horizontal="center" vertical="center"/>
      <protection locked="0"/>
    </xf>
    <xf numFmtId="0" fontId="19" fillId="45" borderId="19" xfId="0" applyFont="1" applyFill="1" applyBorder="1" applyAlignment="1" applyProtection="1">
      <alignment vertical="center"/>
      <protection locked="0"/>
    </xf>
    <xf numFmtId="0" fontId="18" fillId="45" borderId="2" xfId="124" applyFont="1" applyFill="1" applyBorder="1" applyAlignment="1" applyProtection="1">
      <alignment horizontal="center" vertical="center"/>
      <protection locked="0"/>
    </xf>
    <xf numFmtId="0" fontId="20" fillId="45" borderId="57" xfId="124" applyFont="1" applyFill="1" applyBorder="1" applyAlignment="1" applyProtection="1">
      <alignment horizontal="center" vertical="center"/>
      <protection locked="0"/>
    </xf>
    <xf numFmtId="0" fontId="18" fillId="45" borderId="50" xfId="0" applyFont="1" applyFill="1" applyBorder="1" applyAlignment="1" applyProtection="1">
      <alignment horizontal="center" vertical="center"/>
      <protection locked="0"/>
    </xf>
    <xf numFmtId="0" fontId="19" fillId="45" borderId="21" xfId="0" applyFont="1" applyFill="1" applyBorder="1" applyAlignment="1" applyProtection="1">
      <alignment horizontal="center" vertical="center"/>
      <protection locked="0"/>
    </xf>
    <xf numFmtId="0" fontId="19" fillId="45" borderId="21" xfId="0" applyFont="1" applyFill="1" applyBorder="1" applyAlignment="1" applyProtection="1">
      <alignment vertical="center"/>
      <protection locked="0"/>
    </xf>
    <xf numFmtId="4" fontId="19" fillId="45" borderId="21" xfId="0" applyNumberFormat="1" applyFont="1" applyFill="1" applyBorder="1" applyAlignment="1" applyProtection="1">
      <alignment vertical="center"/>
      <protection locked="0"/>
    </xf>
    <xf numFmtId="0" fontId="18" fillId="45" borderId="21" xfId="0" applyFont="1" applyFill="1" applyBorder="1" applyAlignment="1" applyProtection="1">
      <alignment horizontal="center" vertical="center"/>
      <protection locked="0"/>
    </xf>
    <xf numFmtId="4" fontId="19" fillId="45" borderId="51" xfId="0" applyNumberFormat="1" applyFont="1" applyFill="1" applyBorder="1" applyAlignment="1" applyProtection="1">
      <alignment horizontal="center" vertical="center"/>
      <protection locked="0"/>
    </xf>
    <xf numFmtId="0" fontId="19" fillId="46" borderId="21" xfId="121" applyFont="1" applyFill="1" applyBorder="1" applyAlignment="1" applyProtection="1">
      <alignment horizontal="left" vertical="center"/>
      <protection locked="0"/>
    </xf>
    <xf numFmtId="0" fontId="19" fillId="0" borderId="0" xfId="12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9" fillId="0" borderId="2" xfId="121" applyFont="1" applyFill="1" applyBorder="1" applyAlignment="1" applyProtection="1">
      <alignment horizontal="center" vertical="center"/>
      <protection locked="0"/>
    </xf>
    <xf numFmtId="0" fontId="19" fillId="51" borderId="19" xfId="121" applyFont="1" applyFill="1" applyBorder="1" applyAlignment="1" applyProtection="1">
      <alignment horizontal="left" vertical="center"/>
      <protection locked="0"/>
    </xf>
    <xf numFmtId="4" fontId="18" fillId="0" borderId="2" xfId="121" applyNumberFormat="1" applyFont="1" applyFill="1" applyBorder="1" applyAlignment="1" applyProtection="1">
      <alignment horizontal="center" vertical="center"/>
      <protection locked="0"/>
    </xf>
    <xf numFmtId="44" fontId="19" fillId="0" borderId="2" xfId="121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188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67" borderId="2" xfId="0" applyFont="1" applyFill="1" applyBorder="1" applyAlignment="1" applyProtection="1">
      <alignment vertical="center" wrapText="1"/>
      <protection locked="0"/>
    </xf>
    <xf numFmtId="2" fontId="18" fillId="0" borderId="2" xfId="0" applyNumberFormat="1" applyFont="1" applyFill="1" applyBorder="1" applyAlignment="1" applyProtection="1">
      <alignment horizontal="center" vertical="center"/>
      <protection locked="0"/>
    </xf>
    <xf numFmtId="44" fontId="94" fillId="0" borderId="2" xfId="38" applyFont="1" applyFill="1" applyAlignment="1" applyProtection="1">
      <alignment horizontal="center" vertical="center"/>
      <protection locked="0"/>
    </xf>
    <xf numFmtId="0" fontId="18" fillId="67" borderId="0" xfId="0" applyFont="1" applyFill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0" fontId="18" fillId="68" borderId="2" xfId="0" applyFont="1" applyFill="1" applyBorder="1" applyAlignment="1" applyProtection="1">
      <alignment horizontal="center"/>
      <protection locked="0"/>
    </xf>
    <xf numFmtId="188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54" borderId="2" xfId="0" applyFont="1" applyFill="1" applyBorder="1" applyAlignment="1" applyProtection="1">
      <alignment vertical="center" wrapText="1"/>
      <protection locked="0"/>
    </xf>
    <xf numFmtId="44" fontId="94" fillId="0" borderId="2" xfId="38" applyFont="1" applyAlignment="1" applyProtection="1">
      <alignment horizontal="center" vertical="center"/>
      <protection locked="0"/>
    </xf>
    <xf numFmtId="0" fontId="18" fillId="54" borderId="0" xfId="0" applyFont="1" applyFill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top"/>
      <protection locked="0"/>
    </xf>
    <xf numFmtId="0" fontId="18" fillId="54" borderId="2" xfId="0" applyFont="1" applyFill="1" applyBorder="1" applyAlignment="1" applyProtection="1">
      <alignment horizontal="center"/>
      <protection locked="0"/>
    </xf>
    <xf numFmtId="0" fontId="18" fillId="68" borderId="2" xfId="0" applyFont="1" applyFill="1" applyBorder="1" applyAlignment="1" applyProtection="1">
      <alignment vertical="center" wrapText="1"/>
      <protection locked="0"/>
    </xf>
    <xf numFmtId="0" fontId="18" fillId="68" borderId="0" xfId="0" applyFont="1" applyFill="1" applyAlignment="1" applyProtection="1">
      <alignment horizontal="center" vertical="center"/>
      <protection locked="0"/>
    </xf>
    <xf numFmtId="4" fontId="95" fillId="45" borderId="2" xfId="12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31" fillId="0" borderId="38" xfId="0" applyFont="1" applyFill="1" applyBorder="1" applyAlignment="1" applyProtection="1">
      <alignment vertical="center"/>
      <protection locked="0"/>
    </xf>
    <xf numFmtId="188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4" fontId="18" fillId="0" borderId="2" xfId="121" applyNumberFormat="1" applyFont="1" applyFill="1" applyBorder="1" applyAlignment="1" applyProtection="1">
      <alignment horizontal="center" vertical="center"/>
      <protection locked="0"/>
    </xf>
    <xf numFmtId="4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12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44" fontId="94" fillId="0" borderId="2" xfId="38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8" fontId="18" fillId="0" borderId="2" xfId="121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44" fontId="18" fillId="0" borderId="2" xfId="121" applyNumberFormat="1" applyFont="1" applyFill="1" applyBorder="1" applyAlignment="1" applyProtection="1">
      <alignment horizontal="center" vertical="center"/>
      <protection locked="0"/>
    </xf>
    <xf numFmtId="188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4" fontId="18" fillId="0" borderId="33" xfId="124" applyNumberFormat="1" applyFont="1" applyFill="1" applyBorder="1" applyAlignment="1" applyProtection="1">
      <alignment horizontal="center" vertical="center"/>
      <protection locked="0"/>
    </xf>
    <xf numFmtId="4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33" xfId="121" applyFont="1" applyFill="1" applyBorder="1" applyAlignment="1" applyProtection="1">
      <alignment horizontal="center" vertical="center"/>
      <protection locked="0"/>
    </xf>
    <xf numFmtId="0" fontId="19" fillId="0" borderId="33" xfId="121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4" fontId="18" fillId="0" borderId="26" xfId="0" applyNumberFormat="1" applyFont="1" applyFill="1" applyBorder="1" applyAlignment="1" applyProtection="1">
      <alignment horizontal="center" vertical="center"/>
      <protection locked="0"/>
    </xf>
    <xf numFmtId="44" fontId="18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95" fillId="0" borderId="0" xfId="121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2" fontId="18" fillId="0" borderId="2" xfId="0" applyNumberFormat="1" applyFont="1" applyFill="1" applyBorder="1" applyAlignment="1" applyProtection="1">
      <alignment vertical="center"/>
      <protection locked="0"/>
    </xf>
    <xf numFmtId="4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vertical="center" wrapText="1"/>
      <protection locked="0"/>
    </xf>
    <xf numFmtId="2" fontId="18" fillId="0" borderId="18" xfId="0" applyNumberFormat="1" applyFont="1" applyFill="1" applyBorder="1" applyAlignment="1" applyProtection="1">
      <alignment horizontal="center" vertical="center"/>
      <protection locked="0"/>
    </xf>
    <xf numFmtId="177" fontId="18" fillId="0" borderId="18" xfId="0" applyNumberFormat="1" applyFont="1" applyFill="1" applyBorder="1" applyAlignment="1" applyProtection="1">
      <alignment horizontal="center" vertical="center"/>
      <protection locked="0"/>
    </xf>
    <xf numFmtId="44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60" xfId="124" applyFont="1" applyFill="1" applyBorder="1" applyAlignment="1" applyProtection="1">
      <alignment horizontal="center" vertical="center"/>
      <protection locked="0"/>
    </xf>
    <xf numFmtId="0" fontId="18" fillId="0" borderId="2" xfId="121" applyFont="1" applyBorder="1" applyAlignment="1" applyProtection="1">
      <alignment horizontal="center" vertical="center"/>
      <protection locked="0"/>
    </xf>
    <xf numFmtId="0" fontId="21" fillId="0" borderId="21" xfId="121" applyFont="1" applyBorder="1" applyAlignment="1" applyProtection="1">
      <alignment horizontal="left" vertical="center"/>
      <protection locked="0"/>
    </xf>
    <xf numFmtId="177" fontId="18" fillId="0" borderId="2" xfId="121" applyNumberFormat="1" applyFont="1" applyBorder="1" applyAlignment="1" applyProtection="1">
      <alignment horizontal="center" vertical="center"/>
      <protection locked="0"/>
    </xf>
    <xf numFmtId="4" fontId="18" fillId="0" borderId="18" xfId="121" applyNumberFormat="1" applyFont="1" applyBorder="1" applyAlignment="1" applyProtection="1">
      <alignment horizontal="right" vertical="center"/>
      <protection locked="0"/>
    </xf>
    <xf numFmtId="176" fontId="18" fillId="0" borderId="2" xfId="90" applyNumberFormat="1" applyFont="1" applyBorder="1" applyAlignment="1" applyProtection="1">
      <alignment vertical="center"/>
      <protection locked="0"/>
    </xf>
    <xf numFmtId="0" fontId="18" fillId="0" borderId="57" xfId="12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67" borderId="2" xfId="121" applyFont="1" applyFill="1" applyBorder="1" applyAlignment="1" applyProtection="1">
      <alignment horizontal="center" vertical="center"/>
      <protection locked="0"/>
    </xf>
    <xf numFmtId="0" fontId="34" fillId="0" borderId="2" xfId="121" applyFont="1" applyBorder="1" applyAlignment="1" applyProtection="1">
      <alignment horizontal="left" vertical="center"/>
      <protection locked="0"/>
    </xf>
    <xf numFmtId="4" fontId="95" fillId="60" borderId="2" xfId="121" applyNumberFormat="1" applyFont="1" applyFill="1" applyBorder="1" applyAlignment="1" applyProtection="1">
      <alignment horizontal="center" vertical="center"/>
      <protection locked="0"/>
    </xf>
    <xf numFmtId="17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54" borderId="2" xfId="121" applyFont="1" applyFill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68" borderId="18" xfId="121" applyFont="1" applyFill="1" applyBorder="1" applyAlignment="1" applyProtection="1">
      <alignment horizontal="center" vertical="center"/>
      <protection locked="0"/>
    </xf>
    <xf numFmtId="0" fontId="18" fillId="0" borderId="18" xfId="121" applyFont="1" applyBorder="1" applyAlignment="1" applyProtection="1">
      <alignment horizontal="center" vertical="center"/>
      <protection locked="0"/>
    </xf>
    <xf numFmtId="4" fontId="95" fillId="60" borderId="18" xfId="121" applyNumberFormat="1" applyFont="1" applyFill="1" applyBorder="1" applyAlignment="1" applyProtection="1">
      <alignment horizontal="center" vertical="center"/>
      <protection locked="0"/>
    </xf>
    <xf numFmtId="44" fontId="18" fillId="0" borderId="18" xfId="121" applyNumberFormat="1" applyFont="1" applyFill="1" applyBorder="1" applyAlignment="1" applyProtection="1">
      <alignment horizontal="center" vertical="center"/>
      <protection locked="0"/>
    </xf>
    <xf numFmtId="176" fontId="18" fillId="0" borderId="18" xfId="90" applyNumberFormat="1" applyFont="1" applyBorder="1" applyAlignment="1" applyProtection="1">
      <alignment vertical="center"/>
      <protection locked="0"/>
    </xf>
    <xf numFmtId="174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51" borderId="26" xfId="0" applyFont="1" applyFill="1" applyBorder="1" applyAlignment="1" applyProtection="1">
      <alignment vertical="center" wrapText="1"/>
      <protection locked="0"/>
    </xf>
    <xf numFmtId="0" fontId="18" fillId="0" borderId="24" xfId="124" applyFont="1" applyFill="1" applyBorder="1" applyAlignment="1" applyProtection="1">
      <alignment vertical="center" wrapText="1"/>
      <protection locked="0"/>
    </xf>
    <xf numFmtId="0" fontId="18" fillId="0" borderId="24" xfId="124" applyFont="1" applyFill="1" applyBorder="1" applyAlignment="1" applyProtection="1">
      <alignment horizontal="center" vertical="center" wrapText="1"/>
      <protection locked="0"/>
    </xf>
    <xf numFmtId="0" fontId="18" fillId="0" borderId="37" xfId="124" applyFont="1" applyFill="1" applyBorder="1" applyAlignment="1" applyProtection="1">
      <alignment vertical="center" wrapText="1"/>
      <protection locked="0"/>
    </xf>
    <xf numFmtId="0" fontId="19" fillId="44" borderId="62" xfId="0" applyFont="1" applyFill="1" applyBorder="1" applyAlignment="1" applyProtection="1">
      <alignment vertical="center"/>
      <protection locked="0"/>
    </xf>
    <xf numFmtId="0" fontId="19" fillId="44" borderId="2" xfId="0" applyFont="1" applyFill="1" applyBorder="1" applyAlignment="1" applyProtection="1">
      <alignment horizontal="center" vertical="center"/>
      <protection locked="0"/>
    </xf>
    <xf numFmtId="4" fontId="19" fillId="44" borderId="2" xfId="0" applyNumberFormat="1" applyFont="1" applyFill="1" applyBorder="1" applyAlignment="1" applyProtection="1">
      <alignment vertical="center"/>
      <protection locked="0"/>
    </xf>
    <xf numFmtId="4" fontId="19" fillId="44" borderId="57" xfId="0" applyNumberFormat="1" applyFont="1" applyFill="1" applyBorder="1" applyAlignment="1" applyProtection="1">
      <alignment horizontal="center" vertical="center"/>
      <protection locked="0"/>
    </xf>
    <xf numFmtId="0" fontId="18" fillId="44" borderId="61" xfId="0" applyFont="1" applyFill="1" applyBorder="1" applyAlignment="1" applyProtection="1">
      <alignment horizontal="center" vertical="center"/>
      <protection locked="0"/>
    </xf>
    <xf numFmtId="0" fontId="19" fillId="44" borderId="18" xfId="0" applyFont="1" applyFill="1" applyBorder="1" applyAlignment="1" applyProtection="1">
      <alignment horizontal="center" vertical="center"/>
      <protection locked="0"/>
    </xf>
    <xf numFmtId="4" fontId="19" fillId="44" borderId="18" xfId="0" applyNumberFormat="1" applyFont="1" applyFill="1" applyBorder="1" applyAlignment="1" applyProtection="1">
      <alignment vertical="center"/>
      <protection locked="0"/>
    </xf>
    <xf numFmtId="0" fontId="18" fillId="44" borderId="18" xfId="0" applyFont="1" applyFill="1" applyBorder="1" applyAlignment="1" applyProtection="1">
      <alignment horizontal="center" vertical="center"/>
      <protection locked="0"/>
    </xf>
    <xf numFmtId="4" fontId="19" fillId="44" borderId="60" xfId="0" applyNumberFormat="1" applyFont="1" applyFill="1" applyBorder="1" applyAlignment="1" applyProtection="1">
      <alignment horizontal="center" vertical="center"/>
      <protection locked="0"/>
    </xf>
    <xf numFmtId="0" fontId="19" fillId="48" borderId="26" xfId="0" applyFont="1" applyFill="1" applyBorder="1" applyAlignment="1" applyProtection="1">
      <alignment vertical="center" wrapText="1"/>
      <protection locked="0"/>
    </xf>
    <xf numFmtId="0" fontId="19" fillId="0" borderId="63" xfId="121" applyFont="1" applyFill="1" applyBorder="1" applyAlignment="1" applyProtection="1">
      <alignment horizontal="center" vertical="center"/>
      <protection locked="0"/>
    </xf>
    <xf numFmtId="0" fontId="19" fillId="0" borderId="62" xfId="121" applyFont="1" applyFill="1" applyBorder="1" applyAlignment="1" applyProtection="1">
      <alignment horizontal="center" vertical="center"/>
      <protection locked="0"/>
    </xf>
    <xf numFmtId="0" fontId="19" fillId="0" borderId="64" xfId="121" applyFont="1" applyFill="1" applyBorder="1" applyAlignment="1" applyProtection="1">
      <alignment horizontal="center" vertical="center"/>
      <protection locked="0"/>
    </xf>
    <xf numFmtId="188" fontId="18" fillId="0" borderId="18" xfId="121" applyNumberFormat="1" applyFont="1" applyFill="1" applyBorder="1" applyAlignment="1" applyProtection="1">
      <alignment horizontal="center" vertical="center"/>
      <protection locked="0"/>
    </xf>
    <xf numFmtId="0" fontId="18" fillId="0" borderId="18" xfId="121" applyFont="1" applyFill="1" applyBorder="1" applyAlignment="1" applyProtection="1">
      <alignment horizontal="center" vertical="center"/>
      <protection locked="0"/>
    </xf>
    <xf numFmtId="188" fontId="18" fillId="0" borderId="18" xfId="0" applyNumberFormat="1" applyFont="1" applyFill="1" applyBorder="1" applyAlignment="1" applyProtection="1">
      <alignment horizontal="center" vertical="center"/>
      <protection locked="0"/>
    </xf>
    <xf numFmtId="4" fontId="18" fillId="0" borderId="18" xfId="124" applyNumberFormat="1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Fill="1" applyBorder="1" applyAlignment="1" applyProtection="1">
      <alignment horizontal="center"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185" fontId="18" fillId="0" borderId="2" xfId="0" applyNumberFormat="1" applyFont="1" applyFill="1" applyBorder="1" applyAlignment="1" applyProtection="1">
      <alignment vertical="center"/>
      <protection locked="0"/>
    </xf>
    <xf numFmtId="0" fontId="18" fillId="0" borderId="57" xfId="124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87" fillId="0" borderId="0" xfId="0" applyFont="1" applyAlignment="1" applyProtection="1">
      <alignment vertical="center"/>
      <protection locked="0"/>
    </xf>
    <xf numFmtId="0" fontId="87" fillId="0" borderId="0" xfId="0" applyFont="1" applyAlignment="1" applyProtection="1">
      <alignment horizontal="center"/>
      <protection locked="0"/>
    </xf>
    <xf numFmtId="0" fontId="96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177" fontId="18" fillId="0" borderId="2" xfId="0" applyNumberFormat="1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Alignment="1" applyProtection="1">
      <alignment horizontal="center" vertical="center"/>
      <protection locked="0"/>
    </xf>
    <xf numFmtId="177" fontId="18" fillId="0" borderId="18" xfId="121" applyNumberFormat="1" applyFont="1" applyBorder="1" applyAlignment="1" applyProtection="1">
      <alignment horizontal="center" vertical="center"/>
      <protection locked="0"/>
    </xf>
    <xf numFmtId="0" fontId="18" fillId="0" borderId="18" xfId="124" applyFont="1" applyFill="1" applyBorder="1" applyAlignment="1" applyProtection="1">
      <alignment horizontal="center" vertical="center"/>
      <protection locked="0"/>
    </xf>
    <xf numFmtId="0" fontId="18" fillId="0" borderId="60" xfId="121" applyFont="1" applyBorder="1" applyAlignment="1" applyProtection="1">
      <alignment horizontal="center" vertical="center"/>
      <protection locked="0"/>
    </xf>
    <xf numFmtId="0" fontId="18" fillId="68" borderId="2" xfId="121" applyFont="1" applyFill="1" applyBorder="1" applyAlignment="1" applyProtection="1">
      <alignment horizontal="center" vertical="center"/>
      <protection locked="0"/>
    </xf>
    <xf numFmtId="176" fontId="18" fillId="0" borderId="2" xfId="90" applyNumberFormat="1" applyFont="1" applyFill="1" applyBorder="1" applyAlignment="1" applyProtection="1">
      <alignment vertical="center"/>
      <protection locked="0"/>
    </xf>
    <xf numFmtId="0" fontId="18" fillId="68" borderId="21" xfId="121" applyFont="1" applyFill="1" applyBorder="1" applyAlignment="1" applyProtection="1">
      <alignment horizontal="center" vertical="center"/>
      <protection locked="0"/>
    </xf>
    <xf numFmtId="0" fontId="18" fillId="0" borderId="21" xfId="121" applyFont="1" applyFill="1" applyBorder="1" applyAlignment="1" applyProtection="1">
      <alignment horizontal="center" vertical="center"/>
      <protection locked="0"/>
    </xf>
    <xf numFmtId="4" fontId="95" fillId="60" borderId="21" xfId="121" applyNumberFormat="1" applyFont="1" applyFill="1" applyBorder="1" applyAlignment="1" applyProtection="1">
      <alignment horizontal="center" vertical="center"/>
      <protection locked="0"/>
    </xf>
    <xf numFmtId="44" fontId="18" fillId="0" borderId="21" xfId="121" applyNumberFormat="1" applyFont="1" applyFill="1" applyBorder="1" applyAlignment="1" applyProtection="1">
      <alignment horizontal="center" vertical="center"/>
      <protection locked="0"/>
    </xf>
    <xf numFmtId="176" fontId="18" fillId="0" borderId="21" xfId="90" applyNumberFormat="1" applyFont="1" applyFill="1" applyBorder="1" applyAlignment="1" applyProtection="1">
      <alignment vertical="center"/>
      <protection locked="0"/>
    </xf>
    <xf numFmtId="0" fontId="19" fillId="48" borderId="19" xfId="0" applyFont="1" applyFill="1" applyBorder="1" applyAlignment="1" applyProtection="1">
      <alignment vertical="center" wrapText="1"/>
      <protection locked="0"/>
    </xf>
    <xf numFmtId="0" fontId="18" fillId="0" borderId="0" xfId="124" applyFont="1" applyFill="1" applyBorder="1" applyAlignment="1" applyProtection="1">
      <alignment vertical="center" wrapText="1"/>
      <protection locked="0"/>
    </xf>
    <xf numFmtId="0" fontId="18" fillId="0" borderId="0" xfId="124" applyFont="1" applyFill="1" applyBorder="1" applyAlignment="1" applyProtection="1">
      <alignment horizontal="center" vertical="center" wrapText="1"/>
      <protection locked="0"/>
    </xf>
    <xf numFmtId="0" fontId="18" fillId="0" borderId="45" xfId="124" applyFont="1" applyFill="1" applyBorder="1" applyAlignment="1" applyProtection="1">
      <alignment vertical="center" wrapText="1"/>
      <protection locked="0"/>
    </xf>
    <xf numFmtId="0" fontId="19" fillId="44" borderId="64" xfId="0" applyFont="1" applyFill="1" applyBorder="1" applyAlignment="1" applyProtection="1">
      <alignment vertical="center"/>
      <protection locked="0"/>
    </xf>
    <xf numFmtId="4" fontId="19" fillId="44" borderId="51" xfId="0" applyNumberFormat="1" applyFont="1" applyFill="1" applyBorder="1" applyAlignment="1" applyProtection="1">
      <alignment horizontal="center" vertical="center"/>
      <protection locked="0"/>
    </xf>
    <xf numFmtId="0" fontId="19" fillId="50" borderId="26" xfId="121" applyFont="1" applyFill="1" applyBorder="1" applyAlignment="1" applyProtection="1">
      <alignment horizontal="left" vertical="center"/>
      <protection locked="0"/>
    </xf>
    <xf numFmtId="0" fontId="31" fillId="0" borderId="38" xfId="0" applyFont="1" applyBorder="1" applyAlignment="1" applyProtection="1">
      <alignment vertical="center"/>
      <protection locked="0"/>
    </xf>
    <xf numFmtId="0" fontId="31" fillId="0" borderId="2" xfId="124" applyFont="1" applyFill="1" applyBorder="1" applyAlignment="1" applyProtection="1">
      <alignment horizontal="center" vertical="center"/>
      <protection locked="0"/>
    </xf>
    <xf numFmtId="0" fontId="18" fillId="64" borderId="19" xfId="124" applyFont="1" applyFill="1" applyBorder="1" applyAlignment="1" applyProtection="1">
      <alignment horizontal="left" vertical="center"/>
      <protection locked="0"/>
    </xf>
    <xf numFmtId="0" fontId="18" fillId="0" borderId="2" xfId="124" applyFont="1" applyFill="1" applyBorder="1" applyAlignment="1" applyProtection="1">
      <alignment horizontal="center" vertical="center" wrapText="1"/>
      <protection locked="0"/>
    </xf>
    <xf numFmtId="4" fontId="18" fillId="0" borderId="2" xfId="124" applyNumberFormat="1" applyFont="1" applyFill="1" applyBorder="1" applyAlignment="1" applyProtection="1">
      <alignment horizontal="center" vertical="center"/>
      <protection locked="0"/>
    </xf>
    <xf numFmtId="0" fontId="19" fillId="0" borderId="2" xfId="124" applyFont="1" applyFill="1" applyBorder="1" applyAlignment="1" applyProtection="1">
      <alignment horizontal="center" vertical="center"/>
      <protection locked="0"/>
    </xf>
    <xf numFmtId="0" fontId="31" fillId="0" borderId="2" xfId="121" applyFont="1" applyFill="1" applyBorder="1" applyAlignment="1" applyProtection="1">
      <alignment horizontal="center" vertical="center"/>
      <protection locked="0"/>
    </xf>
    <xf numFmtId="0" fontId="20" fillId="0" borderId="2" xfId="12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4" fontId="18" fillId="0" borderId="0" xfId="124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191" fontId="18" fillId="68" borderId="2" xfId="0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18" fillId="54" borderId="2" xfId="0" applyFont="1" applyFill="1" applyBorder="1" applyAlignment="1" applyProtection="1">
      <alignment vertical="center" wrapText="1"/>
      <protection locked="0"/>
    </xf>
    <xf numFmtId="0" fontId="18" fillId="69" borderId="2" xfId="0" applyFont="1" applyFill="1" applyBorder="1" applyAlignment="1" applyProtection="1">
      <alignment vertical="center" wrapText="1"/>
      <protection locked="0"/>
    </xf>
    <xf numFmtId="0" fontId="18" fillId="69" borderId="0" xfId="0" applyFont="1" applyFill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19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67" borderId="2" xfId="0" applyFont="1" applyFill="1" applyBorder="1" applyAlignment="1" applyProtection="1">
      <alignment horizontal="left" vertical="center" wrapText="1"/>
      <protection locked="0"/>
    </xf>
    <xf numFmtId="191" fontId="18" fillId="0" borderId="0" xfId="0" applyNumberFormat="1" applyFont="1" applyBorder="1" applyAlignment="1" applyProtection="1">
      <alignment/>
      <protection locked="0"/>
    </xf>
    <xf numFmtId="2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2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5" fillId="6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191" fontId="18" fillId="0" borderId="0" xfId="0" applyNumberFormat="1" applyFont="1" applyAlignment="1" applyProtection="1">
      <alignment horizontal="center" wrapText="1"/>
      <protection locked="0"/>
    </xf>
    <xf numFmtId="4" fontId="9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55" borderId="2" xfId="0" applyFont="1" applyFill="1" applyBorder="1" applyAlignment="1" applyProtection="1">
      <alignment vertical="center" wrapText="1"/>
      <protection locked="0"/>
    </xf>
    <xf numFmtId="191" fontId="18" fillId="55" borderId="2" xfId="0" applyNumberFormat="1" applyFont="1" applyFill="1" applyBorder="1" applyAlignment="1" applyProtection="1">
      <alignment horizontal="center" vertical="center"/>
      <protection locked="0"/>
    </xf>
    <xf numFmtId="4" fontId="95" fillId="45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8" fillId="64" borderId="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177" fontId="18" fillId="0" borderId="2" xfId="0" applyNumberFormat="1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center" vertical="center"/>
      <protection locked="0"/>
    </xf>
    <xf numFmtId="219" fontId="97" fillId="0" borderId="0" xfId="0" applyNumberFormat="1" applyFont="1" applyBorder="1" applyAlignment="1" applyProtection="1">
      <alignment horizontal="center"/>
      <protection locked="0"/>
    </xf>
    <xf numFmtId="44" fontId="18" fillId="0" borderId="18" xfId="121" applyNumberFormat="1" applyFont="1" applyBorder="1" applyAlignment="1" applyProtection="1">
      <alignment horizontal="center" vertical="center"/>
      <protection locked="0"/>
    </xf>
    <xf numFmtId="219" fontId="18" fillId="0" borderId="0" xfId="0" applyNumberFormat="1" applyFont="1" applyBorder="1" applyAlignment="1" applyProtection="1">
      <alignment horizontal="center"/>
      <protection locked="0"/>
    </xf>
    <xf numFmtId="0" fontId="18" fillId="67" borderId="0" xfId="0" applyFont="1" applyFill="1" applyAlignment="1" applyProtection="1">
      <alignment horizontal="center" vertical="center" wrapText="1"/>
      <protection locked="0"/>
    </xf>
    <xf numFmtId="0" fontId="34" fillId="0" borderId="18" xfId="121" applyFont="1" applyBorder="1" applyAlignment="1" applyProtection="1">
      <alignment horizontal="left" vertical="center"/>
      <protection locked="0"/>
    </xf>
    <xf numFmtId="0" fontId="34" fillId="0" borderId="18" xfId="121" applyFont="1" applyBorder="1" applyAlignment="1" applyProtection="1">
      <alignment horizontal="left" vertical="center" wrapText="1"/>
      <protection locked="0"/>
    </xf>
    <xf numFmtId="0" fontId="18" fillId="69" borderId="2" xfId="121" applyFont="1" applyFill="1" applyBorder="1" applyAlignment="1" applyProtection="1">
      <alignment horizontal="center" vertical="center"/>
      <protection locked="0"/>
    </xf>
    <xf numFmtId="0" fontId="21" fillId="0" borderId="21" xfId="121" applyFont="1" applyBorder="1" applyAlignment="1" applyProtection="1">
      <alignment horizontal="left" vertical="center"/>
      <protection locked="0"/>
    </xf>
    <xf numFmtId="4" fontId="18" fillId="0" borderId="2" xfId="121" applyNumberFormat="1" applyFont="1" applyBorder="1" applyAlignment="1" applyProtection="1">
      <alignment horizontal="center" vertical="center"/>
      <protection locked="0"/>
    </xf>
    <xf numFmtId="4" fontId="18" fillId="0" borderId="2" xfId="121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/>
      <protection locked="0"/>
    </xf>
    <xf numFmtId="4" fontId="18" fillId="0" borderId="0" xfId="1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9" fillId="50" borderId="26" xfId="0" applyFont="1" applyFill="1" applyBorder="1" applyAlignment="1" applyProtection="1">
      <alignment vertical="center" wrapText="1"/>
      <protection locked="0"/>
    </xf>
    <xf numFmtId="0" fontId="19" fillId="49" borderId="26" xfId="12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188" fontId="18" fillId="0" borderId="2" xfId="0" applyNumberFormat="1" applyFont="1" applyBorder="1" applyAlignment="1" applyProtection="1">
      <alignment horizontal="center" vertical="center"/>
      <protection locked="0"/>
    </xf>
    <xf numFmtId="0" fontId="19" fillId="70" borderId="2" xfId="0" applyFont="1" applyFill="1" applyBorder="1" applyAlignment="1" applyProtection="1">
      <alignment horizontal="center" vertical="center"/>
      <protection locked="0"/>
    </xf>
    <xf numFmtId="0" fontId="18" fillId="67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4" fillId="0" borderId="19" xfId="121" applyFont="1" applyBorder="1" applyAlignment="1" applyProtection="1">
      <alignment horizontal="left" vertical="center"/>
      <protection locked="0"/>
    </xf>
    <xf numFmtId="208" fontId="18" fillId="0" borderId="2" xfId="0" applyNumberFormat="1" applyFont="1" applyFill="1" applyBorder="1" applyAlignment="1" applyProtection="1">
      <alignment horizontal="center" vertical="center"/>
      <protection locked="0"/>
    </xf>
    <xf numFmtId="208" fontId="18" fillId="0" borderId="2" xfId="124" applyNumberFormat="1" applyFont="1" applyFill="1" applyBorder="1" applyAlignment="1" applyProtection="1">
      <alignment horizontal="center" vertical="center"/>
      <protection locked="0"/>
    </xf>
    <xf numFmtId="0" fontId="18" fillId="0" borderId="21" xfId="121" applyFont="1" applyBorder="1" applyAlignment="1" applyProtection="1">
      <alignment horizontal="center" vertical="center"/>
      <protection locked="0"/>
    </xf>
    <xf numFmtId="0" fontId="34" fillId="0" borderId="21" xfId="121" applyFont="1" applyBorder="1" applyAlignment="1" applyProtection="1">
      <alignment horizontal="left" vertical="center"/>
      <protection locked="0"/>
    </xf>
    <xf numFmtId="176" fontId="18" fillId="0" borderId="21" xfId="90" applyNumberFormat="1" applyFont="1" applyBorder="1" applyAlignment="1" applyProtection="1">
      <alignment vertical="center"/>
      <protection locked="0"/>
    </xf>
    <xf numFmtId="208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49" borderId="19" xfId="121" applyFont="1" applyFill="1" applyBorder="1" applyAlignment="1" applyProtection="1">
      <alignment horizontal="left" vertical="center"/>
      <protection locked="0"/>
    </xf>
    <xf numFmtId="0" fontId="19" fillId="47" borderId="19" xfId="0" applyFont="1" applyFill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vertical="top" wrapText="1"/>
      <protection locked="0"/>
    </xf>
    <xf numFmtId="0" fontId="18" fillId="0" borderId="2" xfId="0" applyFont="1" applyFill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vertical="top" wrapText="1"/>
      <protection locked="0"/>
    </xf>
    <xf numFmtId="188" fontId="39" fillId="0" borderId="2" xfId="0" applyNumberFormat="1" applyFont="1" applyFill="1" applyBorder="1" applyAlignment="1" applyProtection="1">
      <alignment horizontal="center" wrapText="1"/>
      <protection locked="0"/>
    </xf>
    <xf numFmtId="188" fontId="18" fillId="0" borderId="2" xfId="121" applyNumberFormat="1" applyFont="1" applyBorder="1" applyAlignment="1" applyProtection="1">
      <alignment horizontal="center"/>
      <protection locked="0"/>
    </xf>
    <xf numFmtId="0" fontId="18" fillId="0" borderId="2" xfId="121" applyFont="1" applyBorder="1" applyAlignment="1" applyProtection="1">
      <alignment horizontal="left"/>
      <protection locked="0"/>
    </xf>
    <xf numFmtId="0" fontId="18" fillId="0" borderId="2" xfId="121" applyFont="1" applyBorder="1" applyAlignment="1" applyProtection="1">
      <alignment horizontal="center"/>
      <protection locked="0"/>
    </xf>
    <xf numFmtId="4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121" applyFont="1" applyBorder="1" applyAlignment="1" applyProtection="1">
      <alignment horizontal="left" wrapText="1"/>
      <protection locked="0"/>
    </xf>
    <xf numFmtId="188" fontId="18" fillId="0" borderId="18" xfId="121" applyNumberFormat="1" applyFont="1" applyBorder="1" applyAlignment="1" applyProtection="1">
      <alignment horizontal="center"/>
      <protection locked="0"/>
    </xf>
    <xf numFmtId="0" fontId="18" fillId="0" borderId="18" xfId="121" applyNumberFormat="1" applyFont="1" applyBorder="1" applyAlignment="1" applyProtection="1">
      <alignment horizontal="left" wrapText="1"/>
      <protection locked="0"/>
    </xf>
    <xf numFmtId="0" fontId="18" fillId="0" borderId="18" xfId="121" applyFont="1" applyBorder="1" applyAlignment="1" applyProtection="1">
      <alignment horizontal="center"/>
      <protection locked="0"/>
    </xf>
    <xf numFmtId="44" fontId="19" fillId="0" borderId="18" xfId="0" applyNumberFormat="1" applyFont="1" applyFill="1" applyBorder="1" applyAlignment="1" applyProtection="1">
      <alignment horizontal="center" vertical="center"/>
      <protection locked="0"/>
    </xf>
    <xf numFmtId="4" fontId="18" fillId="0" borderId="18" xfId="121" applyNumberFormat="1" applyFont="1" applyBorder="1" applyAlignment="1" applyProtection="1">
      <alignment horizontal="right"/>
      <protection locked="0"/>
    </xf>
    <xf numFmtId="0" fontId="18" fillId="0" borderId="18" xfId="124" applyFont="1" applyFill="1" applyBorder="1" applyAlignment="1" applyProtection="1">
      <alignment horizontal="center"/>
      <protection locked="0"/>
    </xf>
    <xf numFmtId="0" fontId="18" fillId="0" borderId="26" xfId="121" applyFont="1" applyBorder="1" applyAlignment="1" applyProtection="1">
      <alignment horizontal="left"/>
      <protection locked="0"/>
    </xf>
    <xf numFmtId="0" fontId="18" fillId="0" borderId="26" xfId="121" applyFont="1" applyBorder="1" applyAlignment="1" applyProtection="1">
      <alignment horizontal="center"/>
      <protection locked="0"/>
    </xf>
    <xf numFmtId="44" fontId="18" fillId="0" borderId="26" xfId="121" applyNumberFormat="1" applyFont="1" applyFill="1" applyBorder="1" applyAlignment="1" applyProtection="1">
      <alignment horizontal="center" vertical="center"/>
      <protection locked="0"/>
    </xf>
    <xf numFmtId="185" fontId="18" fillId="0" borderId="26" xfId="121" applyNumberFormat="1" applyFont="1" applyBorder="1" applyAlignment="1" applyProtection="1">
      <alignment horizontal="right"/>
      <protection locked="0"/>
    </xf>
    <xf numFmtId="0" fontId="18" fillId="0" borderId="26" xfId="124" applyFont="1" applyFill="1" applyBorder="1" applyAlignment="1" applyProtection="1">
      <alignment horizontal="center" vertical="center"/>
      <protection locked="0"/>
    </xf>
    <xf numFmtId="185" fontId="18" fillId="0" borderId="2" xfId="121" applyNumberFormat="1" applyFont="1" applyBorder="1" applyAlignment="1" applyProtection="1">
      <alignment horizontal="right"/>
      <protection locked="0"/>
    </xf>
    <xf numFmtId="0" fontId="19" fillId="47" borderId="26" xfId="0" applyFont="1" applyFill="1" applyBorder="1" applyAlignment="1" applyProtection="1">
      <alignment vertical="center" wrapText="1"/>
      <protection locked="0"/>
    </xf>
    <xf numFmtId="185" fontId="19" fillId="0" borderId="49" xfId="121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188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2" xfId="121" applyFont="1" applyBorder="1" applyAlignment="1" applyProtection="1">
      <alignment horizontal="center" vertical="center"/>
      <protection locked="0"/>
    </xf>
    <xf numFmtId="192" fontId="94" fillId="58" borderId="0" xfId="0" applyNumberFormat="1" applyFont="1" applyFill="1" applyBorder="1" applyAlignment="1" applyProtection="1">
      <alignment wrapText="1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188" fontId="18" fillId="0" borderId="2" xfId="0" applyNumberFormat="1" applyFont="1" applyFill="1" applyBorder="1" applyAlignment="1" applyProtection="1">
      <alignment horizontal="center" vertical="center"/>
      <protection locked="0"/>
    </xf>
    <xf numFmtId="188" fontId="18" fillId="0" borderId="2" xfId="121" applyNumberFormat="1" applyFont="1" applyBorder="1" applyAlignment="1" applyProtection="1">
      <alignment horizontal="center" vertical="center"/>
      <protection locked="0"/>
    </xf>
    <xf numFmtId="188" fontId="18" fillId="67" borderId="2" xfId="121" applyNumberFormat="1" applyFont="1" applyFill="1" applyBorder="1" applyAlignment="1" applyProtection="1">
      <alignment horizontal="center" vertical="center"/>
      <protection locked="0"/>
    </xf>
    <xf numFmtId="0" fontId="18" fillId="67" borderId="2" xfId="0" applyFont="1" applyFill="1" applyBorder="1" applyAlignment="1" applyProtection="1">
      <alignment vertical="center" wrapText="1"/>
      <protection locked="0"/>
    </xf>
    <xf numFmtId="188" fontId="18" fillId="67" borderId="2" xfId="0" applyNumberFormat="1" applyFont="1" applyFill="1" applyBorder="1" applyAlignment="1" applyProtection="1">
      <alignment horizontal="center" vertical="center"/>
      <protection locked="0"/>
    </xf>
    <xf numFmtId="4" fontId="18" fillId="0" borderId="2" xfId="121" applyNumberFormat="1" applyFont="1" applyBorder="1" applyAlignment="1" applyProtection="1">
      <alignment horizontal="right"/>
      <protection locked="0"/>
    </xf>
    <xf numFmtId="185" fontId="18" fillId="0" borderId="2" xfId="0" applyNumberFormat="1" applyFont="1" applyBorder="1" applyAlignment="1" applyProtection="1">
      <alignment vertical="center"/>
      <protection locked="0"/>
    </xf>
    <xf numFmtId="0" fontId="18" fillId="0" borderId="2" xfId="124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8" fontId="18" fillId="0" borderId="18" xfId="121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vertical="top" wrapText="1"/>
      <protection locked="0"/>
    </xf>
    <xf numFmtId="0" fontId="18" fillId="0" borderId="2" xfId="121" applyFont="1" applyBorder="1" applyAlignment="1" applyProtection="1">
      <alignment horizontal="left" vertical="center"/>
      <protection locked="0"/>
    </xf>
    <xf numFmtId="0" fontId="18" fillId="0" borderId="2" xfId="121" applyFont="1" applyBorder="1" applyAlignment="1" applyProtection="1">
      <alignment horizontal="left" vertical="center"/>
      <protection locked="0"/>
    </xf>
    <xf numFmtId="200" fontId="18" fillId="0" borderId="2" xfId="0" applyNumberFormat="1" applyFont="1" applyBorder="1" applyAlignment="1" applyProtection="1">
      <alignment horizontal="center" vertical="center" wrapText="1"/>
      <protection locked="0"/>
    </xf>
    <xf numFmtId="44" fontId="89" fillId="0" borderId="2" xfId="38" applyFont="1" applyAlignment="1" applyProtection="1">
      <alignment horizontal="center" vertical="center"/>
      <protection locked="0"/>
    </xf>
    <xf numFmtId="185" fontId="18" fillId="0" borderId="2" xfId="121" applyNumberFormat="1" applyFont="1" applyBorder="1" applyAlignment="1" applyProtection="1">
      <alignment horizontal="right"/>
      <protection locked="0"/>
    </xf>
    <xf numFmtId="0" fontId="18" fillId="0" borderId="2" xfId="124" applyFont="1" applyBorder="1" applyAlignment="1" applyProtection="1">
      <alignment horizontal="center" vertical="center"/>
      <protection locked="0"/>
    </xf>
    <xf numFmtId="0" fontId="18" fillId="0" borderId="57" xfId="124" applyFont="1" applyBorder="1" applyAlignment="1" applyProtection="1">
      <alignment horizontal="center" vertical="center"/>
      <protection locked="0"/>
    </xf>
    <xf numFmtId="0" fontId="18" fillId="70" borderId="2" xfId="0" applyFont="1" applyFill="1" applyBorder="1" applyAlignment="1" applyProtection="1">
      <alignment horizontal="center" vertical="center"/>
      <protection locked="0"/>
    </xf>
    <xf numFmtId="0" fontId="18" fillId="70" borderId="2" xfId="121" applyFont="1" applyFill="1" applyBorder="1" applyAlignment="1" applyProtection="1">
      <alignment horizontal="left" vertical="center" wrapText="1"/>
      <protection locked="0"/>
    </xf>
    <xf numFmtId="0" fontId="18" fillId="70" borderId="2" xfId="121" applyFont="1" applyFill="1" applyBorder="1" applyAlignment="1" applyProtection="1">
      <alignment horizontal="center" vertical="center"/>
      <protection locked="0"/>
    </xf>
    <xf numFmtId="200" fontId="97" fillId="70" borderId="2" xfId="0" applyNumberFormat="1" applyFont="1" applyFill="1" applyBorder="1" applyAlignment="1" applyProtection="1">
      <alignment horizontal="center" vertical="center" wrapText="1"/>
      <protection locked="0"/>
    </xf>
    <xf numFmtId="172" fontId="99" fillId="70" borderId="2" xfId="0" applyNumberFormat="1" applyFont="1" applyFill="1" applyBorder="1" applyAlignment="1" applyProtection="1">
      <alignment horizontal="center" vertical="center"/>
      <protection locked="0"/>
    </xf>
    <xf numFmtId="193" fontId="46" fillId="70" borderId="2" xfId="0" applyNumberFormat="1" applyFont="1" applyFill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44" fontId="18" fillId="0" borderId="18" xfId="0" applyNumberFormat="1" applyFont="1" applyBorder="1" applyAlignment="1" applyProtection="1">
      <alignment horizontal="center" vertical="center" wrapText="1"/>
      <protection locked="0"/>
    </xf>
    <xf numFmtId="185" fontId="18" fillId="0" borderId="18" xfId="0" applyNumberFormat="1" applyFont="1" applyBorder="1" applyAlignment="1" applyProtection="1">
      <alignment vertical="center"/>
      <protection locked="0"/>
    </xf>
    <xf numFmtId="0" fontId="18" fillId="0" borderId="60" xfId="124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9" fillId="47" borderId="26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188" fontId="18" fillId="71" borderId="2" xfId="121" applyNumberFormat="1" applyFont="1" applyFill="1" applyBorder="1" applyAlignment="1" applyProtection="1">
      <alignment horizontal="center" vertical="center"/>
      <protection locked="0"/>
    </xf>
    <xf numFmtId="0" fontId="19" fillId="71" borderId="0" xfId="0" applyFont="1" applyFill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4" fontId="18" fillId="0" borderId="32" xfId="0" applyNumberFormat="1" applyFont="1" applyFill="1" applyBorder="1" applyAlignment="1" applyProtection="1">
      <alignment horizontal="center" vertical="center"/>
      <protection locked="0"/>
    </xf>
    <xf numFmtId="44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85" fontId="18" fillId="0" borderId="32" xfId="0" applyNumberFormat="1" applyFont="1" applyFill="1" applyBorder="1" applyAlignment="1" applyProtection="1">
      <alignment vertical="center"/>
      <protection locked="0"/>
    </xf>
    <xf numFmtId="0" fontId="18" fillId="0" borderId="66" xfId="124" applyFont="1" applyFill="1" applyBorder="1" applyAlignment="1" applyProtection="1">
      <alignment horizontal="center" vertical="center"/>
      <protection locked="0"/>
    </xf>
    <xf numFmtId="0" fontId="29" fillId="71" borderId="0" xfId="0" applyFont="1" applyFill="1" applyAlignment="1" applyProtection="1">
      <alignment/>
      <protection locked="0"/>
    </xf>
    <xf numFmtId="0" fontId="18" fillId="0" borderId="18" xfId="121" applyFont="1" applyBorder="1" applyAlignment="1" applyProtection="1">
      <alignment horizontal="left" vertical="center"/>
      <protection locked="0"/>
    </xf>
    <xf numFmtId="0" fontId="18" fillId="0" borderId="18" xfId="121" applyFont="1" applyBorder="1" applyAlignment="1" applyProtection="1">
      <alignment horizontal="center" vertical="center"/>
      <protection locked="0"/>
    </xf>
    <xf numFmtId="185" fontId="18" fillId="0" borderId="18" xfId="121" applyNumberFormat="1" applyFont="1" applyBorder="1" applyAlignment="1" applyProtection="1">
      <alignment horizontal="right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2" fontId="18" fillId="0" borderId="21" xfId="0" applyNumberFormat="1" applyFont="1" applyFill="1" applyBorder="1" applyAlignment="1" applyProtection="1">
      <alignment horizontal="center" vertical="center"/>
      <protection locked="0"/>
    </xf>
    <xf numFmtId="177" fontId="18" fillId="0" borderId="21" xfId="0" applyNumberFormat="1" applyFont="1" applyFill="1" applyBorder="1" applyAlignment="1" applyProtection="1">
      <alignment horizontal="center" vertical="center"/>
      <protection locked="0"/>
    </xf>
    <xf numFmtId="44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64" xfId="12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44" fontId="91" fillId="0" borderId="2" xfId="121" applyNumberFormat="1" applyFont="1" applyBorder="1" applyAlignment="1" applyProtection="1">
      <alignment horizontal="center" vertical="center"/>
      <protection locked="0"/>
    </xf>
    <xf numFmtId="192" fontId="91" fillId="0" borderId="0" xfId="0" applyNumberFormat="1" applyFont="1" applyFill="1" applyBorder="1" applyAlignment="1" applyProtection="1">
      <alignment horizontal="center" vertical="center"/>
      <protection locked="0"/>
    </xf>
    <xf numFmtId="193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wrapText="1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87" fillId="0" borderId="0" xfId="0" applyFont="1" applyAlignment="1" applyProtection="1">
      <alignment horizontal="left"/>
      <protection locked="0"/>
    </xf>
    <xf numFmtId="0" fontId="18" fillId="0" borderId="64" xfId="12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192" fontId="18" fillId="39" borderId="2" xfId="0" applyNumberFormat="1" applyFont="1" applyFill="1" applyBorder="1" applyAlignment="1" applyProtection="1">
      <alignment horizontal="center" vertical="center" wrapText="1"/>
      <protection locked="0"/>
    </xf>
    <xf numFmtId="193" fontId="18" fillId="39" borderId="2" xfId="0" applyNumberFormat="1" applyFont="1" applyFill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188" fontId="18" fillId="0" borderId="33" xfId="124" applyNumberFormat="1" applyFont="1" applyFill="1" applyBorder="1" applyAlignment="1" applyProtection="1">
      <alignment horizontal="center" vertical="center"/>
      <protection locked="0"/>
    </xf>
    <xf numFmtId="0" fontId="18" fillId="0" borderId="33" xfId="124" applyFont="1" applyFill="1" applyBorder="1" applyAlignment="1" applyProtection="1">
      <alignment horizontal="left" vertical="center"/>
      <protection locked="0"/>
    </xf>
    <xf numFmtId="0" fontId="18" fillId="0" borderId="33" xfId="124" applyFont="1" applyFill="1" applyBorder="1" applyAlignment="1" applyProtection="1">
      <alignment horizontal="center" vertical="center" wrapText="1"/>
      <protection locked="0"/>
    </xf>
    <xf numFmtId="4" fontId="18" fillId="46" borderId="33" xfId="124" applyNumberFormat="1" applyFont="1" applyFill="1" applyBorder="1" applyAlignment="1" applyProtection="1">
      <alignment horizontal="center" vertical="center"/>
      <protection locked="0"/>
    </xf>
    <xf numFmtId="0" fontId="19" fillId="0" borderId="33" xfId="124" applyFont="1" applyFill="1" applyBorder="1" applyAlignment="1" applyProtection="1">
      <alignment horizontal="center" vertical="center"/>
      <protection locked="0"/>
    </xf>
    <xf numFmtId="0" fontId="18" fillId="44" borderId="46" xfId="0" applyFont="1" applyFill="1" applyBorder="1" applyAlignment="1" applyProtection="1">
      <alignment horizontal="center" vertical="center"/>
      <protection locked="0"/>
    </xf>
    <xf numFmtId="0" fontId="18" fillId="44" borderId="27" xfId="0" applyFont="1" applyFill="1" applyBorder="1" applyAlignment="1" applyProtection="1">
      <alignment horizontal="center" vertical="center"/>
      <protection locked="0"/>
    </xf>
    <xf numFmtId="0" fontId="19" fillId="44" borderId="27" xfId="0" applyFont="1" applyFill="1" applyBorder="1" applyAlignment="1" applyProtection="1">
      <alignment vertical="center"/>
      <protection locked="0"/>
    </xf>
    <xf numFmtId="0" fontId="18" fillId="44" borderId="27" xfId="124" applyFont="1" applyFill="1" applyBorder="1" applyAlignment="1" applyProtection="1">
      <alignment horizontal="center" vertical="center"/>
      <protection locked="0"/>
    </xf>
    <xf numFmtId="4" fontId="19" fillId="46" borderId="4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0" xfId="124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vertical="center"/>
      <protection locked="0"/>
    </xf>
    <xf numFmtId="0" fontId="19" fillId="46" borderId="26" xfId="0" applyFont="1" applyFill="1" applyBorder="1" applyAlignment="1" applyProtection="1">
      <alignment vertical="center" wrapText="1"/>
      <protection locked="0"/>
    </xf>
    <xf numFmtId="0" fontId="19" fillId="45" borderId="2" xfId="0" applyFont="1" applyFill="1" applyBorder="1" applyAlignment="1" applyProtection="1">
      <alignment vertical="center"/>
      <protection locked="0"/>
    </xf>
    <xf numFmtId="0" fontId="19" fillId="45" borderId="2" xfId="0" applyFont="1" applyFill="1" applyBorder="1" applyAlignment="1" applyProtection="1">
      <alignment horizontal="center" vertical="center"/>
      <protection locked="0"/>
    </xf>
    <xf numFmtId="4" fontId="19" fillId="45" borderId="2" xfId="0" applyNumberFormat="1" applyFont="1" applyFill="1" applyBorder="1" applyAlignment="1" applyProtection="1">
      <alignment vertical="center"/>
      <protection locked="0"/>
    </xf>
    <xf numFmtId="4" fontId="19" fillId="45" borderId="5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121" applyFont="1" applyBorder="1" applyAlignment="1" applyProtection="1">
      <alignment horizontal="center" vertical="center"/>
      <protection locked="0"/>
    </xf>
    <xf numFmtId="0" fontId="31" fillId="0" borderId="0" xfId="12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" fontId="31" fillId="0" borderId="0" xfId="121" applyNumberFormat="1" applyFont="1" applyBorder="1" applyAlignment="1" applyProtection="1">
      <alignment horizontal="center" vertical="center"/>
      <protection locked="0"/>
    </xf>
    <xf numFmtId="44" fontId="31" fillId="0" borderId="0" xfId="121" applyNumberFormat="1" applyFont="1" applyBorder="1" applyAlignment="1" applyProtection="1">
      <alignment horizontal="center" vertical="center"/>
      <protection locked="0"/>
    </xf>
    <xf numFmtId="4" fontId="31" fillId="0" borderId="0" xfId="121" applyNumberFormat="1" applyFont="1" applyBorder="1" applyAlignment="1" applyProtection="1">
      <alignment horizontal="right" vertical="center"/>
      <protection locked="0"/>
    </xf>
    <xf numFmtId="185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124" applyFont="1" applyFill="1" applyBorder="1" applyAlignment="1" applyProtection="1">
      <alignment horizontal="center" vertical="center"/>
      <protection locked="0"/>
    </xf>
    <xf numFmtId="0" fontId="31" fillId="0" borderId="38" xfId="124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219" fontId="19" fillId="0" borderId="0" xfId="0" applyNumberFormat="1" applyFont="1" applyBorder="1" applyAlignment="1" applyProtection="1">
      <alignment horizontal="center"/>
      <protection locked="0"/>
    </xf>
    <xf numFmtId="0" fontId="18" fillId="72" borderId="54" xfId="0" applyFont="1" applyFill="1" applyBorder="1" applyAlignment="1" applyProtection="1">
      <alignment horizontal="center" vertical="center"/>
      <protection locked="0"/>
    </xf>
    <xf numFmtId="0" fontId="18" fillId="72" borderId="26" xfId="121" applyFont="1" applyFill="1" applyBorder="1" applyAlignment="1" applyProtection="1">
      <alignment horizontal="center" vertical="center"/>
      <protection locked="0"/>
    </xf>
    <xf numFmtId="0" fontId="19" fillId="72" borderId="26" xfId="121" applyFont="1" applyFill="1" applyBorder="1" applyAlignment="1" applyProtection="1">
      <alignment vertical="center"/>
      <protection locked="0"/>
    </xf>
    <xf numFmtId="176" fontId="19" fillId="72" borderId="26" xfId="90" applyNumberFormat="1" applyFont="1" applyFill="1" applyBorder="1" applyAlignment="1" applyProtection="1">
      <alignment horizontal="center" vertical="center"/>
      <protection locked="0"/>
    </xf>
    <xf numFmtId="2" fontId="18" fillId="72" borderId="26" xfId="121" applyNumberFormat="1" applyFont="1" applyFill="1" applyBorder="1" applyAlignment="1" applyProtection="1">
      <alignment horizontal="center" vertical="center"/>
      <protection locked="0"/>
    </xf>
    <xf numFmtId="174" fontId="20" fillId="72" borderId="55" xfId="121" applyNumberFormat="1" applyFont="1" applyFill="1" applyBorder="1" applyAlignment="1" applyProtection="1">
      <alignment vertical="center"/>
      <protection locked="0"/>
    </xf>
    <xf numFmtId="0" fontId="18" fillId="72" borderId="56" xfId="0" applyFont="1" applyFill="1" applyBorder="1" applyAlignment="1" applyProtection="1">
      <alignment horizontal="center" vertical="center"/>
      <protection locked="0"/>
    </xf>
    <xf numFmtId="0" fontId="18" fillId="72" borderId="2" xfId="121" applyFont="1" applyFill="1" applyBorder="1" applyAlignment="1" applyProtection="1">
      <alignment horizontal="center" vertical="center"/>
      <protection locked="0"/>
    </xf>
    <xf numFmtId="0" fontId="19" fillId="72" borderId="2" xfId="121" applyFont="1" applyFill="1" applyBorder="1" applyAlignment="1" applyProtection="1">
      <alignment vertical="center"/>
      <protection locked="0"/>
    </xf>
    <xf numFmtId="176" fontId="19" fillId="72" borderId="2" xfId="90" applyNumberFormat="1" applyFont="1" applyFill="1" applyBorder="1" applyAlignment="1" applyProtection="1">
      <alignment horizontal="center" vertical="center"/>
      <protection locked="0"/>
    </xf>
    <xf numFmtId="2" fontId="18" fillId="72" borderId="2" xfId="121" applyNumberFormat="1" applyFont="1" applyFill="1" applyBorder="1" applyAlignment="1" applyProtection="1">
      <alignment horizontal="center" vertical="center"/>
      <protection locked="0"/>
    </xf>
    <xf numFmtId="174" fontId="20" fillId="72" borderId="57" xfId="121" applyNumberFormat="1" applyFont="1" applyFill="1" applyBorder="1" applyAlignment="1" applyProtection="1">
      <alignment vertical="center"/>
      <protection locked="0"/>
    </xf>
    <xf numFmtId="0" fontId="18" fillId="72" borderId="50" xfId="0" applyFont="1" applyFill="1" applyBorder="1" applyAlignment="1" applyProtection="1">
      <alignment horizontal="center" vertical="center"/>
      <protection locked="0"/>
    </xf>
    <xf numFmtId="0" fontId="19" fillId="72" borderId="21" xfId="121" applyFont="1" applyFill="1" applyBorder="1" applyAlignment="1" applyProtection="1">
      <alignment horizontal="center" vertical="center"/>
      <protection locked="0"/>
    </xf>
    <xf numFmtId="0" fontId="19" fillId="72" borderId="21" xfId="121" applyFont="1" applyFill="1" applyBorder="1" applyAlignment="1" applyProtection="1">
      <alignment vertical="center"/>
      <protection locked="0"/>
    </xf>
    <xf numFmtId="176" fontId="19" fillId="72" borderId="21" xfId="90" applyNumberFormat="1" applyFont="1" applyFill="1" applyBorder="1" applyAlignment="1" applyProtection="1">
      <alignment horizontal="center" vertical="center"/>
      <protection locked="0"/>
    </xf>
    <xf numFmtId="174" fontId="19" fillId="72" borderId="51" xfId="121" applyNumberFormat="1" applyFont="1" applyFill="1" applyBorder="1" applyAlignment="1" applyProtection="1">
      <alignment vertical="center"/>
      <protection locked="0"/>
    </xf>
    <xf numFmtId="0" fontId="19" fillId="0" borderId="20" xfId="121" applyFont="1" applyBorder="1" applyAlignment="1" applyProtection="1">
      <alignment horizontal="center" vertical="center"/>
      <protection locked="0"/>
    </xf>
    <xf numFmtId="0" fontId="19" fillId="0" borderId="20" xfId="121" applyFont="1" applyBorder="1" applyAlignment="1" applyProtection="1">
      <alignment horizontal="center" vertical="center"/>
      <protection locked="0"/>
    </xf>
    <xf numFmtId="0" fontId="19" fillId="0" borderId="20" xfId="121" applyFont="1" applyBorder="1" applyAlignment="1" applyProtection="1">
      <alignment vertical="center"/>
      <protection locked="0"/>
    </xf>
    <xf numFmtId="0" fontId="19" fillId="0" borderId="0" xfId="121" applyFont="1" applyBorder="1" applyAlignment="1" applyProtection="1">
      <alignment horizontal="center" vertical="center"/>
      <protection locked="0"/>
    </xf>
    <xf numFmtId="4" fontId="19" fillId="0" borderId="0" xfId="121" applyNumberFormat="1" applyFont="1" applyBorder="1" applyAlignment="1" applyProtection="1">
      <alignment horizontal="center" vertical="center"/>
      <protection locked="0"/>
    </xf>
    <xf numFmtId="44" fontId="19" fillId="0" borderId="0" xfId="121" applyNumberFormat="1" applyFont="1" applyBorder="1" applyAlignment="1" applyProtection="1">
      <alignment horizontal="center" vertical="center"/>
      <protection locked="0"/>
    </xf>
    <xf numFmtId="179" fontId="19" fillId="0" borderId="0" xfId="121" applyNumberFormat="1" applyFont="1" applyBorder="1" applyAlignment="1" applyProtection="1">
      <alignment horizontal="right" vertical="center"/>
      <protection locked="0"/>
    </xf>
    <xf numFmtId="176" fontId="19" fillId="0" borderId="0" xfId="90" applyNumberFormat="1" applyFont="1" applyBorder="1" applyAlignment="1" applyProtection="1">
      <alignment horizontal="center" vertical="center"/>
      <protection locked="0"/>
    </xf>
    <xf numFmtId="174" fontId="19" fillId="0" borderId="0" xfId="121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29" fillId="0" borderId="0" xfId="121" applyFont="1" applyBorder="1" applyAlignment="1" applyProtection="1">
      <alignment horizontal="center" vertical="center"/>
      <protection locked="0"/>
    </xf>
    <xf numFmtId="0" fontId="30" fillId="0" borderId="0" xfId="121" applyFont="1" applyBorder="1" applyAlignment="1" applyProtection="1">
      <alignment horizontal="left" vertical="center"/>
      <protection locked="0"/>
    </xf>
    <xf numFmtId="0" fontId="35" fillId="0" borderId="0" xfId="121" applyFont="1" applyAlignment="1" applyProtection="1">
      <alignment horizontal="center" vertical="center"/>
      <protection locked="0"/>
    </xf>
    <xf numFmtId="4" fontId="35" fillId="0" borderId="0" xfId="121" applyNumberFormat="1" applyFont="1" applyAlignment="1" applyProtection="1">
      <alignment horizontal="center" vertical="center"/>
      <protection locked="0"/>
    </xf>
    <xf numFmtId="44" fontId="35" fillId="0" borderId="0" xfId="121" applyNumberFormat="1" applyFont="1" applyAlignment="1" applyProtection="1">
      <alignment horizontal="center" vertical="center"/>
      <protection locked="0"/>
    </xf>
    <xf numFmtId="0" fontId="35" fillId="0" borderId="0" xfId="121" applyFont="1" applyAlignment="1" applyProtection="1">
      <alignment vertical="center"/>
      <protection locked="0"/>
    </xf>
    <xf numFmtId="0" fontId="36" fillId="0" borderId="0" xfId="12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4" fontId="0" fillId="0" borderId="0" xfId="0" applyNumberFormat="1" applyFont="1" applyAlignment="1" applyProtection="1">
      <alignment horizontal="center" vertical="center"/>
      <protection locked="0"/>
    </xf>
    <xf numFmtId="44" fontId="20" fillId="0" borderId="19" xfId="121" applyNumberFormat="1" applyFont="1" applyBorder="1" applyAlignment="1" applyProtection="1">
      <alignment horizontal="center" vertical="center"/>
      <protection locked="0"/>
    </xf>
    <xf numFmtId="44" fontId="18" fillId="0" borderId="18" xfId="38" applyFont="1" applyBorder="1" applyAlignment="1" applyProtection="1">
      <alignment horizontal="center" vertical="center"/>
      <protection locked="0"/>
    </xf>
    <xf numFmtId="44" fontId="102" fillId="0" borderId="67" xfId="121" applyNumberFormat="1" applyFont="1" applyBorder="1" applyAlignment="1" applyProtection="1">
      <alignment horizontal="center" vertical="center"/>
      <protection locked="0"/>
    </xf>
    <xf numFmtId="44" fontId="18" fillId="0" borderId="2" xfId="121" applyNumberFormat="1" applyFont="1" applyBorder="1" applyAlignment="1" applyProtection="1">
      <alignment horizontal="center" vertical="center"/>
      <protection locked="0"/>
    </xf>
    <xf numFmtId="44" fontId="102" fillId="0" borderId="68" xfId="38" applyFont="1" applyBorder="1" applyAlignment="1" applyProtection="1">
      <alignment horizontal="center" vertical="center"/>
      <protection locked="0"/>
    </xf>
    <xf numFmtId="44" fontId="91" fillId="0" borderId="2" xfId="0" applyNumberFormat="1" applyFont="1" applyBorder="1" applyAlignment="1" applyProtection="1">
      <alignment horizontal="center" vertical="center"/>
      <protection locked="0"/>
    </xf>
    <xf numFmtId="44" fontId="102" fillId="0" borderId="67" xfId="0" applyNumberFormat="1" applyFont="1" applyBorder="1" applyAlignment="1" applyProtection="1">
      <alignment horizontal="right" vertical="center"/>
      <protection locked="0"/>
    </xf>
    <xf numFmtId="44" fontId="91" fillId="0" borderId="2" xfId="0" applyNumberFormat="1" applyFont="1" applyBorder="1" applyAlignment="1" applyProtection="1">
      <alignment horizontal="center" vertical="center" wrapText="1"/>
      <protection locked="0"/>
    </xf>
    <xf numFmtId="44" fontId="19" fillId="0" borderId="2" xfId="0" applyNumberFormat="1" applyFont="1" applyBorder="1" applyAlignment="1" applyProtection="1">
      <alignment horizontal="center" vertical="center"/>
      <protection locked="0"/>
    </xf>
    <xf numFmtId="44" fontId="19" fillId="0" borderId="18" xfId="0" applyNumberFormat="1" applyFont="1" applyBorder="1" applyAlignment="1" applyProtection="1">
      <alignment horizontal="center" vertical="center"/>
      <protection locked="0"/>
    </xf>
    <xf numFmtId="44" fontId="102" fillId="0" borderId="69" xfId="38" applyFont="1" applyBorder="1" applyAlignment="1" applyProtection="1">
      <alignment horizontal="center" vertical="center"/>
      <protection locked="0"/>
    </xf>
    <xf numFmtId="44" fontId="19" fillId="0" borderId="2" xfId="38" applyFont="1" applyAlignment="1" applyProtection="1">
      <alignment horizontal="center" vertical="center"/>
      <protection locked="0"/>
    </xf>
    <xf numFmtId="0" fontId="18" fillId="44" borderId="70" xfId="0" applyFont="1" applyFill="1" applyBorder="1" applyAlignment="1">
      <alignment horizontal="center" vertical="center"/>
    </xf>
    <xf numFmtId="0" fontId="18" fillId="44" borderId="71" xfId="0" applyFont="1" applyFill="1" applyBorder="1" applyAlignment="1">
      <alignment horizontal="center" vertical="center"/>
    </xf>
    <xf numFmtId="0" fontId="18" fillId="44" borderId="72" xfId="0" applyFont="1" applyFill="1" applyBorder="1" applyAlignment="1">
      <alignment horizontal="center" vertical="center"/>
    </xf>
    <xf numFmtId="0" fontId="18" fillId="44" borderId="42" xfId="0" applyFont="1" applyFill="1" applyBorder="1" applyAlignment="1">
      <alignment horizontal="center" vertical="center"/>
    </xf>
    <xf numFmtId="44" fontId="19" fillId="44" borderId="2" xfId="0" applyNumberFormat="1" applyFont="1" applyFill="1" applyBorder="1" applyAlignment="1">
      <alignment horizontal="right" vertical="center"/>
    </xf>
    <xf numFmtId="203" fontId="19" fillId="44" borderId="25" xfId="0" applyNumberFormat="1" applyFont="1" applyFill="1" applyBorder="1" applyAlignment="1">
      <alignment horizontal="center" vertical="center"/>
    </xf>
    <xf numFmtId="203" fontId="19" fillId="44" borderId="37" xfId="0" applyNumberFormat="1" applyFont="1" applyFill="1" applyBorder="1" applyAlignment="1">
      <alignment horizontal="center" vertical="center"/>
    </xf>
    <xf numFmtId="203" fontId="19" fillId="44" borderId="72" xfId="0" applyNumberFormat="1" applyFont="1" applyFill="1" applyBorder="1" applyAlignment="1">
      <alignment horizontal="center" vertical="center"/>
    </xf>
    <xf numFmtId="203" fontId="19" fillId="44" borderId="44" xfId="0" applyNumberFormat="1" applyFont="1" applyFill="1" applyBorder="1" applyAlignment="1">
      <alignment horizontal="center" vertical="center"/>
    </xf>
    <xf numFmtId="44" fontId="19" fillId="44" borderId="73" xfId="0" applyNumberFormat="1" applyFont="1" applyFill="1" applyBorder="1" applyAlignment="1">
      <alignment horizontal="right" vertical="center"/>
    </xf>
    <xf numFmtId="44" fontId="19" fillId="44" borderId="74" xfId="0" applyNumberFormat="1" applyFont="1" applyFill="1" applyBorder="1" applyAlignment="1">
      <alignment horizontal="right" vertical="center"/>
    </xf>
    <xf numFmtId="44" fontId="19" fillId="44" borderId="75" xfId="0" applyNumberFormat="1" applyFont="1" applyFill="1" applyBorder="1" applyAlignment="1">
      <alignment horizontal="right" vertical="center"/>
    </xf>
    <xf numFmtId="0" fontId="19" fillId="0" borderId="76" xfId="124" applyFont="1" applyFill="1" applyBorder="1" applyAlignment="1">
      <alignment horizontal="center" vertical="center" wrapText="1"/>
      <protection/>
    </xf>
    <xf numFmtId="0" fontId="19" fillId="0" borderId="29" xfId="124" applyFont="1" applyFill="1" applyBorder="1" applyAlignment="1">
      <alignment horizontal="center" vertical="center" wrapText="1"/>
      <protection/>
    </xf>
    <xf numFmtId="0" fontId="18" fillId="45" borderId="70" xfId="0" applyFont="1" applyFill="1" applyBorder="1" applyAlignment="1">
      <alignment horizontal="center" vertical="center"/>
    </xf>
    <xf numFmtId="0" fontId="18" fillId="45" borderId="71" xfId="0" applyFont="1" applyFill="1" applyBorder="1" applyAlignment="1">
      <alignment horizontal="center" vertical="center"/>
    </xf>
    <xf numFmtId="0" fontId="18" fillId="45" borderId="72" xfId="0" applyFont="1" applyFill="1" applyBorder="1" applyAlignment="1">
      <alignment horizontal="center" vertical="center"/>
    </xf>
    <xf numFmtId="0" fontId="18" fillId="45" borderId="42" xfId="0" applyFont="1" applyFill="1" applyBorder="1" applyAlignment="1">
      <alignment horizontal="center" vertical="center"/>
    </xf>
    <xf numFmtId="44" fontId="19" fillId="45" borderId="2" xfId="0" applyNumberFormat="1" applyFont="1" applyFill="1" applyBorder="1" applyAlignment="1">
      <alignment horizontal="right" vertical="center"/>
    </xf>
    <xf numFmtId="44" fontId="19" fillId="45" borderId="63" xfId="0" applyNumberFormat="1" applyFont="1" applyFill="1" applyBorder="1" applyAlignment="1">
      <alignment horizontal="right" vertical="center"/>
    </xf>
    <xf numFmtId="203" fontId="19" fillId="45" borderId="25" xfId="0" applyNumberFormat="1" applyFont="1" applyFill="1" applyBorder="1" applyAlignment="1">
      <alignment horizontal="center" vertical="center"/>
    </xf>
    <xf numFmtId="203" fontId="19" fillId="45" borderId="37" xfId="0" applyNumberFormat="1" applyFont="1" applyFill="1" applyBorder="1" applyAlignment="1">
      <alignment horizontal="center" vertical="center"/>
    </xf>
    <xf numFmtId="203" fontId="19" fillId="45" borderId="72" xfId="0" applyNumberFormat="1" applyFont="1" applyFill="1" applyBorder="1" applyAlignment="1">
      <alignment horizontal="center" vertical="center"/>
    </xf>
    <xf numFmtId="203" fontId="19" fillId="45" borderId="44" xfId="0" applyNumberFormat="1" applyFont="1" applyFill="1" applyBorder="1" applyAlignment="1">
      <alignment horizontal="center" vertical="center"/>
    </xf>
    <xf numFmtId="44" fontId="19" fillId="45" borderId="73" xfId="0" applyNumberFormat="1" applyFont="1" applyFill="1" applyBorder="1" applyAlignment="1">
      <alignment horizontal="right" vertical="center"/>
    </xf>
    <xf numFmtId="44" fontId="19" fillId="45" borderId="74" xfId="0" applyNumberFormat="1" applyFont="1" applyFill="1" applyBorder="1" applyAlignment="1">
      <alignment horizontal="right" vertical="center"/>
    </xf>
    <xf numFmtId="0" fontId="29" fillId="44" borderId="76" xfId="0" applyFont="1" applyFill="1" applyBorder="1" applyAlignment="1">
      <alignment horizontal="left" vertical="center"/>
    </xf>
    <xf numFmtId="0" fontId="29" fillId="44" borderId="35" xfId="0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left" vertical="center" wrapText="1"/>
    </xf>
    <xf numFmtId="2" fontId="41" fillId="0" borderId="0" xfId="0" applyNumberFormat="1" applyFont="1" applyFill="1" applyBorder="1" applyAlignment="1">
      <alignment horizontal="left" vertical="center" wrapText="1"/>
    </xf>
    <xf numFmtId="44" fontId="19" fillId="44" borderId="63" xfId="0" applyNumberFormat="1" applyFont="1" applyFill="1" applyBorder="1" applyAlignment="1">
      <alignment horizontal="right" vertical="center"/>
    </xf>
    <xf numFmtId="44" fontId="19" fillId="44" borderId="62" xfId="0" applyNumberFormat="1" applyFont="1" applyFill="1" applyBorder="1" applyAlignment="1">
      <alignment horizontal="right" vertical="center"/>
    </xf>
    <xf numFmtId="44" fontId="19" fillId="44" borderId="64" xfId="0" applyNumberFormat="1" applyFont="1" applyFill="1" applyBorder="1" applyAlignment="1">
      <alignment horizontal="right" vertical="center"/>
    </xf>
    <xf numFmtId="0" fontId="19" fillId="44" borderId="18" xfId="0" applyFont="1" applyFill="1" applyBorder="1" applyAlignment="1">
      <alignment horizontal="left" vertical="center"/>
    </xf>
    <xf numFmtId="0" fontId="19" fillId="44" borderId="34" xfId="0" applyFont="1" applyFill="1" applyBorder="1" applyAlignment="1">
      <alignment horizontal="left" vertical="center"/>
    </xf>
    <xf numFmtId="44" fontId="19" fillId="44" borderId="77" xfId="0" applyNumberFormat="1" applyFont="1" applyFill="1" applyBorder="1" applyAlignment="1">
      <alignment horizontal="center" vertical="center"/>
    </xf>
    <xf numFmtId="44" fontId="19" fillId="44" borderId="78" xfId="0" applyNumberFormat="1" applyFont="1" applyFill="1" applyBorder="1" applyAlignment="1">
      <alignment horizontal="center" vertical="center"/>
    </xf>
    <xf numFmtId="44" fontId="19" fillId="44" borderId="79" xfId="0" applyNumberFormat="1" applyFont="1" applyFill="1" applyBorder="1" applyAlignment="1">
      <alignment horizontal="center" vertical="center"/>
    </xf>
    <xf numFmtId="44" fontId="19" fillId="44" borderId="43" xfId="0" applyNumberFormat="1" applyFont="1" applyFill="1" applyBorder="1" applyAlignment="1">
      <alignment horizontal="center" vertical="center"/>
    </xf>
    <xf numFmtId="44" fontId="19" fillId="44" borderId="20" xfId="0" applyNumberFormat="1" applyFont="1" applyFill="1" applyBorder="1" applyAlignment="1">
      <alignment horizontal="center" vertical="center"/>
    </xf>
    <xf numFmtId="44" fontId="19" fillId="44" borderId="44" xfId="0" applyNumberFormat="1" applyFont="1" applyFill="1" applyBorder="1" applyAlignment="1">
      <alignment horizontal="center" vertical="center"/>
    </xf>
    <xf numFmtId="0" fontId="19" fillId="0" borderId="46" xfId="124" applyFont="1" applyFill="1" applyBorder="1" applyAlignment="1">
      <alignment horizontal="center" vertical="center" wrapText="1"/>
      <protection/>
    </xf>
    <xf numFmtId="0" fontId="19" fillId="0" borderId="47" xfId="124" applyFont="1" applyFill="1" applyBorder="1" applyAlignment="1">
      <alignment horizontal="center" vertical="center" wrapText="1"/>
      <protection/>
    </xf>
    <xf numFmtId="0" fontId="18" fillId="45" borderId="56" xfId="0" applyFont="1" applyFill="1" applyBorder="1" applyAlignment="1">
      <alignment horizontal="center" vertical="center"/>
    </xf>
    <xf numFmtId="0" fontId="18" fillId="45" borderId="2" xfId="0" applyFont="1" applyFill="1" applyBorder="1" applyAlignment="1">
      <alignment horizontal="center" vertical="center"/>
    </xf>
    <xf numFmtId="0" fontId="18" fillId="45" borderId="50" xfId="0" applyFont="1" applyFill="1" applyBorder="1" applyAlignment="1">
      <alignment horizontal="center" vertical="center"/>
    </xf>
    <xf numFmtId="0" fontId="18" fillId="45" borderId="21" xfId="0" applyFont="1" applyFill="1" applyBorder="1" applyAlignment="1">
      <alignment horizontal="center" vertical="center"/>
    </xf>
    <xf numFmtId="44" fontId="19" fillId="45" borderId="2" xfId="0" applyNumberFormat="1" applyFont="1" applyFill="1" applyBorder="1" applyAlignment="1">
      <alignment horizontal="right" vertical="center"/>
    </xf>
    <xf numFmtId="44" fontId="19" fillId="45" borderId="63" xfId="0" applyNumberFormat="1" applyFont="1" applyFill="1" applyBorder="1" applyAlignment="1">
      <alignment horizontal="right" vertical="center"/>
    </xf>
    <xf numFmtId="203" fontId="19" fillId="45" borderId="58" xfId="0" applyNumberFormat="1" applyFont="1" applyFill="1" applyBorder="1" applyAlignment="1">
      <alignment horizontal="center" vertical="center"/>
    </xf>
    <xf numFmtId="203" fontId="19" fillId="45" borderId="45" xfId="0" applyNumberFormat="1" applyFont="1" applyFill="1" applyBorder="1" applyAlignment="1">
      <alignment horizontal="center" vertical="center"/>
    </xf>
    <xf numFmtId="44" fontId="19" fillId="45" borderId="21" xfId="0" applyNumberFormat="1" applyFont="1" applyFill="1" applyBorder="1" applyAlignment="1">
      <alignment horizontal="right" vertical="center"/>
    </xf>
    <xf numFmtId="44" fontId="19" fillId="45" borderId="73" xfId="0" applyNumberFormat="1" applyFont="1" applyFill="1" applyBorder="1" applyAlignment="1">
      <alignment horizontal="right" vertical="center"/>
    </xf>
    <xf numFmtId="44" fontId="19" fillId="44" borderId="21" xfId="0" applyNumberFormat="1" applyFont="1" applyFill="1" applyBorder="1" applyAlignment="1">
      <alignment horizontal="right" vertical="center"/>
    </xf>
    <xf numFmtId="0" fontId="18" fillId="44" borderId="58" xfId="0" applyFont="1" applyFill="1" applyBorder="1" applyAlignment="1">
      <alignment horizontal="center" vertical="center"/>
    </xf>
    <xf numFmtId="0" fontId="18" fillId="44" borderId="38" xfId="0" applyFont="1" applyFill="1" applyBorder="1" applyAlignment="1">
      <alignment horizontal="center" vertical="center"/>
    </xf>
    <xf numFmtId="203" fontId="19" fillId="44" borderId="58" xfId="0" applyNumberFormat="1" applyFont="1" applyFill="1" applyBorder="1" applyAlignment="1">
      <alignment horizontal="center" vertical="center"/>
    </xf>
    <xf numFmtId="203" fontId="19" fillId="44" borderId="45" xfId="0" applyNumberFormat="1" applyFont="1" applyFill="1" applyBorder="1" applyAlignment="1">
      <alignment horizontal="center" vertical="center"/>
    </xf>
    <xf numFmtId="44" fontId="19" fillId="44" borderId="73" xfId="0" applyNumberFormat="1" applyFont="1" applyFill="1" applyBorder="1" applyAlignment="1">
      <alignment horizontal="right" vertical="center"/>
    </xf>
    <xf numFmtId="44" fontId="19" fillId="45" borderId="74" xfId="0" applyNumberFormat="1" applyFont="1" applyFill="1" applyBorder="1" applyAlignment="1">
      <alignment horizontal="right" vertical="center"/>
    </xf>
    <xf numFmtId="0" fontId="42" fillId="0" borderId="0" xfId="124" applyNumberFormat="1" applyFont="1" applyFill="1" applyAlignment="1">
      <alignment horizontal="left" vertical="center"/>
      <protection/>
    </xf>
    <xf numFmtId="2" fontId="41" fillId="0" borderId="20" xfId="0" applyNumberFormat="1" applyFont="1" applyFill="1" applyBorder="1" applyAlignment="1">
      <alignment horizontal="left" vertical="center" wrapText="1"/>
    </xf>
    <xf numFmtId="0" fontId="41" fillId="0" borderId="20" xfId="0" applyNumberFormat="1" applyFont="1" applyFill="1" applyBorder="1" applyAlignment="1">
      <alignment horizontal="left" vertical="center" wrapText="1"/>
    </xf>
    <xf numFmtId="0" fontId="47" fillId="70" borderId="0" xfId="0" applyFont="1" applyFill="1" applyAlignment="1" applyProtection="1">
      <alignment horizontal="center" vertical="center" textRotation="90"/>
      <protection locked="0"/>
    </xf>
    <xf numFmtId="0" fontId="103" fillId="0" borderId="0" xfId="0" applyFont="1" applyAlignment="1" applyProtection="1">
      <alignment horizontal="center" vertical="center"/>
      <protection locked="0"/>
    </xf>
    <xf numFmtId="0" fontId="45" fillId="71" borderId="0" xfId="0" applyFont="1" applyFill="1" applyAlignment="1" applyProtection="1">
      <alignment horizontal="center" vertical="center"/>
      <protection locked="0"/>
    </xf>
    <xf numFmtId="0" fontId="48" fillId="71" borderId="0" xfId="0" applyFont="1" applyFill="1" applyAlignment="1" applyProtection="1">
      <alignment horizontal="center" vertical="center"/>
      <protection locked="0"/>
    </xf>
    <xf numFmtId="4" fontId="19" fillId="44" borderId="2" xfId="0" applyNumberFormat="1" applyFont="1" applyFill="1" applyBorder="1" applyAlignment="1" applyProtection="1">
      <alignment vertical="center"/>
      <protection locked="0"/>
    </xf>
    <xf numFmtId="4" fontId="19" fillId="44" borderId="21" xfId="0" applyNumberFormat="1" applyFont="1" applyFill="1" applyBorder="1" applyAlignment="1" applyProtection="1">
      <alignment horizontal="right" vertical="center"/>
      <protection locked="0"/>
    </xf>
    <xf numFmtId="0" fontId="96" fillId="0" borderId="80" xfId="0" applyFont="1" applyBorder="1" applyAlignment="1" applyProtection="1">
      <alignment horizontal="center" vertical="center"/>
      <protection locked="0"/>
    </xf>
    <xf numFmtId="0" fontId="96" fillId="0" borderId="81" xfId="0" applyFont="1" applyBorder="1" applyAlignment="1" applyProtection="1">
      <alignment horizontal="center" vertical="center"/>
      <protection locked="0"/>
    </xf>
    <xf numFmtId="0" fontId="96" fillId="0" borderId="82" xfId="0" applyFont="1" applyBorder="1" applyAlignment="1" applyProtection="1">
      <alignment horizontal="center" vertical="center"/>
      <protection locked="0"/>
    </xf>
    <xf numFmtId="0" fontId="18" fillId="54" borderId="0" xfId="0" applyFont="1" applyFill="1" applyAlignment="1" applyProtection="1">
      <alignment horizontal="center" vertical="center" wrapText="1"/>
      <protection locked="0"/>
    </xf>
    <xf numFmtId="0" fontId="18" fillId="68" borderId="0" xfId="0" applyFont="1" applyFill="1" applyAlignment="1" applyProtection="1">
      <alignment horizontal="center" vertical="center"/>
      <protection locked="0"/>
    </xf>
    <xf numFmtId="0" fontId="18" fillId="69" borderId="0" xfId="0" applyFont="1" applyFill="1" applyAlignment="1" applyProtection="1">
      <alignment horizontal="center" vertical="center" wrapText="1"/>
      <protection locked="0"/>
    </xf>
    <xf numFmtId="0" fontId="18" fillId="69" borderId="0" xfId="0" applyFont="1" applyFill="1" applyAlignment="1" applyProtection="1">
      <alignment horizontal="center" vertical="center" wrapText="1"/>
      <protection locked="0"/>
    </xf>
    <xf numFmtId="4" fontId="19" fillId="44" borderId="2" xfId="0" applyNumberFormat="1" applyFont="1" applyFill="1" applyBorder="1" applyAlignment="1" applyProtection="1">
      <alignment horizontal="right" vertical="center"/>
      <protection locked="0"/>
    </xf>
    <xf numFmtId="0" fontId="18" fillId="67" borderId="0" xfId="0" applyFont="1" applyFill="1" applyAlignment="1" applyProtection="1">
      <alignment horizontal="center" vertical="center"/>
      <protection locked="0"/>
    </xf>
    <xf numFmtId="0" fontId="18" fillId="54" borderId="0" xfId="0" applyFont="1" applyFill="1" applyAlignment="1" applyProtection="1">
      <alignment horizontal="center" vertical="center"/>
      <protection locked="0"/>
    </xf>
    <xf numFmtId="0" fontId="18" fillId="68" borderId="0" xfId="0" applyFont="1" applyFill="1" applyAlignment="1" applyProtection="1">
      <alignment horizontal="center" vertical="center"/>
      <protection locked="0"/>
    </xf>
    <xf numFmtId="0" fontId="96" fillId="0" borderId="80" xfId="0" applyFont="1" applyBorder="1" applyAlignment="1" applyProtection="1">
      <alignment horizontal="center" vertical="center" wrapText="1"/>
      <protection locked="0"/>
    </xf>
    <xf numFmtId="0" fontId="18" fillId="0" borderId="81" xfId="0" applyFont="1" applyBorder="1" applyAlignment="1" applyProtection="1">
      <alignment horizontal="center" vertical="center" wrapText="1"/>
      <protection locked="0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96" fillId="0" borderId="81" xfId="0" applyFont="1" applyBorder="1" applyAlignment="1" applyProtection="1">
      <alignment horizontal="center" vertical="center" wrapText="1"/>
      <protection locked="0"/>
    </xf>
    <xf numFmtId="0" fontId="96" fillId="0" borderId="82" xfId="0" applyFont="1" applyBorder="1" applyAlignment="1" applyProtection="1">
      <alignment horizontal="center" vertical="center" wrapText="1"/>
      <protection locked="0"/>
    </xf>
    <xf numFmtId="4" fontId="19" fillId="45" borderId="2" xfId="0" applyNumberFormat="1" applyFont="1" applyFill="1" applyBorder="1" applyAlignment="1" applyProtection="1">
      <alignment vertical="center"/>
      <protection locked="0"/>
    </xf>
    <xf numFmtId="179" fontId="19" fillId="72" borderId="73" xfId="121" applyNumberFormat="1" applyFont="1" applyFill="1" applyBorder="1" applyAlignment="1" applyProtection="1">
      <alignment horizontal="right" vertical="center"/>
      <protection locked="0"/>
    </xf>
    <xf numFmtId="179" fontId="19" fillId="72" borderId="74" xfId="121" applyNumberFormat="1" applyFont="1" applyFill="1" applyBorder="1" applyAlignment="1" applyProtection="1">
      <alignment horizontal="right" vertical="center"/>
      <protection locked="0"/>
    </xf>
    <xf numFmtId="179" fontId="19" fillId="72" borderId="75" xfId="121" applyNumberFormat="1" applyFont="1" applyFill="1" applyBorder="1" applyAlignment="1" applyProtection="1">
      <alignment horizontal="right" vertical="center"/>
      <protection locked="0"/>
    </xf>
    <xf numFmtId="4" fontId="19" fillId="44" borderId="27" xfId="0" applyNumberFormat="1" applyFont="1" applyFill="1" applyBorder="1" applyAlignment="1" applyProtection="1">
      <alignment vertical="center"/>
      <protection locked="0"/>
    </xf>
    <xf numFmtId="4" fontId="19" fillId="45" borderId="21" xfId="0" applyNumberFormat="1" applyFont="1" applyFill="1" applyBorder="1" applyAlignment="1" applyProtection="1">
      <alignment horizontal="right" vertical="center"/>
      <protection locked="0"/>
    </xf>
    <xf numFmtId="179" fontId="19" fillId="72" borderId="63" xfId="121" applyNumberFormat="1" applyFont="1" applyFill="1" applyBorder="1" applyAlignment="1" applyProtection="1">
      <alignment horizontal="right" vertical="center"/>
      <protection locked="0"/>
    </xf>
    <xf numFmtId="179" fontId="19" fillId="72" borderId="62" xfId="121" applyNumberFormat="1" applyFont="1" applyFill="1" applyBorder="1" applyAlignment="1" applyProtection="1">
      <alignment horizontal="right" vertical="center"/>
      <protection locked="0"/>
    </xf>
    <xf numFmtId="179" fontId="19" fillId="72" borderId="64" xfId="121" applyNumberFormat="1" applyFont="1" applyFill="1" applyBorder="1" applyAlignment="1" applyProtection="1">
      <alignment horizontal="right" vertical="center"/>
      <protection locked="0"/>
    </xf>
    <xf numFmtId="4" fontId="19" fillId="44" borderId="73" xfId="0" applyNumberFormat="1" applyFont="1" applyFill="1" applyBorder="1" applyAlignment="1" applyProtection="1">
      <alignment horizontal="right" vertical="center"/>
      <protection locked="0"/>
    </xf>
    <xf numFmtId="4" fontId="19" fillId="44" borderId="74" xfId="0" applyNumberFormat="1" applyFont="1" applyFill="1" applyBorder="1" applyAlignment="1" applyProtection="1">
      <alignment horizontal="right" vertical="center"/>
      <protection locked="0"/>
    </xf>
    <xf numFmtId="4" fontId="19" fillId="44" borderId="75" xfId="0" applyNumberFormat="1" applyFont="1" applyFill="1" applyBorder="1" applyAlignment="1" applyProtection="1">
      <alignment horizontal="right" vertical="center"/>
      <protection locked="0"/>
    </xf>
    <xf numFmtId="0" fontId="42" fillId="0" borderId="0" xfId="124" applyFont="1" applyFill="1" applyAlignment="1" applyProtection="1">
      <alignment horizontal="left" vertical="center"/>
      <protection locked="0"/>
    </xf>
    <xf numFmtId="2" fontId="4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9" fillId="45" borderId="32" xfId="121" applyFont="1" applyFill="1" applyBorder="1" applyAlignment="1" applyProtection="1">
      <alignment horizontal="center" vertical="center"/>
      <protection locked="0"/>
    </xf>
    <xf numFmtId="0" fontId="19" fillId="45" borderId="33" xfId="121" applyFont="1" applyFill="1" applyBorder="1" applyAlignment="1" applyProtection="1">
      <alignment horizontal="center" vertical="center"/>
      <protection locked="0"/>
    </xf>
    <xf numFmtId="0" fontId="19" fillId="45" borderId="34" xfId="121" applyFont="1" applyFill="1" applyBorder="1" applyAlignment="1" applyProtection="1">
      <alignment horizontal="center" vertical="center"/>
      <protection locked="0"/>
    </xf>
    <xf numFmtId="4" fontId="19" fillId="45" borderId="32" xfId="121" applyNumberFormat="1" applyFont="1" applyFill="1" applyBorder="1" applyAlignment="1" applyProtection="1">
      <alignment horizontal="center" vertical="center"/>
      <protection locked="0"/>
    </xf>
    <xf numFmtId="4" fontId="19" fillId="45" borderId="33" xfId="121" applyNumberFormat="1" applyFont="1" applyFill="1" applyBorder="1" applyAlignment="1" applyProtection="1">
      <alignment horizontal="center" vertical="center"/>
      <protection locked="0"/>
    </xf>
    <xf numFmtId="4" fontId="19" fillId="45" borderId="34" xfId="121" applyNumberFormat="1" applyFont="1" applyFill="1" applyBorder="1" applyAlignment="1" applyProtection="1">
      <alignment horizontal="center" vertical="center"/>
      <protection locked="0"/>
    </xf>
    <xf numFmtId="0" fontId="19" fillId="45" borderId="32" xfId="121" applyNumberFormat="1" applyFont="1" applyFill="1" applyBorder="1" applyAlignment="1" applyProtection="1">
      <alignment horizontal="center" vertical="center" wrapText="1"/>
      <protection locked="0"/>
    </xf>
    <xf numFmtId="0" fontId="19" fillId="45" borderId="33" xfId="121" applyNumberFormat="1" applyFont="1" applyFill="1" applyBorder="1" applyAlignment="1" applyProtection="1">
      <alignment horizontal="center" vertical="center" wrapText="1"/>
      <protection locked="0"/>
    </xf>
    <xf numFmtId="0" fontId="19" fillId="45" borderId="34" xfId="1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" fontId="19" fillId="45" borderId="2" xfId="0" applyNumberFormat="1" applyFont="1" applyFill="1" applyBorder="1" applyAlignment="1" applyProtection="1">
      <alignment horizontal="right" vertical="center"/>
      <protection locked="0"/>
    </xf>
    <xf numFmtId="0" fontId="20" fillId="0" borderId="0" xfId="121" applyFont="1" applyBorder="1" applyAlignment="1" applyProtection="1">
      <alignment horizontal="left" vertical="center" wrapText="1"/>
      <protection locked="0"/>
    </xf>
    <xf numFmtId="0" fontId="20" fillId="0" borderId="0" xfId="121" applyFont="1" applyBorder="1" applyAlignment="1" applyProtection="1">
      <alignment horizontal="left" vertical="center" wrapText="1"/>
      <protection locked="0"/>
    </xf>
    <xf numFmtId="4" fontId="19" fillId="44" borderId="18" xfId="0" applyNumberFormat="1" applyFont="1" applyFill="1" applyBorder="1" applyAlignment="1" applyProtection="1">
      <alignment horizontal="right" vertical="center"/>
      <protection locked="0"/>
    </xf>
    <xf numFmtId="179" fontId="19" fillId="72" borderId="22" xfId="121" applyNumberFormat="1" applyFont="1" applyFill="1" applyBorder="1" applyAlignment="1" applyProtection="1">
      <alignment horizontal="right" vertical="center"/>
      <protection locked="0"/>
    </xf>
    <xf numFmtId="179" fontId="19" fillId="72" borderId="23" xfId="121" applyNumberFormat="1" applyFont="1" applyFill="1" applyBorder="1" applyAlignment="1" applyProtection="1">
      <alignment horizontal="right" vertical="center"/>
      <protection locked="0"/>
    </xf>
    <xf numFmtId="179" fontId="19" fillId="72" borderId="31" xfId="121" applyNumberFormat="1" applyFont="1" applyFill="1" applyBorder="1" applyAlignment="1" applyProtection="1">
      <alignment horizontal="right" vertical="center"/>
      <protection locked="0"/>
    </xf>
    <xf numFmtId="0" fontId="19" fillId="45" borderId="28" xfId="121" applyFont="1" applyFill="1" applyBorder="1" applyAlignment="1" applyProtection="1">
      <alignment horizontal="center" vertical="center"/>
      <protection locked="0"/>
    </xf>
    <xf numFmtId="0" fontId="19" fillId="45" borderId="36" xfId="121" applyFont="1" applyFill="1" applyBorder="1" applyAlignment="1" applyProtection="1">
      <alignment horizontal="center" vertical="center"/>
      <protection locked="0"/>
    </xf>
    <xf numFmtId="0" fontId="19" fillId="45" borderId="40" xfId="121" applyFont="1" applyFill="1" applyBorder="1" applyAlignment="1" applyProtection="1">
      <alignment horizontal="center" vertical="center"/>
      <protection locked="0"/>
    </xf>
    <xf numFmtId="0" fontId="19" fillId="45" borderId="48" xfId="121" applyFont="1" applyFill="1" applyBorder="1" applyAlignment="1" applyProtection="1">
      <alignment horizontal="center" vertical="center"/>
      <protection locked="0"/>
    </xf>
    <xf numFmtId="0" fontId="19" fillId="45" borderId="65" xfId="121" applyFont="1" applyFill="1" applyBorder="1" applyAlignment="1" applyProtection="1">
      <alignment horizontal="center" vertical="center" wrapText="1"/>
      <protection locked="0"/>
    </xf>
    <xf numFmtId="0" fontId="19" fillId="45" borderId="83" xfId="121" applyFont="1" applyFill="1" applyBorder="1" applyAlignment="1" applyProtection="1">
      <alignment horizontal="center" vertical="center" wrapText="1"/>
      <protection locked="0"/>
    </xf>
    <xf numFmtId="0" fontId="19" fillId="45" borderId="52" xfId="121" applyFont="1" applyFill="1" applyBorder="1" applyAlignment="1" applyProtection="1">
      <alignment horizontal="center" vertical="center" wrapText="1"/>
      <protection locked="0"/>
    </xf>
    <xf numFmtId="4" fontId="19" fillId="44" borderId="21" xfId="0" applyNumberFormat="1" applyFont="1" applyFill="1" applyBorder="1" applyAlignment="1" applyProtection="1">
      <alignment vertical="center"/>
      <protection locked="0"/>
    </xf>
    <xf numFmtId="4" fontId="19" fillId="44" borderId="3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67" borderId="0" xfId="0" applyFont="1" applyFill="1" applyAlignment="1" applyProtection="1">
      <alignment horizontal="center" vertical="center" wrapText="1"/>
      <protection locked="0"/>
    </xf>
    <xf numFmtId="0" fontId="0" fillId="0" borderId="0" xfId="120">
      <alignment/>
      <protection/>
    </xf>
    <xf numFmtId="0" fontId="66" fillId="0" borderId="0" xfId="125" applyFont="1">
      <alignment/>
      <protection/>
    </xf>
    <xf numFmtId="226" fontId="66" fillId="0" borderId="84" xfId="125" applyNumberFormat="1" applyFont="1" applyBorder="1" applyAlignment="1">
      <alignment horizontal="right" vertical="center"/>
      <protection/>
    </xf>
    <xf numFmtId="0" fontId="66" fillId="0" borderId="0" xfId="125" applyFont="1" applyBorder="1" applyAlignment="1">
      <alignment horizontal="left" vertical="center"/>
      <protection/>
    </xf>
    <xf numFmtId="0" fontId="66" fillId="0" borderId="84" xfId="125" applyFont="1" applyBorder="1" applyAlignment="1">
      <alignment horizontal="left" vertical="center"/>
      <protection/>
    </xf>
    <xf numFmtId="0" fontId="67" fillId="0" borderId="85" xfId="125" applyFont="1" applyBorder="1" applyAlignment="1">
      <alignment horizontal="center" vertical="center"/>
      <protection/>
    </xf>
    <xf numFmtId="4" fontId="66" fillId="0" borderId="86" xfId="125" applyNumberFormat="1" applyFont="1" applyBorder="1" applyAlignment="1">
      <alignment horizontal="right" vertical="center"/>
      <protection/>
    </xf>
    <xf numFmtId="0" fontId="66" fillId="0" borderId="87" xfId="125" applyFont="1" applyBorder="1" applyAlignment="1">
      <alignment horizontal="right" vertical="center"/>
      <protection/>
    </xf>
    <xf numFmtId="0" fontId="66" fillId="0" borderId="88" xfId="125" applyFont="1" applyBorder="1" applyAlignment="1">
      <alignment horizontal="left" vertical="center"/>
      <protection/>
    </xf>
    <xf numFmtId="0" fontId="66" fillId="0" borderId="87" xfId="125" applyFont="1" applyBorder="1" applyAlignment="1">
      <alignment horizontal="center" vertical="center"/>
      <protection/>
    </xf>
    <xf numFmtId="0" fontId="66" fillId="0" borderId="0" xfId="125" applyFont="1" applyBorder="1" applyAlignment="1">
      <alignment horizontal="right" vertical="center"/>
      <protection/>
    </xf>
    <xf numFmtId="4" fontId="66" fillId="0" borderId="89" xfId="125" applyNumberFormat="1" applyFont="1" applyBorder="1" applyAlignment="1">
      <alignment horizontal="right" vertical="center"/>
      <protection/>
    </xf>
    <xf numFmtId="4" fontId="66" fillId="0" borderId="90" xfId="125" applyNumberFormat="1" applyFont="1" applyBorder="1" applyAlignment="1">
      <alignment horizontal="right" vertical="center"/>
      <protection/>
    </xf>
    <xf numFmtId="0" fontId="66" fillId="0" borderId="89" xfId="125" applyFont="1" applyBorder="1" applyAlignment="1">
      <alignment horizontal="left" vertical="center"/>
      <protection/>
    </xf>
    <xf numFmtId="0" fontId="66" fillId="0" borderId="90" xfId="125" applyFont="1" applyBorder="1" applyAlignment="1">
      <alignment horizontal="center" vertical="center"/>
      <protection/>
    </xf>
    <xf numFmtId="4" fontId="66" fillId="0" borderId="91" xfId="125" applyNumberFormat="1" applyFont="1" applyBorder="1" applyAlignment="1">
      <alignment horizontal="right" vertical="center"/>
      <protection/>
    </xf>
    <xf numFmtId="0" fontId="66" fillId="0" borderId="92" xfId="125" applyFont="1" applyBorder="1" applyAlignment="1">
      <alignment horizontal="right" vertical="center"/>
      <protection/>
    </xf>
    <xf numFmtId="0" fontId="66" fillId="0" borderId="91" xfId="125" applyFont="1" applyBorder="1" applyAlignment="1">
      <alignment horizontal="left" vertical="center"/>
      <protection/>
    </xf>
    <xf numFmtId="0" fontId="66" fillId="0" borderId="92" xfId="125" applyFont="1" applyBorder="1" applyAlignment="1">
      <alignment horizontal="center" vertical="center"/>
      <protection/>
    </xf>
    <xf numFmtId="0" fontId="66" fillId="0" borderId="93" xfId="125" applyFont="1" applyBorder="1" applyAlignment="1">
      <alignment horizontal="left" vertical="center"/>
      <protection/>
    </xf>
    <xf numFmtId="0" fontId="66" fillId="0" borderId="94" xfId="125" applyFont="1" applyBorder="1" applyAlignment="1">
      <alignment horizontal="center" vertical="center"/>
      <protection/>
    </xf>
    <xf numFmtId="0" fontId="67" fillId="0" borderId="95" xfId="125" applyFont="1" applyBorder="1" applyAlignment="1">
      <alignment horizontal="center" vertical="center"/>
      <protection/>
    </xf>
    <xf numFmtId="0" fontId="66" fillId="0" borderId="0" xfId="125" applyFont="1" applyBorder="1" applyAlignment="1">
      <alignment horizontal="center" vertical="center"/>
      <protection/>
    </xf>
    <xf numFmtId="0" fontId="66" fillId="0" borderId="0" xfId="125" applyFont="1" applyBorder="1" applyAlignment="1">
      <alignment horizontal="center" vertical="center"/>
      <protection/>
    </xf>
    <xf numFmtId="0" fontId="66" fillId="0" borderId="90" xfId="125" applyFont="1" applyBorder="1" applyAlignment="1">
      <alignment horizontal="left" vertical="center"/>
      <protection/>
    </xf>
    <xf numFmtId="0" fontId="66" fillId="0" borderId="96" xfId="125" applyFont="1" applyBorder="1" applyAlignment="1">
      <alignment horizontal="left" vertical="center"/>
      <protection/>
    </xf>
    <xf numFmtId="0" fontId="66" fillId="0" borderId="97" xfId="125" applyFont="1" applyBorder="1" applyAlignment="1">
      <alignment horizontal="right" vertical="center"/>
      <protection/>
    </xf>
    <xf numFmtId="4" fontId="66" fillId="0" borderId="88" xfId="125" applyNumberFormat="1" applyFont="1" applyBorder="1" applyAlignment="1">
      <alignment horizontal="right" vertical="center"/>
      <protection/>
    </xf>
    <xf numFmtId="4" fontId="66" fillId="0" borderId="97" xfId="125" applyNumberFormat="1" applyFont="1" applyBorder="1" applyAlignment="1">
      <alignment horizontal="right" vertical="center"/>
      <protection/>
    </xf>
    <xf numFmtId="0" fontId="66" fillId="0" borderId="97" xfId="125" applyFont="1" applyBorder="1" applyAlignment="1">
      <alignment horizontal="left" vertical="center"/>
      <protection/>
    </xf>
    <xf numFmtId="10" fontId="66" fillId="0" borderId="90" xfId="125" applyNumberFormat="1" applyFont="1" applyBorder="1" applyAlignment="1">
      <alignment horizontal="right" vertical="center"/>
      <protection/>
    </xf>
    <xf numFmtId="0" fontId="66" fillId="0" borderId="17" xfId="125" applyFont="1" applyBorder="1" applyAlignment="1">
      <alignment horizontal="left" vertical="center"/>
      <protection/>
    </xf>
    <xf numFmtId="4" fontId="66" fillId="0" borderId="17" xfId="125" applyNumberFormat="1" applyFont="1" applyBorder="1" applyAlignment="1">
      <alignment horizontal="right" vertical="center"/>
      <protection/>
    </xf>
    <xf numFmtId="10" fontId="66" fillId="0" borderId="92" xfId="125" applyNumberFormat="1" applyFont="1" applyBorder="1" applyAlignment="1">
      <alignment horizontal="right" vertical="center"/>
      <protection/>
    </xf>
    <xf numFmtId="0" fontId="66" fillId="0" borderId="98" xfId="125" applyFont="1" applyBorder="1" applyAlignment="1">
      <alignment horizontal="left" vertical="center"/>
      <protection/>
    </xf>
    <xf numFmtId="4" fontId="66" fillId="0" borderId="98" xfId="125" applyNumberFormat="1" applyFont="1" applyBorder="1" applyAlignment="1">
      <alignment horizontal="right" vertical="center"/>
      <protection/>
    </xf>
    <xf numFmtId="0" fontId="66" fillId="0" borderId="94" xfId="125" applyFont="1" applyBorder="1" applyAlignment="1">
      <alignment horizontal="center" vertical="center"/>
      <protection/>
    </xf>
    <xf numFmtId="0" fontId="66" fillId="0" borderId="99" xfId="125" applyFont="1" applyBorder="1" applyAlignment="1">
      <alignment horizontal="center" vertical="center"/>
      <protection/>
    </xf>
    <xf numFmtId="0" fontId="66" fillId="0" borderId="99" xfId="125" applyFont="1" applyBorder="1" applyAlignment="1">
      <alignment horizontal="left" vertical="center"/>
      <protection/>
    </xf>
    <xf numFmtId="3" fontId="66" fillId="0" borderId="0" xfId="125" applyNumberFormat="1" applyFont="1" applyBorder="1" applyAlignment="1">
      <alignment vertical="center"/>
      <protection/>
    </xf>
    <xf numFmtId="227" fontId="66" fillId="0" borderId="0" xfId="125" applyNumberFormat="1" applyFont="1" applyBorder="1" applyAlignment="1">
      <alignment horizontal="right" vertical="center"/>
      <protection/>
    </xf>
    <xf numFmtId="0" fontId="66" fillId="0" borderId="0" xfId="125" applyFont="1" applyBorder="1" applyAlignment="1">
      <alignment vertical="center"/>
      <protection/>
    </xf>
    <xf numFmtId="3" fontId="66" fillId="0" borderId="85" xfId="125" applyNumberFormat="1" applyFont="1" applyBorder="1" applyAlignment="1">
      <alignment horizontal="right" vertical="center"/>
      <protection/>
    </xf>
    <xf numFmtId="228" fontId="66" fillId="0" borderId="0" xfId="125" applyNumberFormat="1" applyFont="1" applyBorder="1" applyAlignment="1">
      <alignment horizontal="left" vertical="center"/>
      <protection/>
    </xf>
    <xf numFmtId="3" fontId="66" fillId="0" borderId="93" xfId="125" applyNumberFormat="1" applyFont="1" applyBorder="1" applyAlignment="1">
      <alignment vertical="center"/>
      <protection/>
    </xf>
    <xf numFmtId="227" fontId="66" fillId="0" borderId="93" xfId="125" applyNumberFormat="1" applyFont="1" applyBorder="1" applyAlignment="1">
      <alignment horizontal="right" vertical="center"/>
      <protection/>
    </xf>
    <xf numFmtId="0" fontId="66" fillId="0" borderId="93" xfId="125" applyFont="1" applyBorder="1" applyAlignment="1">
      <alignment vertical="center"/>
      <protection/>
    </xf>
    <xf numFmtId="0" fontId="66" fillId="0" borderId="93" xfId="125" applyFont="1" applyBorder="1" applyAlignment="1">
      <alignment horizontal="right" vertical="center"/>
      <protection/>
    </xf>
    <xf numFmtId="3" fontId="66" fillId="0" borderId="92" xfId="125" applyNumberFormat="1" applyFont="1" applyBorder="1" applyAlignment="1">
      <alignment horizontal="right" vertical="center"/>
      <protection/>
    </xf>
    <xf numFmtId="49" fontId="66" fillId="0" borderId="93" xfId="125" applyNumberFormat="1" applyFont="1" applyBorder="1" applyAlignment="1">
      <alignment horizontal="right" vertical="center"/>
      <protection/>
    </xf>
    <xf numFmtId="228" fontId="66" fillId="0" borderId="93" xfId="125" applyNumberFormat="1" applyFont="1" applyBorder="1" applyAlignment="1">
      <alignment horizontal="left" vertical="center"/>
      <protection/>
    </xf>
    <xf numFmtId="49" fontId="66" fillId="0" borderId="96" xfId="125" applyNumberFormat="1" applyFont="1" applyBorder="1" applyAlignment="1">
      <alignment horizontal="right" vertical="center"/>
      <protection/>
    </xf>
    <xf numFmtId="49" fontId="68" fillId="0" borderId="0" xfId="125" applyNumberFormat="1" applyFont="1">
      <alignment/>
      <protection/>
    </xf>
    <xf numFmtId="0" fontId="68" fillId="0" borderId="0" xfId="125" applyFont="1">
      <alignment/>
      <protection/>
    </xf>
    <xf numFmtId="0" fontId="68" fillId="0" borderId="0" xfId="125" applyFont="1" applyProtection="1">
      <alignment/>
      <protection locked="0"/>
    </xf>
    <xf numFmtId="0" fontId="69" fillId="0" borderId="0" xfId="125" applyFont="1">
      <alignment/>
      <protection/>
    </xf>
    <xf numFmtId="0" fontId="66" fillId="0" borderId="100" xfId="125" applyFont="1" applyBorder="1" applyAlignment="1">
      <alignment horizontal="left" vertical="center"/>
      <protection/>
    </xf>
    <xf numFmtId="49" fontId="66" fillId="0" borderId="100" xfId="125" applyNumberFormat="1" applyFont="1" applyBorder="1" applyAlignment="1">
      <alignment horizontal="right" vertical="center"/>
      <protection/>
    </xf>
    <xf numFmtId="0" fontId="66" fillId="0" borderId="96" xfId="125" applyFont="1" applyBorder="1" applyAlignment="1">
      <alignment horizontal="right" vertical="center"/>
      <protection/>
    </xf>
    <xf numFmtId="0" fontId="66" fillId="0" borderId="100" xfId="125" applyFont="1" applyBorder="1" applyAlignment="1">
      <alignment horizontal="right" vertical="center"/>
      <protection/>
    </xf>
    <xf numFmtId="0" fontId="66" fillId="0" borderId="0" xfId="125" applyFont="1" applyAlignment="1">
      <alignment horizontal="left" vertical="center"/>
      <protection/>
    </xf>
    <xf numFmtId="0" fontId="70" fillId="0" borderId="0" xfId="125" applyFont="1" applyAlignment="1">
      <alignment horizontal="left" vertical="center"/>
      <protection/>
    </xf>
    <xf numFmtId="0" fontId="66" fillId="0" borderId="0" xfId="120" applyFont="1" applyProtection="1">
      <alignment/>
      <protection/>
    </xf>
    <xf numFmtId="177" fontId="66" fillId="0" borderId="0" xfId="120" applyNumberFormat="1" applyFont="1" applyProtection="1">
      <alignment/>
      <protection/>
    </xf>
    <xf numFmtId="191" fontId="66" fillId="0" borderId="0" xfId="120" applyNumberFormat="1" applyFont="1" applyProtection="1">
      <alignment/>
      <protection/>
    </xf>
    <xf numFmtId="4" fontId="66" fillId="0" borderId="0" xfId="120" applyNumberFormat="1" applyFont="1" applyProtection="1">
      <alignment/>
      <protection/>
    </xf>
    <xf numFmtId="49" fontId="66" fillId="0" borderId="0" xfId="120" applyNumberFormat="1" applyFont="1" applyAlignment="1" applyProtection="1">
      <alignment horizontal="left" vertical="top" wrapText="1"/>
      <protection/>
    </xf>
    <xf numFmtId="177" fontId="66" fillId="0" borderId="101" xfId="120" applyNumberFormat="1" applyFont="1" applyBorder="1" applyProtection="1">
      <alignment/>
      <protection/>
    </xf>
    <xf numFmtId="191" fontId="66" fillId="0" borderId="101" xfId="120" applyNumberFormat="1" applyFont="1" applyBorder="1" applyProtection="1">
      <alignment/>
      <protection/>
    </xf>
    <xf numFmtId="4" fontId="66" fillId="0" borderId="101" xfId="120" applyNumberFormat="1" applyFont="1" applyBorder="1" applyProtection="1">
      <alignment/>
      <protection/>
    </xf>
    <xf numFmtId="49" fontId="66" fillId="0" borderId="101" xfId="120" applyNumberFormat="1" applyFont="1" applyBorder="1" applyAlignment="1" applyProtection="1">
      <alignment horizontal="left" vertical="top" wrapText="1"/>
      <protection/>
    </xf>
    <xf numFmtId="0" fontId="66" fillId="0" borderId="101" xfId="120" applyFont="1" applyBorder="1" applyAlignment="1" applyProtection="1">
      <alignment horizontal="center"/>
      <protection/>
    </xf>
    <xf numFmtId="0" fontId="66" fillId="0" borderId="102" xfId="120" applyFont="1" applyBorder="1" applyAlignment="1" applyProtection="1">
      <alignment horizontal="center"/>
      <protection/>
    </xf>
    <xf numFmtId="0" fontId="66" fillId="0" borderId="103" xfId="120" applyFont="1" applyBorder="1" applyAlignment="1" applyProtection="1">
      <alignment horizontal="center"/>
      <protection/>
    </xf>
    <xf numFmtId="0" fontId="70" fillId="0" borderId="0" xfId="120" applyFont="1" applyProtection="1">
      <alignment/>
      <protection/>
    </xf>
    <xf numFmtId="0" fontId="67" fillId="0" borderId="0" xfId="120" applyFont="1" applyProtection="1">
      <alignment/>
      <protection/>
    </xf>
    <xf numFmtId="0" fontId="69" fillId="0" borderId="0" xfId="120" applyFont="1" applyProtection="1">
      <alignment/>
      <protection/>
    </xf>
    <xf numFmtId="0" fontId="66" fillId="0" borderId="0" xfId="120" applyFont="1" applyAlignment="1" applyProtection="1">
      <alignment vertical="top"/>
      <protection/>
    </xf>
    <xf numFmtId="49" fontId="66" fillId="0" borderId="0" xfId="120" applyNumberFormat="1" applyFont="1" applyAlignment="1" applyProtection="1">
      <alignment vertical="top"/>
      <protection/>
    </xf>
    <xf numFmtId="177" fontId="66" fillId="0" borderId="0" xfId="120" applyNumberFormat="1" applyFont="1" applyAlignment="1" applyProtection="1">
      <alignment vertical="top"/>
      <protection/>
    </xf>
    <xf numFmtId="0" fontId="66" fillId="0" borderId="0" xfId="120" applyFont="1" applyAlignment="1" applyProtection="1">
      <alignment horizontal="center" vertical="top"/>
      <protection/>
    </xf>
    <xf numFmtId="191" fontId="66" fillId="0" borderId="0" xfId="120" applyNumberFormat="1" applyFont="1" applyAlignment="1" applyProtection="1">
      <alignment vertical="top"/>
      <protection/>
    </xf>
    <xf numFmtId="4" fontId="66" fillId="0" borderId="0" xfId="120" applyNumberFormat="1" applyFont="1" applyAlignment="1" applyProtection="1">
      <alignment vertical="top"/>
      <protection/>
    </xf>
    <xf numFmtId="49" fontId="66" fillId="0" borderId="0" xfId="120" applyNumberFormat="1" applyFont="1" applyAlignment="1" applyProtection="1">
      <alignment horizontal="center" vertical="top"/>
      <protection/>
    </xf>
    <xf numFmtId="0" fontId="66" fillId="0" borderId="0" xfId="120" applyFont="1" applyAlignment="1" applyProtection="1">
      <alignment horizontal="right" vertical="top"/>
      <protection/>
    </xf>
    <xf numFmtId="0" fontId="66" fillId="0" borderId="101" xfId="120" applyFont="1" applyBorder="1" applyAlignment="1" applyProtection="1">
      <alignment vertical="top"/>
      <protection/>
    </xf>
    <xf numFmtId="49" fontId="66" fillId="0" borderId="101" xfId="120" applyNumberFormat="1" applyFont="1" applyBorder="1" applyAlignment="1" applyProtection="1">
      <alignment vertical="top"/>
      <protection/>
    </xf>
    <xf numFmtId="177" fontId="66" fillId="0" borderId="101" xfId="120" applyNumberFormat="1" applyFont="1" applyBorder="1" applyAlignment="1" applyProtection="1">
      <alignment vertical="top"/>
      <protection/>
    </xf>
    <xf numFmtId="0" fontId="66" fillId="0" borderId="101" xfId="120" applyFont="1" applyBorder="1" applyAlignment="1" applyProtection="1">
      <alignment horizontal="center" vertical="top"/>
      <protection/>
    </xf>
    <xf numFmtId="191" fontId="66" fillId="0" borderId="101" xfId="120" applyNumberFormat="1" applyFont="1" applyBorder="1" applyAlignment="1" applyProtection="1">
      <alignment vertical="top"/>
      <protection/>
    </xf>
    <xf numFmtId="4" fontId="66" fillId="0" borderId="101" xfId="120" applyNumberFormat="1" applyFont="1" applyBorder="1" applyAlignment="1" applyProtection="1">
      <alignment vertical="top"/>
      <protection/>
    </xf>
    <xf numFmtId="49" fontId="66" fillId="0" borderId="101" xfId="120" applyNumberFormat="1" applyFont="1" applyBorder="1" applyAlignment="1" applyProtection="1">
      <alignment horizontal="center" vertical="top"/>
      <protection/>
    </xf>
    <xf numFmtId="0" fontId="66" fillId="0" borderId="101" xfId="120" applyFont="1" applyBorder="1" applyAlignment="1" applyProtection="1">
      <alignment horizontal="right" vertical="top"/>
      <protection/>
    </xf>
    <xf numFmtId="177" fontId="67" fillId="0" borderId="101" xfId="120" applyNumberFormat="1" applyFont="1" applyBorder="1" applyAlignment="1" applyProtection="1">
      <alignment vertical="top"/>
      <protection/>
    </xf>
    <xf numFmtId="0" fontId="67" fillId="0" borderId="101" xfId="120" applyFont="1" applyBorder="1" applyAlignment="1" applyProtection="1">
      <alignment horizontal="center" vertical="top"/>
      <protection/>
    </xf>
    <xf numFmtId="0" fontId="67" fillId="0" borderId="101" xfId="120" applyFont="1" applyBorder="1" applyAlignment="1" applyProtection="1">
      <alignment vertical="top"/>
      <protection/>
    </xf>
    <xf numFmtId="191" fontId="67" fillId="0" borderId="101" xfId="120" applyNumberFormat="1" applyFont="1" applyBorder="1" applyAlignment="1" applyProtection="1">
      <alignment vertical="top"/>
      <protection/>
    </xf>
    <xf numFmtId="4" fontId="67" fillId="0" borderId="101" xfId="120" applyNumberFormat="1" applyFont="1" applyBorder="1" applyAlignment="1" applyProtection="1">
      <alignment vertical="top"/>
      <protection/>
    </xf>
    <xf numFmtId="49" fontId="67" fillId="0" borderId="101" xfId="120" applyNumberFormat="1" applyFont="1" applyBorder="1" applyAlignment="1" applyProtection="1">
      <alignment horizontal="right" vertical="top" wrapText="1"/>
      <protection/>
    </xf>
    <xf numFmtId="49" fontId="67" fillId="0" borderId="101" xfId="120" applyNumberFormat="1" applyFont="1" applyBorder="1" applyAlignment="1" applyProtection="1">
      <alignment horizontal="left" vertical="top" wrapText="1"/>
      <protection/>
    </xf>
    <xf numFmtId="49" fontId="67" fillId="0" borderId="101" xfId="120" applyNumberFormat="1" applyFont="1" applyBorder="1" applyAlignment="1" applyProtection="1">
      <alignment vertical="top"/>
      <protection/>
    </xf>
    <xf numFmtId="187" fontId="66" fillId="0" borderId="0" xfId="120" applyNumberFormat="1" applyFont="1" applyAlignment="1" applyProtection="1">
      <alignment vertical="top"/>
      <protection/>
    </xf>
    <xf numFmtId="0" fontId="66" fillId="0" borderId="102" xfId="120" applyFont="1" applyBorder="1" applyAlignment="1" applyProtection="1">
      <alignment horizontal="right"/>
      <protection/>
    </xf>
    <xf numFmtId="0" fontId="66" fillId="0" borderId="102" xfId="120" applyFont="1" applyBorder="1" applyProtection="1">
      <alignment/>
      <protection/>
    </xf>
    <xf numFmtId="49" fontId="66" fillId="0" borderId="102" xfId="120" applyNumberFormat="1" applyFont="1" applyBorder="1" applyAlignment="1" applyProtection="1">
      <alignment horizontal="left"/>
      <protection/>
    </xf>
    <xf numFmtId="177" fontId="66" fillId="0" borderId="102" xfId="120" applyNumberFormat="1" applyFont="1" applyBorder="1" applyProtection="1">
      <alignment/>
      <protection/>
    </xf>
    <xf numFmtId="0" fontId="66" fillId="0" borderId="102" xfId="120" applyFont="1" applyBorder="1" applyAlignment="1" applyProtection="1">
      <alignment horizontal="center"/>
      <protection locked="0"/>
    </xf>
    <xf numFmtId="0" fontId="85" fillId="0" borderId="102" xfId="120" applyFont="1" applyBorder="1" applyAlignment="1" applyProtection="1">
      <alignment horizontal="center"/>
      <protection locked="0"/>
    </xf>
    <xf numFmtId="0" fontId="66" fillId="0" borderId="102" xfId="120" applyNumberFormat="1" applyFont="1" applyBorder="1" applyAlignment="1" applyProtection="1">
      <alignment horizontal="center"/>
      <protection/>
    </xf>
    <xf numFmtId="0" fontId="66" fillId="0" borderId="104" xfId="120" applyFont="1" applyBorder="1" applyAlignment="1" applyProtection="1">
      <alignment horizontal="center"/>
      <protection/>
    </xf>
    <xf numFmtId="0" fontId="66" fillId="0" borderId="105" xfId="120" applyFont="1" applyBorder="1" applyAlignment="1" applyProtection="1">
      <alignment horizontal="center"/>
      <protection/>
    </xf>
    <xf numFmtId="0" fontId="66" fillId="0" borderId="102" xfId="120" applyFont="1" applyBorder="1" applyAlignment="1" applyProtection="1">
      <alignment horizontal="center" wrapText="1"/>
      <protection/>
    </xf>
    <xf numFmtId="0" fontId="66" fillId="0" borderId="102" xfId="120" applyFont="1" applyBorder="1" applyAlignment="1" applyProtection="1">
      <alignment horizontal="center" vertical="center"/>
      <protection/>
    </xf>
    <xf numFmtId="0" fontId="66" fillId="0" borderId="103" xfId="120" applyFont="1" applyBorder="1" applyAlignment="1" applyProtection="1">
      <alignment horizontal="right"/>
      <protection/>
    </xf>
    <xf numFmtId="49" fontId="66" fillId="0" borderId="103" xfId="120" applyNumberFormat="1" applyFont="1" applyBorder="1" applyAlignment="1" applyProtection="1">
      <alignment horizontal="left"/>
      <protection/>
    </xf>
    <xf numFmtId="0" fontId="66" fillId="0" borderId="103" xfId="120" applyFont="1" applyBorder="1" applyAlignment="1" applyProtection="1">
      <alignment horizontal="left"/>
      <protection/>
    </xf>
    <xf numFmtId="0" fontId="66" fillId="0" borderId="103" xfId="120" applyFont="1" applyBorder="1" applyAlignment="1" applyProtection="1">
      <alignment horizontal="center"/>
      <protection locked="0"/>
    </xf>
    <xf numFmtId="0" fontId="85" fillId="0" borderId="103" xfId="120" applyFont="1" applyBorder="1" applyAlignment="1" applyProtection="1">
      <alignment horizontal="center"/>
      <protection locked="0"/>
    </xf>
    <xf numFmtId="0" fontId="66" fillId="0" borderId="103" xfId="120" applyNumberFormat="1" applyFont="1" applyBorder="1" applyAlignment="1" applyProtection="1">
      <alignment horizontal="center"/>
      <protection/>
    </xf>
    <xf numFmtId="0" fontId="66" fillId="0" borderId="106" xfId="120" applyFont="1" applyBorder="1" applyAlignment="1" applyProtection="1">
      <alignment horizontal="center"/>
      <protection/>
    </xf>
    <xf numFmtId="0" fontId="66" fillId="0" borderId="103" xfId="120" applyFont="1" applyBorder="1" applyAlignment="1" applyProtection="1">
      <alignment horizontal="center" wrapText="1"/>
      <protection/>
    </xf>
    <xf numFmtId="49" fontId="66" fillId="0" borderId="0" xfId="120" applyNumberFormat="1" applyFont="1" applyProtection="1">
      <alignment/>
      <protection/>
    </xf>
    <xf numFmtId="0" fontId="70" fillId="0" borderId="0" xfId="120" applyFont="1" applyAlignment="1" applyProtection="1">
      <alignment wrapText="1"/>
      <protection/>
    </xf>
    <xf numFmtId="49" fontId="66" fillId="0" borderId="0" xfId="120" applyNumberFormat="1" applyFont="1" applyAlignment="1" applyProtection="1">
      <alignment/>
      <protection/>
    </xf>
    <xf numFmtId="49" fontId="66" fillId="0" borderId="0" xfId="120" applyNumberFormat="1" applyFont="1" applyAlignment="1" applyProtection="1">
      <alignment horizontal="center"/>
      <protection/>
    </xf>
    <xf numFmtId="0" fontId="66" fillId="0" borderId="0" xfId="120" applyFont="1" applyAlignment="1" applyProtection="1">
      <alignment wrapText="1"/>
      <protection/>
    </xf>
    <xf numFmtId="0" fontId="69" fillId="0" borderId="0" xfId="120" applyFont="1" applyAlignment="1" applyProtection="1">
      <alignment horizontal="right"/>
      <protection/>
    </xf>
    <xf numFmtId="0" fontId="69" fillId="0" borderId="0" xfId="120" applyFont="1" applyAlignment="1" applyProtection="1">
      <alignment horizontal="center"/>
      <protection/>
    </xf>
    <xf numFmtId="0" fontId="69" fillId="0" borderId="0" xfId="120" applyFont="1" applyProtection="1">
      <alignment/>
      <protection locked="0"/>
    </xf>
    <xf numFmtId="190" fontId="69" fillId="0" borderId="0" xfId="120" applyNumberFormat="1" applyFont="1" applyAlignment="1" applyProtection="1">
      <alignment horizontal="right"/>
      <protection/>
    </xf>
    <xf numFmtId="49" fontId="69" fillId="0" borderId="0" xfId="125" applyNumberFormat="1" applyFont="1">
      <alignment/>
      <protection/>
    </xf>
    <xf numFmtId="177" fontId="69" fillId="0" borderId="0" xfId="120" applyNumberFormat="1" applyFont="1" applyAlignment="1" applyProtection="1">
      <alignment horizontal="right"/>
      <protection/>
    </xf>
    <xf numFmtId="4" fontId="69" fillId="0" borderId="0" xfId="120" applyNumberFormat="1" applyFont="1" applyAlignment="1" applyProtection="1">
      <alignment horizontal="right"/>
      <protection/>
    </xf>
    <xf numFmtId="187" fontId="69" fillId="0" borderId="0" xfId="120" applyNumberFormat="1" applyFont="1" applyAlignment="1" applyProtection="1">
      <alignment horizontal="right"/>
      <protection/>
    </xf>
  </cellXfs>
  <cellStyles count="14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16 mena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 % - zvýraznenie1" xfId="45"/>
    <cellStyle name="40 % - zvýraznenie2" xfId="46"/>
    <cellStyle name="40 % - zvýraznenie3" xfId="47"/>
    <cellStyle name="40 % - zvýraznenie4" xfId="48"/>
    <cellStyle name="40 % - zvýraznenie5" xfId="49"/>
    <cellStyle name="40 % - zvýraznenie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 % – Zvýraznění1" xfId="57"/>
    <cellStyle name="60 % – Zvýraznění2" xfId="58"/>
    <cellStyle name="60 % – Zvýraznění3" xfId="59"/>
    <cellStyle name="60 % – Zvýraznění4" xfId="60"/>
    <cellStyle name="60 % – Zvýraznění5" xfId="61"/>
    <cellStyle name="60 % – Zvýraznění6" xfId="62"/>
    <cellStyle name="60 % - zvýraznenie1" xfId="63"/>
    <cellStyle name="60 % - zvýraznenie2" xfId="64"/>
    <cellStyle name="60 % - zvýraznenie3" xfId="65"/>
    <cellStyle name="60 % - zvýraznenie4" xfId="66"/>
    <cellStyle name="60 % - zvýraznenie5" xfId="67"/>
    <cellStyle name="60 % - zvýrazneni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" xfId="75"/>
    <cellStyle name="Accent 1" xfId="76"/>
    <cellStyle name="Accent 2" xfId="77"/>
    <cellStyle name="Accent 3" xfId="78"/>
    <cellStyle name="Accent1" xfId="79"/>
    <cellStyle name="Accent2" xfId="80"/>
    <cellStyle name="Accent3" xfId="81"/>
    <cellStyle name="Accent4" xfId="82"/>
    <cellStyle name="Accent5" xfId="83"/>
    <cellStyle name="Accent6" xfId="84"/>
    <cellStyle name="Bad" xfId="85"/>
    <cellStyle name="Calculation" xfId="86"/>
    <cellStyle name="Celkem" xfId="87"/>
    <cellStyle name="Comma" xfId="88"/>
    <cellStyle name="Comma [0]" xfId="89"/>
    <cellStyle name="čiarky 2" xfId="90"/>
    <cellStyle name="data" xfId="91"/>
    <cellStyle name="Dobrá" xfId="92"/>
    <cellStyle name="Error" xfId="93"/>
    <cellStyle name="Explanatory Text" xfId="94"/>
    <cellStyle name="Footnote" xfId="95"/>
    <cellStyle name="Good" xfId="96"/>
    <cellStyle name="Heading" xfId="97"/>
    <cellStyle name="Heading 1" xfId="98"/>
    <cellStyle name="Heading 2" xfId="99"/>
    <cellStyle name="Heading 3" xfId="100"/>
    <cellStyle name="Heading 4" xfId="101"/>
    <cellStyle name="Hyperlink" xfId="102"/>
    <cellStyle name="Hyperlink" xfId="103"/>
    <cellStyle name="Check Cell" xfId="104"/>
    <cellStyle name="Chybně" xfId="105"/>
    <cellStyle name="Input" xfId="106"/>
    <cellStyle name="Kontrolná bunka" xfId="107"/>
    <cellStyle name="Kontrolní buňka" xfId="108"/>
    <cellStyle name="Linked Cell" xfId="109"/>
    <cellStyle name="Currency" xfId="110"/>
    <cellStyle name="Currency [0]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álna" xfId="118"/>
    <cellStyle name="Neutrální" xfId="119"/>
    <cellStyle name="Normálna 2" xfId="120"/>
    <cellStyle name="normálne 2" xfId="121"/>
    <cellStyle name="normálne 3" xfId="122"/>
    <cellStyle name="normálne_fakturuj99" xfId="123"/>
    <cellStyle name="normálne_Hárok1" xfId="124"/>
    <cellStyle name="normálne_KLs" xfId="125"/>
    <cellStyle name="Note" xfId="126"/>
    <cellStyle name="Output" xfId="127"/>
    <cellStyle name="Percent" xfId="128"/>
    <cellStyle name="Followed Hyperlink" xfId="129"/>
    <cellStyle name="Poznámka" xfId="130"/>
    <cellStyle name="Prepojená bunka" xfId="131"/>
    <cellStyle name="Propojená buňka" xfId="132"/>
    <cellStyle name="Spolu" xfId="133"/>
    <cellStyle name="Správně" xfId="134"/>
    <cellStyle name="Status" xfId="135"/>
    <cellStyle name="Text" xfId="136"/>
    <cellStyle name="Text upozornění" xfId="137"/>
    <cellStyle name="Text upozornenia" xfId="138"/>
    <cellStyle name="TEXT1" xfId="139"/>
    <cellStyle name="Title" xfId="140"/>
    <cellStyle name="Titul" xfId="141"/>
    <cellStyle name="Total" xfId="142"/>
    <cellStyle name="Vstup" xfId="143"/>
    <cellStyle name="Výpočet" xfId="144"/>
    <cellStyle name="Výstup" xfId="145"/>
    <cellStyle name="Vysvětlující text" xfId="146"/>
    <cellStyle name="Vysvetľujúci text" xfId="147"/>
    <cellStyle name="Warning" xfId="148"/>
    <cellStyle name="Warning Text" xfId="149"/>
    <cellStyle name="Zlá" xfId="150"/>
    <cellStyle name="Zvýraznění 1" xfId="151"/>
    <cellStyle name="Zvýraznění 2" xfId="152"/>
    <cellStyle name="Zvýraznění 3" xfId="153"/>
    <cellStyle name="Zvýraznění 4" xfId="154"/>
    <cellStyle name="Zvýraznění 5" xfId="155"/>
    <cellStyle name="Zvýraznění 6" xfId="156"/>
    <cellStyle name="Zvýraznenie1" xfId="157"/>
    <cellStyle name="Zvýraznenie2" xfId="158"/>
    <cellStyle name="Zvýraznenie3" xfId="159"/>
    <cellStyle name="Zvýraznenie4" xfId="160"/>
    <cellStyle name="Zvýraznenie5" xfId="161"/>
    <cellStyle name="Zvýraznenie6" xfId="1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V_Zadanie_SO_02_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6"/>
  <sheetViews>
    <sheetView zoomScaleSheetLayoutView="90" zoomScalePageLayoutView="0" workbookViewId="0" topLeftCell="A2">
      <selection activeCell="E72" sqref="E72:J72"/>
    </sheetView>
  </sheetViews>
  <sheetFormatPr defaultColWidth="9.140625" defaultRowHeight="12.75"/>
  <cols>
    <col min="1" max="1" width="1.28515625" style="0" customWidth="1"/>
    <col min="3" max="3" width="12.7109375" style="0" hidden="1" customWidth="1"/>
    <col min="4" max="4" width="50.7109375" style="0" customWidth="1"/>
    <col min="6" max="6" width="9.140625" style="0" customWidth="1"/>
    <col min="7" max="7" width="9.8515625" style="0" customWidth="1"/>
    <col min="8" max="8" width="9.140625" style="0" customWidth="1"/>
    <col min="11" max="11" width="5.8515625" style="0" customWidth="1"/>
    <col min="12" max="12" width="28.00390625" style="0" customWidth="1"/>
    <col min="13" max="13" width="2.00390625" style="0" customWidth="1"/>
  </cols>
  <sheetData>
    <row r="1" spans="1:13" s="2" customFormat="1" ht="12.75" hidden="1">
      <c r="A1" s="8"/>
      <c r="B1" s="8"/>
      <c r="C1" s="8"/>
      <c r="D1" s="8"/>
      <c r="E1" s="9"/>
      <c r="F1" s="10"/>
      <c r="G1" s="11"/>
      <c r="H1" s="8"/>
      <c r="I1" s="8"/>
      <c r="J1" s="8"/>
      <c r="K1" s="9"/>
      <c r="L1" s="12"/>
      <c r="M1" s="12"/>
    </row>
    <row r="2" spans="1:13" s="2" customFormat="1" ht="13.5" customHeight="1">
      <c r="A2" s="8"/>
      <c r="B2" s="911" t="str">
        <f>VV_Zadanie_SO_01!B2</f>
        <v>Názov: Regenerácia vnútrobloku - Oddychová zóna Čínska ulica, Košice</v>
      </c>
      <c r="C2" s="911"/>
      <c r="D2" s="911"/>
      <c r="E2" s="911"/>
      <c r="F2" s="911"/>
      <c r="G2" s="911"/>
      <c r="H2" s="911"/>
      <c r="I2" s="911"/>
      <c r="J2" s="911"/>
      <c r="K2" s="23"/>
      <c r="L2" s="23"/>
      <c r="M2" s="12"/>
    </row>
    <row r="3" spans="1:13" s="2" customFormat="1" ht="13.5" customHeight="1" hidden="1">
      <c r="A3" s="8"/>
      <c r="B3" s="911" t="str">
        <f>VV_Zadanie_SO_01!B3</f>
        <v>Objekt: SO 01 Sadovnícko - architektonické riešenie vnútrobloku</v>
      </c>
      <c r="C3" s="911"/>
      <c r="D3" s="911"/>
      <c r="E3" s="911"/>
      <c r="F3" s="911"/>
      <c r="G3" s="911"/>
      <c r="H3" s="911"/>
      <c r="I3" s="911"/>
      <c r="J3" s="911"/>
      <c r="K3" s="23"/>
      <c r="L3" s="23"/>
      <c r="M3" s="12"/>
    </row>
    <row r="4" spans="1:13" s="2" customFormat="1" ht="13.5">
      <c r="A4" s="8"/>
      <c r="B4" s="911" t="str">
        <f>VV_Zadanie_SO_01!B4</f>
        <v>Investor:  Mesto Košice, Trieda SNP 48/A, 040 01 Košice</v>
      </c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12"/>
    </row>
    <row r="5" spans="1:13" s="2" customFormat="1" ht="13.5" customHeight="1">
      <c r="A5" s="8"/>
      <c r="B5" s="911" t="str">
        <f>VV_Zadanie_SO_01!B5</f>
        <v>Dodávateľ:</v>
      </c>
      <c r="C5" s="911"/>
      <c r="D5" s="911"/>
      <c r="E5" s="911"/>
      <c r="F5" s="911"/>
      <c r="G5" s="911"/>
      <c r="H5" s="911"/>
      <c r="I5" s="911"/>
      <c r="J5" s="911"/>
      <c r="K5" s="23"/>
      <c r="L5" s="23"/>
      <c r="M5" s="12"/>
    </row>
    <row r="6" spans="1:13" s="2" customFormat="1" ht="13.5" customHeight="1">
      <c r="A6" s="8"/>
      <c r="B6" s="911" t="str">
        <f>VV_Zadanie_SO_01!B6</f>
        <v>Zodp. projektant: Ing. arch. Alexaner Lami</v>
      </c>
      <c r="C6" s="911"/>
      <c r="D6" s="911"/>
      <c r="E6" s="911"/>
      <c r="F6" s="911"/>
      <c r="G6" s="911"/>
      <c r="H6" s="911"/>
      <c r="I6" s="911"/>
      <c r="J6" s="911"/>
      <c r="K6" s="23"/>
      <c r="L6" s="23"/>
      <c r="M6" s="12"/>
    </row>
    <row r="7" spans="1:13" s="2" customFormat="1" ht="13.5" customHeight="1" thickBot="1">
      <c r="A7" s="13"/>
      <c r="B7" s="912" t="s">
        <v>348</v>
      </c>
      <c r="C7" s="913"/>
      <c r="D7" s="913"/>
      <c r="E7" s="913"/>
      <c r="F7" s="913"/>
      <c r="G7" s="913"/>
      <c r="H7" s="913"/>
      <c r="I7" s="913"/>
      <c r="J7" s="24"/>
      <c r="K7" s="24"/>
      <c r="L7" s="25" t="str">
        <f>VV_Zadanie_SO_01!K7</f>
        <v>Dátum: </v>
      </c>
      <c r="M7" s="12"/>
    </row>
    <row r="8" spans="1:13" s="2" customFormat="1" ht="4.5" customHeight="1">
      <c r="A8" s="13"/>
      <c r="B8" s="18"/>
      <c r="C8" s="18"/>
      <c r="D8" s="18"/>
      <c r="E8" s="18"/>
      <c r="F8" s="18"/>
      <c r="G8" s="18"/>
      <c r="H8" s="19"/>
      <c r="I8" s="19"/>
      <c r="J8" s="20"/>
      <c r="K8" s="9"/>
      <c r="L8" s="12"/>
      <c r="M8" s="12"/>
    </row>
    <row r="9" spans="1:13" s="2" customFormat="1" ht="17.25" customHeight="1">
      <c r="A9" s="13"/>
      <c r="B9" s="879" t="s">
        <v>347</v>
      </c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12"/>
    </row>
    <row r="10" spans="1:16" s="1" customFormat="1" ht="9.75" customHeight="1" thickBot="1">
      <c r="A10" s="13"/>
      <c r="B10" s="49"/>
      <c r="C10" s="3"/>
      <c r="D10" s="68" t="s">
        <v>210</v>
      </c>
      <c r="E10" s="3"/>
      <c r="F10" s="50"/>
      <c r="G10" s="51"/>
      <c r="H10" s="52"/>
      <c r="I10" s="3"/>
      <c r="J10" s="3"/>
      <c r="K10" s="3"/>
      <c r="L10" s="3"/>
      <c r="M10" s="9"/>
      <c r="N10" s="9"/>
      <c r="O10" s="8"/>
      <c r="P10" s="17"/>
    </row>
    <row r="11" ht="9.75" customHeight="1"/>
    <row r="12" spans="1:16" s="5" customFormat="1" ht="9.75" customHeight="1" hidden="1" thickBot="1">
      <c r="A12" s="13"/>
      <c r="B12" s="36"/>
      <c r="C12" s="45"/>
      <c r="D12" s="37" t="s">
        <v>344</v>
      </c>
      <c r="E12" s="46"/>
      <c r="F12" s="47"/>
      <c r="G12" s="48"/>
      <c r="H12" s="47"/>
      <c r="I12" s="47"/>
      <c r="J12" s="47"/>
      <c r="K12" s="863" t="s">
        <v>181</v>
      </c>
      <c r="L12" s="864"/>
      <c r="M12" s="15"/>
      <c r="N12" s="15"/>
      <c r="O12" s="12"/>
      <c r="P12" s="17"/>
    </row>
    <row r="13" spans="1:16" s="2" customFormat="1" ht="9.75" customHeight="1" hidden="1">
      <c r="A13" s="13"/>
      <c r="B13" s="851"/>
      <c r="C13" s="852"/>
      <c r="D13" s="28" t="s">
        <v>113</v>
      </c>
      <c r="E13" s="881">
        <f>VV_Zadanie_SO_01!E35</f>
        <v>0</v>
      </c>
      <c r="F13" s="882"/>
      <c r="G13" s="882"/>
      <c r="H13" s="882"/>
      <c r="I13" s="882"/>
      <c r="J13" s="883"/>
      <c r="K13" s="856">
        <f>SUBTOTAL(109,E13:J14)</f>
        <v>0</v>
      </c>
      <c r="L13" s="857"/>
      <c r="M13" s="15"/>
      <c r="N13" s="15"/>
      <c r="O13" s="12"/>
      <c r="P13" s="17"/>
    </row>
    <row r="14" spans="1:16" s="2" customFormat="1" ht="9.75" customHeight="1" hidden="1" thickBot="1">
      <c r="A14" s="14"/>
      <c r="B14" s="853"/>
      <c r="C14" s="854"/>
      <c r="D14" s="27" t="s">
        <v>114</v>
      </c>
      <c r="E14" s="860">
        <f>VV_Zadanie_SO_01!E36</f>
        <v>0</v>
      </c>
      <c r="F14" s="861"/>
      <c r="G14" s="861"/>
      <c r="H14" s="861"/>
      <c r="I14" s="861"/>
      <c r="J14" s="862"/>
      <c r="K14" s="858"/>
      <c r="L14" s="859"/>
      <c r="M14" s="22"/>
      <c r="N14" s="22"/>
      <c r="O14" s="12"/>
      <c r="P14" s="17"/>
    </row>
    <row r="15" ht="9.75" customHeight="1" hidden="1" thickBot="1"/>
    <row r="16" spans="1:16" s="5" customFormat="1" ht="9.75" customHeight="1" hidden="1" thickBot="1">
      <c r="A16" s="14"/>
      <c r="B16" s="36"/>
      <c r="C16" s="32"/>
      <c r="D16" s="37" t="s">
        <v>343</v>
      </c>
      <c r="E16" s="29"/>
      <c r="F16" s="30"/>
      <c r="G16" s="43"/>
      <c r="H16" s="30"/>
      <c r="I16" s="30"/>
      <c r="J16" s="30"/>
      <c r="K16" s="863" t="s">
        <v>181</v>
      </c>
      <c r="L16" s="864"/>
      <c r="M16" s="16"/>
      <c r="N16" s="16"/>
      <c r="O16" s="7"/>
      <c r="P16" s="17"/>
    </row>
    <row r="17" spans="1:16" s="2" customFormat="1" ht="9.75" customHeight="1" hidden="1">
      <c r="A17" s="13"/>
      <c r="B17" s="851"/>
      <c r="C17" s="852"/>
      <c r="D17" s="28" t="s">
        <v>113</v>
      </c>
      <c r="E17" s="855">
        <f>VV_Zadanie_SO_01!E108</f>
        <v>0</v>
      </c>
      <c r="F17" s="855"/>
      <c r="G17" s="855"/>
      <c r="H17" s="855"/>
      <c r="I17" s="855"/>
      <c r="J17" s="855"/>
      <c r="K17" s="856">
        <f>SUBTOTAL(109,E17:J18)</f>
        <v>0</v>
      </c>
      <c r="L17" s="857"/>
      <c r="M17" s="15"/>
      <c r="N17" s="15"/>
      <c r="O17" s="12"/>
      <c r="P17" s="17"/>
    </row>
    <row r="18" spans="1:16" s="2" customFormat="1" ht="9.75" customHeight="1" hidden="1" thickBot="1">
      <c r="A18" s="14"/>
      <c r="B18" s="853"/>
      <c r="C18" s="854"/>
      <c r="D18" s="27" t="s">
        <v>114</v>
      </c>
      <c r="E18" s="860">
        <f>VV_Zadanie_SO_01!E109</f>
        <v>0</v>
      </c>
      <c r="F18" s="861"/>
      <c r="G18" s="861"/>
      <c r="H18" s="861"/>
      <c r="I18" s="861"/>
      <c r="J18" s="862"/>
      <c r="K18" s="858"/>
      <c r="L18" s="859"/>
      <c r="M18" s="22"/>
      <c r="N18" s="22"/>
      <c r="O18" s="12"/>
      <c r="P18" s="17"/>
    </row>
    <row r="19" ht="9.75" customHeight="1" thickBot="1"/>
    <row r="20" spans="1:16" s="5" customFormat="1" ht="9.75" customHeight="1" thickBot="1">
      <c r="A20" s="14"/>
      <c r="B20" s="36"/>
      <c r="C20" s="32"/>
      <c r="D20" s="39" t="s">
        <v>211</v>
      </c>
      <c r="E20" s="29"/>
      <c r="F20" s="30"/>
      <c r="G20" s="43"/>
      <c r="H20" s="30"/>
      <c r="I20" s="30"/>
      <c r="J20" s="30"/>
      <c r="K20" s="863" t="s">
        <v>181</v>
      </c>
      <c r="L20" s="864"/>
      <c r="M20" s="16"/>
      <c r="N20" s="16"/>
      <c r="O20" s="7"/>
      <c r="P20" s="17"/>
    </row>
    <row r="21" spans="1:16" s="2" customFormat="1" ht="9.75" customHeight="1">
      <c r="A21" s="14"/>
      <c r="B21" s="865"/>
      <c r="C21" s="866"/>
      <c r="D21" s="42" t="s">
        <v>45</v>
      </c>
      <c r="E21" s="898">
        <f>VV_Zadanie_SO_01!E112</f>
        <v>0</v>
      </c>
      <c r="F21" s="898"/>
      <c r="G21" s="898"/>
      <c r="H21" s="898"/>
      <c r="I21" s="898"/>
      <c r="J21" s="899"/>
      <c r="K21" s="871">
        <f>SUBTOTAL(109,E21:J22)</f>
        <v>0</v>
      </c>
      <c r="L21" s="872"/>
      <c r="M21" s="15"/>
      <c r="N21" s="15"/>
      <c r="O21" s="12"/>
      <c r="P21" s="17"/>
    </row>
    <row r="22" spans="1:16" s="2" customFormat="1" ht="9.75" customHeight="1" thickBot="1">
      <c r="A22" s="14"/>
      <c r="B22" s="867"/>
      <c r="C22" s="868"/>
      <c r="D22" s="41" t="s">
        <v>51</v>
      </c>
      <c r="E22" s="903">
        <f>VV_Zadanie_SO_01!E113</f>
        <v>0</v>
      </c>
      <c r="F22" s="910"/>
      <c r="G22" s="910"/>
      <c r="H22" s="910"/>
      <c r="I22" s="910"/>
      <c r="J22" s="910"/>
      <c r="K22" s="873"/>
      <c r="L22" s="874"/>
      <c r="M22" s="22"/>
      <c r="N22" s="22"/>
      <c r="O22" s="12"/>
      <c r="P22" s="17"/>
    </row>
    <row r="23" ht="9.75" customHeight="1"/>
    <row r="24" spans="1:16" s="6" customFormat="1" ht="9.75" customHeight="1" thickBot="1">
      <c r="A24" s="13"/>
      <c r="B24" s="31"/>
      <c r="C24" s="14"/>
      <c r="D24" s="38" t="s">
        <v>62</v>
      </c>
      <c r="E24" s="34"/>
      <c r="F24" s="34"/>
      <c r="G24" s="3"/>
      <c r="H24" s="34"/>
      <c r="I24" s="34"/>
      <c r="J24" s="34"/>
      <c r="K24" s="34"/>
      <c r="L24" s="34"/>
      <c r="M24" s="9"/>
      <c r="N24" s="9"/>
      <c r="O24" s="8"/>
      <c r="P24" s="17"/>
    </row>
    <row r="25" ht="9.75" customHeight="1" hidden="1" thickBot="1"/>
    <row r="26" spans="1:16" s="5" customFormat="1" ht="9.75" customHeight="1" hidden="1" thickBot="1">
      <c r="A26" s="14"/>
      <c r="B26" s="36"/>
      <c r="C26" s="32"/>
      <c r="D26" s="67" t="s">
        <v>156</v>
      </c>
      <c r="E26" s="33"/>
      <c r="F26" s="33"/>
      <c r="G26" s="44"/>
      <c r="H26" s="33"/>
      <c r="I26" s="33"/>
      <c r="J26" s="33"/>
      <c r="K26" s="863" t="s">
        <v>181</v>
      </c>
      <c r="L26" s="864"/>
      <c r="M26" s="16"/>
      <c r="N26" s="16"/>
      <c r="O26" s="7"/>
      <c r="P26" s="17"/>
    </row>
    <row r="27" spans="1:16" s="2" customFormat="1" ht="9.75" customHeight="1" hidden="1">
      <c r="A27" s="13"/>
      <c r="B27" s="851"/>
      <c r="C27" s="852"/>
      <c r="D27" s="28" t="s">
        <v>113</v>
      </c>
      <c r="E27" s="855">
        <f>VV_Zadanie_SO_01!E142</f>
        <v>0</v>
      </c>
      <c r="F27" s="855"/>
      <c r="G27" s="855"/>
      <c r="H27" s="855"/>
      <c r="I27" s="855"/>
      <c r="J27" s="855"/>
      <c r="K27" s="856">
        <f>SUBTOTAL(109,E27:J29)</f>
        <v>0</v>
      </c>
      <c r="L27" s="857"/>
      <c r="M27" s="15"/>
      <c r="N27" s="15"/>
      <c r="O27" s="12"/>
      <c r="P27" s="17"/>
    </row>
    <row r="28" spans="1:16" s="2" customFormat="1" ht="9.75" customHeight="1" hidden="1">
      <c r="A28" s="14"/>
      <c r="B28" s="905"/>
      <c r="C28" s="906"/>
      <c r="D28" s="28" t="s">
        <v>114</v>
      </c>
      <c r="E28" s="881">
        <f>VV_Zadanie_SO_01!E143</f>
        <v>0</v>
      </c>
      <c r="F28" s="882"/>
      <c r="G28" s="882"/>
      <c r="H28" s="882"/>
      <c r="I28" s="882"/>
      <c r="J28" s="883"/>
      <c r="K28" s="907"/>
      <c r="L28" s="908"/>
      <c r="M28" s="22"/>
      <c r="N28" s="22"/>
      <c r="O28" s="12"/>
      <c r="P28" s="17"/>
    </row>
    <row r="29" spans="1:16" s="2" customFormat="1" ht="9.75" customHeight="1" hidden="1" thickBot="1">
      <c r="A29" s="14"/>
      <c r="B29" s="853"/>
      <c r="C29" s="854"/>
      <c r="D29" s="27" t="s">
        <v>116</v>
      </c>
      <c r="E29" s="860">
        <f>VV_Zadanie_SO_01!E144</f>
        <v>0</v>
      </c>
      <c r="F29" s="861"/>
      <c r="G29" s="861"/>
      <c r="H29" s="861"/>
      <c r="I29" s="861"/>
      <c r="J29" s="862"/>
      <c r="K29" s="858"/>
      <c r="L29" s="859"/>
      <c r="M29" s="22"/>
      <c r="N29" s="22"/>
      <c r="O29" s="12"/>
      <c r="P29" s="17"/>
    </row>
    <row r="30" ht="9.75" customHeight="1"/>
    <row r="31" spans="1:16" s="5" customFormat="1" ht="9.75" customHeight="1" hidden="1" thickBot="1">
      <c r="A31" s="14"/>
      <c r="B31" s="36"/>
      <c r="C31" s="32"/>
      <c r="D31" s="54" t="s">
        <v>157</v>
      </c>
      <c r="E31" s="33"/>
      <c r="F31" s="33"/>
      <c r="G31" s="44"/>
      <c r="H31" s="33"/>
      <c r="I31" s="33"/>
      <c r="J31" s="33"/>
      <c r="K31" s="863" t="s">
        <v>181</v>
      </c>
      <c r="L31" s="864"/>
      <c r="M31" s="16"/>
      <c r="N31" s="16"/>
      <c r="O31" s="7"/>
      <c r="P31" s="17"/>
    </row>
    <row r="32" spans="1:16" s="2" customFormat="1" ht="9.75" customHeight="1" hidden="1">
      <c r="A32" s="13"/>
      <c r="B32" s="851"/>
      <c r="C32" s="852"/>
      <c r="D32" s="28" t="s">
        <v>113</v>
      </c>
      <c r="E32" s="855">
        <f>VV_Zadanie_SO_01!E178</f>
        <v>0</v>
      </c>
      <c r="F32" s="855"/>
      <c r="G32" s="855"/>
      <c r="H32" s="855"/>
      <c r="I32" s="855"/>
      <c r="J32" s="855"/>
      <c r="K32" s="856">
        <f>SUBTOTAL(109,E32:J34)</f>
        <v>0</v>
      </c>
      <c r="L32" s="857"/>
      <c r="M32" s="15"/>
      <c r="N32" s="15"/>
      <c r="O32" s="12"/>
      <c r="P32" s="17"/>
    </row>
    <row r="33" spans="1:16" s="2" customFormat="1" ht="9.75" customHeight="1" hidden="1">
      <c r="A33" s="14"/>
      <c r="B33" s="905"/>
      <c r="C33" s="906"/>
      <c r="D33" s="28" t="s">
        <v>114</v>
      </c>
      <c r="E33" s="881">
        <f>VV_Zadanie_SO_01!E179</f>
        <v>0</v>
      </c>
      <c r="F33" s="882"/>
      <c r="G33" s="882"/>
      <c r="H33" s="882"/>
      <c r="I33" s="882"/>
      <c r="J33" s="883"/>
      <c r="K33" s="907"/>
      <c r="L33" s="908"/>
      <c r="M33" s="22"/>
      <c r="N33" s="22"/>
      <c r="O33" s="12"/>
      <c r="P33" s="17"/>
    </row>
    <row r="34" spans="1:16" s="2" customFormat="1" ht="9.75" customHeight="1" hidden="1" thickBot="1">
      <c r="A34" s="14"/>
      <c r="B34" s="853"/>
      <c r="C34" s="854"/>
      <c r="D34" s="27" t="s">
        <v>116</v>
      </c>
      <c r="E34" s="860">
        <f>VV_Zadanie_SO_01!E180</f>
        <v>0</v>
      </c>
      <c r="F34" s="861"/>
      <c r="G34" s="861"/>
      <c r="H34" s="861"/>
      <c r="I34" s="861"/>
      <c r="J34" s="862"/>
      <c r="K34" s="858"/>
      <c r="L34" s="859"/>
      <c r="M34" s="22"/>
      <c r="N34" s="22"/>
      <c r="O34" s="12"/>
      <c r="P34" s="17"/>
    </row>
    <row r="35" ht="9.75" customHeight="1" hidden="1" thickBot="1"/>
    <row r="36" spans="1:16" s="5" customFormat="1" ht="9.75" customHeight="1" hidden="1" thickBot="1">
      <c r="A36" s="14"/>
      <c r="B36" s="36"/>
      <c r="C36" s="32"/>
      <c r="D36" s="66" t="s">
        <v>183</v>
      </c>
      <c r="E36" s="33"/>
      <c r="F36" s="33"/>
      <c r="G36" s="44"/>
      <c r="H36" s="33"/>
      <c r="I36" s="33"/>
      <c r="J36" s="33"/>
      <c r="K36" s="863" t="s">
        <v>181</v>
      </c>
      <c r="L36" s="864"/>
      <c r="M36" s="16"/>
      <c r="N36" s="16"/>
      <c r="O36" s="7"/>
      <c r="P36" s="17"/>
    </row>
    <row r="37" spans="1:16" s="2" customFormat="1" ht="9.75" customHeight="1" hidden="1">
      <c r="A37" s="13"/>
      <c r="B37" s="851"/>
      <c r="C37" s="852"/>
      <c r="D37" s="28" t="s">
        <v>113</v>
      </c>
      <c r="E37" s="855">
        <f>VV_Zadanie_SO_01!E227</f>
        <v>0</v>
      </c>
      <c r="F37" s="855"/>
      <c r="G37" s="855"/>
      <c r="H37" s="855"/>
      <c r="I37" s="855"/>
      <c r="J37" s="855"/>
      <c r="K37" s="856">
        <f>SUBTOTAL(109,E37:J39)</f>
        <v>0</v>
      </c>
      <c r="L37" s="857"/>
      <c r="M37" s="15"/>
      <c r="N37" s="15"/>
      <c r="O37" s="12"/>
      <c r="P37" s="17"/>
    </row>
    <row r="38" spans="1:16" s="2" customFormat="1" ht="9.75" customHeight="1" hidden="1">
      <c r="A38" s="14"/>
      <c r="B38" s="905"/>
      <c r="C38" s="906"/>
      <c r="D38" s="28" t="s">
        <v>114</v>
      </c>
      <c r="E38" s="881">
        <f>VV_Zadanie_SO_01!E228</f>
        <v>0</v>
      </c>
      <c r="F38" s="882"/>
      <c r="G38" s="882"/>
      <c r="H38" s="882"/>
      <c r="I38" s="882"/>
      <c r="J38" s="883"/>
      <c r="K38" s="907"/>
      <c r="L38" s="908"/>
      <c r="M38" s="22"/>
      <c r="N38" s="22"/>
      <c r="O38" s="12"/>
      <c r="P38" s="17"/>
    </row>
    <row r="39" spans="1:16" s="2" customFormat="1" ht="9.75" customHeight="1" hidden="1" thickBot="1">
      <c r="A39" s="14"/>
      <c r="B39" s="853"/>
      <c r="C39" s="854"/>
      <c r="D39" s="27" t="s">
        <v>116</v>
      </c>
      <c r="E39" s="909">
        <f>VV_Zadanie_SO_01!E229</f>
        <v>0</v>
      </c>
      <c r="F39" s="861"/>
      <c r="G39" s="861"/>
      <c r="H39" s="861"/>
      <c r="I39" s="861"/>
      <c r="J39" s="862"/>
      <c r="K39" s="858"/>
      <c r="L39" s="859"/>
      <c r="M39" s="22"/>
      <c r="N39" s="22"/>
      <c r="O39" s="12"/>
      <c r="P39" s="17"/>
    </row>
    <row r="40" spans="1:16" s="2" customFormat="1" ht="9.75" customHeight="1" hidden="1" thickBot="1">
      <c r="A40" s="14"/>
      <c r="B40" s="35"/>
      <c r="C40" s="35"/>
      <c r="D40" s="26"/>
      <c r="E40" s="63"/>
      <c r="F40" s="64"/>
      <c r="G40" s="64"/>
      <c r="H40" s="64"/>
      <c r="I40" s="64"/>
      <c r="J40" s="64"/>
      <c r="K40" s="59"/>
      <c r="L40" s="59"/>
      <c r="M40" s="22"/>
      <c r="N40" s="22"/>
      <c r="O40" s="12"/>
      <c r="P40" s="17"/>
    </row>
    <row r="41" spans="1:16" s="5" customFormat="1" ht="9.75" customHeight="1" hidden="1" thickBot="1">
      <c r="A41" s="14"/>
      <c r="B41" s="36"/>
      <c r="C41" s="32"/>
      <c r="D41" s="65" t="s">
        <v>204</v>
      </c>
      <c r="E41" s="33"/>
      <c r="F41" s="33"/>
      <c r="G41" s="44"/>
      <c r="H41" s="33"/>
      <c r="I41" s="33"/>
      <c r="J41" s="33"/>
      <c r="K41" s="863" t="s">
        <v>181</v>
      </c>
      <c r="L41" s="864"/>
      <c r="M41" s="16"/>
      <c r="N41" s="16"/>
      <c r="O41" s="7"/>
      <c r="P41" s="17"/>
    </row>
    <row r="42" spans="1:16" s="2" customFormat="1" ht="9.75" customHeight="1" hidden="1">
      <c r="A42" s="13"/>
      <c r="B42" s="851"/>
      <c r="C42" s="852"/>
      <c r="D42" s="28" t="s">
        <v>113</v>
      </c>
      <c r="E42" s="855">
        <f>VV_Zadanie_SO_01!E272</f>
        <v>0</v>
      </c>
      <c r="F42" s="855"/>
      <c r="G42" s="855"/>
      <c r="H42" s="855"/>
      <c r="I42" s="855"/>
      <c r="J42" s="855"/>
      <c r="K42" s="856">
        <f>SUBTOTAL(109,E42:J44)</f>
        <v>0</v>
      </c>
      <c r="L42" s="857"/>
      <c r="M42" s="15"/>
      <c r="N42" s="15"/>
      <c r="O42" s="12"/>
      <c r="P42" s="17"/>
    </row>
    <row r="43" spans="1:16" s="2" customFormat="1" ht="9.75" customHeight="1" hidden="1">
      <c r="A43" s="14"/>
      <c r="B43" s="905"/>
      <c r="C43" s="906"/>
      <c r="D43" s="28" t="s">
        <v>114</v>
      </c>
      <c r="E43" s="881">
        <f>VV_Zadanie_SO_01!E273</f>
        <v>0</v>
      </c>
      <c r="F43" s="882"/>
      <c r="G43" s="882"/>
      <c r="H43" s="882"/>
      <c r="I43" s="882"/>
      <c r="J43" s="883"/>
      <c r="K43" s="907"/>
      <c r="L43" s="908"/>
      <c r="M43" s="22"/>
      <c r="N43" s="22"/>
      <c r="O43" s="12"/>
      <c r="P43" s="17"/>
    </row>
    <row r="44" spans="1:16" s="2" customFormat="1" ht="9.75" customHeight="1" hidden="1" thickBot="1">
      <c r="A44" s="14"/>
      <c r="B44" s="853"/>
      <c r="C44" s="854"/>
      <c r="D44" s="27" t="s">
        <v>116</v>
      </c>
      <c r="E44" s="909">
        <f>VV_Zadanie_SO_01!E274</f>
        <v>0</v>
      </c>
      <c r="F44" s="861"/>
      <c r="G44" s="861"/>
      <c r="H44" s="861"/>
      <c r="I44" s="861"/>
      <c r="J44" s="862"/>
      <c r="K44" s="858"/>
      <c r="L44" s="859"/>
      <c r="M44" s="22"/>
      <c r="N44" s="22"/>
      <c r="O44" s="12"/>
      <c r="P44" s="17"/>
    </row>
    <row r="45" ht="9.75" customHeight="1" hidden="1" thickBot="1"/>
    <row r="46" spans="1:16" s="5" customFormat="1" ht="9.75" customHeight="1" hidden="1" thickBot="1">
      <c r="A46" s="14"/>
      <c r="B46" s="36"/>
      <c r="C46" s="32"/>
      <c r="D46" s="53" t="s">
        <v>182</v>
      </c>
      <c r="E46" s="33"/>
      <c r="F46" s="33"/>
      <c r="G46" s="44"/>
      <c r="H46" s="33"/>
      <c r="I46" s="33"/>
      <c r="J46" s="33"/>
      <c r="K46" s="863" t="s">
        <v>181</v>
      </c>
      <c r="L46" s="864"/>
      <c r="M46" s="16"/>
      <c r="N46" s="16"/>
      <c r="O46" s="7"/>
      <c r="P46" s="17"/>
    </row>
    <row r="47" spans="1:16" s="2" customFormat="1" ht="9.75" customHeight="1" hidden="1">
      <c r="A47" s="13"/>
      <c r="B47" s="851"/>
      <c r="C47" s="852"/>
      <c r="D47" s="28" t="s">
        <v>113</v>
      </c>
      <c r="E47" s="855">
        <f>VV_Zadanie_SO_01!E351+VV_Zadanie_SO_01!E333+VV_Zadanie_SO_01!E312+VV_Zadanie_SO_01!E291</f>
        <v>0</v>
      </c>
      <c r="F47" s="855"/>
      <c r="G47" s="855"/>
      <c r="H47" s="855"/>
      <c r="I47" s="855"/>
      <c r="J47" s="855"/>
      <c r="K47" s="856">
        <f>SUBTOTAL(109,E47:J48)</f>
        <v>0</v>
      </c>
      <c r="L47" s="857"/>
      <c r="M47" s="15"/>
      <c r="N47" s="15"/>
      <c r="O47" s="12"/>
      <c r="P47" s="17"/>
    </row>
    <row r="48" spans="1:16" s="2" customFormat="1" ht="9.75" customHeight="1" hidden="1" thickBot="1">
      <c r="A48" s="14"/>
      <c r="B48" s="853"/>
      <c r="C48" s="854"/>
      <c r="D48" s="27" t="s">
        <v>114</v>
      </c>
      <c r="E48" s="904">
        <f>VV_Zadanie_SO_01!E352+VV_Zadanie_SO_01!E334+VV_Zadanie_SO_01!E313+VV_Zadanie_SO_01!E292</f>
        <v>0</v>
      </c>
      <c r="F48" s="904"/>
      <c r="G48" s="904"/>
      <c r="H48" s="904"/>
      <c r="I48" s="904"/>
      <c r="J48" s="904"/>
      <c r="K48" s="858"/>
      <c r="L48" s="859"/>
      <c r="M48" s="22"/>
      <c r="N48" s="22"/>
      <c r="O48" s="12"/>
      <c r="P48" s="17"/>
    </row>
    <row r="49" ht="9.75" customHeight="1" hidden="1" thickBot="1"/>
    <row r="50" spans="1:16" s="5" customFormat="1" ht="9.75" customHeight="1" hidden="1" thickBot="1">
      <c r="A50" s="14"/>
      <c r="B50" s="36"/>
      <c r="C50" s="32"/>
      <c r="D50" s="37" t="s">
        <v>184</v>
      </c>
      <c r="E50" s="33"/>
      <c r="F50" s="33"/>
      <c r="G50" s="44"/>
      <c r="H50" s="33"/>
      <c r="I50" s="33"/>
      <c r="J50" s="33"/>
      <c r="K50" s="863" t="s">
        <v>181</v>
      </c>
      <c r="L50" s="864"/>
      <c r="M50" s="16"/>
      <c r="N50" s="16"/>
      <c r="O50" s="7"/>
      <c r="P50" s="17"/>
    </row>
    <row r="51" spans="1:16" s="2" customFormat="1" ht="9.75" customHeight="1" hidden="1">
      <c r="A51" s="13"/>
      <c r="B51" s="851"/>
      <c r="C51" s="852"/>
      <c r="D51" s="884" t="s">
        <v>113</v>
      </c>
      <c r="E51" s="886">
        <f>VV_Zadanie_SO_01!E361</f>
        <v>0</v>
      </c>
      <c r="F51" s="887"/>
      <c r="G51" s="887"/>
      <c r="H51" s="887"/>
      <c r="I51" s="887"/>
      <c r="J51" s="888"/>
      <c r="K51" s="856">
        <f>SUBTOTAL(109,E51)</f>
        <v>0</v>
      </c>
      <c r="L51" s="857"/>
      <c r="M51" s="15"/>
      <c r="N51" s="15"/>
      <c r="O51" s="12"/>
      <c r="P51" s="17"/>
    </row>
    <row r="52" spans="1:16" s="2" customFormat="1" ht="9.75" customHeight="1" hidden="1" thickBot="1">
      <c r="A52" s="14"/>
      <c r="B52" s="853"/>
      <c r="C52" s="854"/>
      <c r="D52" s="885"/>
      <c r="E52" s="889"/>
      <c r="F52" s="890"/>
      <c r="G52" s="890"/>
      <c r="H52" s="890"/>
      <c r="I52" s="890"/>
      <c r="J52" s="891"/>
      <c r="K52" s="858"/>
      <c r="L52" s="859"/>
      <c r="M52" s="22"/>
      <c r="N52" s="22"/>
      <c r="O52" s="12"/>
      <c r="P52" s="17"/>
    </row>
    <row r="53" spans="1:16" s="2" customFormat="1" ht="9.75" customHeight="1" thickBot="1">
      <c r="A53" s="14"/>
      <c r="B53" s="35"/>
      <c r="C53" s="35"/>
      <c r="D53" s="57"/>
      <c r="E53" s="58"/>
      <c r="F53" s="58"/>
      <c r="G53" s="58"/>
      <c r="H53" s="58"/>
      <c r="I53" s="58"/>
      <c r="J53" s="58"/>
      <c r="K53" s="59"/>
      <c r="L53" s="59"/>
      <c r="M53" s="22"/>
      <c r="N53" s="22"/>
      <c r="O53" s="12"/>
      <c r="P53" s="17"/>
    </row>
    <row r="54" spans="1:16" s="5" customFormat="1" ht="9.75" customHeight="1" thickBot="1">
      <c r="A54" s="14"/>
      <c r="B54" s="60"/>
      <c r="C54" s="61"/>
      <c r="D54" s="62" t="s">
        <v>120</v>
      </c>
      <c r="E54" s="33"/>
      <c r="F54" s="33"/>
      <c r="G54" s="44"/>
      <c r="H54" s="33"/>
      <c r="I54" s="33"/>
      <c r="J54" s="33"/>
      <c r="K54" s="892" t="s">
        <v>181</v>
      </c>
      <c r="L54" s="893"/>
      <c r="M54" s="16"/>
      <c r="N54" s="16"/>
      <c r="O54" s="7"/>
      <c r="P54" s="17"/>
    </row>
    <row r="55" spans="1:16" s="2" customFormat="1" ht="9.75" customHeight="1">
      <c r="A55" s="14"/>
      <c r="B55" s="894"/>
      <c r="C55" s="895"/>
      <c r="D55" s="40" t="s">
        <v>45</v>
      </c>
      <c r="E55" s="898">
        <f>VV_Zadanie_SO_01!E364</f>
        <v>0</v>
      </c>
      <c r="F55" s="898"/>
      <c r="G55" s="898"/>
      <c r="H55" s="898"/>
      <c r="I55" s="898"/>
      <c r="J55" s="899"/>
      <c r="K55" s="871">
        <f>SUBTOTAL(109,E55:J57)</f>
        <v>0</v>
      </c>
      <c r="L55" s="872"/>
      <c r="M55" s="15"/>
      <c r="N55" s="15"/>
      <c r="O55" s="12"/>
      <c r="P55" s="17"/>
    </row>
    <row r="56" spans="1:16" s="2" customFormat="1" ht="9.75" customHeight="1">
      <c r="A56" s="14"/>
      <c r="B56" s="894"/>
      <c r="C56" s="895"/>
      <c r="D56" s="40" t="s">
        <v>51</v>
      </c>
      <c r="E56" s="898">
        <f>VV_Zadanie_SO_01!E365</f>
        <v>0</v>
      </c>
      <c r="F56" s="898"/>
      <c r="G56" s="898"/>
      <c r="H56" s="898"/>
      <c r="I56" s="898"/>
      <c r="J56" s="899"/>
      <c r="K56" s="900"/>
      <c r="L56" s="901"/>
      <c r="M56" s="22"/>
      <c r="N56" s="22"/>
      <c r="O56" s="12"/>
      <c r="P56" s="17"/>
    </row>
    <row r="57" spans="1:16" s="2" customFormat="1" ht="9.75" customHeight="1" thickBot="1">
      <c r="A57" s="14"/>
      <c r="B57" s="896"/>
      <c r="C57" s="897"/>
      <c r="D57" s="41" t="s">
        <v>51</v>
      </c>
      <c r="E57" s="902">
        <f>VV_Zadanie_SO_01!E366</f>
        <v>0</v>
      </c>
      <c r="F57" s="902"/>
      <c r="G57" s="902"/>
      <c r="H57" s="902"/>
      <c r="I57" s="902"/>
      <c r="J57" s="903"/>
      <c r="K57" s="873"/>
      <c r="L57" s="874"/>
      <c r="M57" s="22"/>
      <c r="N57" s="22"/>
      <c r="O57" s="12"/>
      <c r="P57" s="17"/>
    </row>
    <row r="58" spans="1:16" s="2" customFormat="1" ht="10.5" customHeight="1">
      <c r="A58" s="14"/>
      <c r="B58" s="35"/>
      <c r="C58" s="35"/>
      <c r="D58" s="57"/>
      <c r="E58" s="58"/>
      <c r="F58" s="58"/>
      <c r="G58" s="58"/>
      <c r="H58" s="58"/>
      <c r="I58" s="58"/>
      <c r="J58" s="58"/>
      <c r="K58" s="59"/>
      <c r="L58" s="59"/>
      <c r="M58" s="22"/>
      <c r="N58" s="22"/>
      <c r="O58" s="12"/>
      <c r="P58" s="17"/>
    </row>
    <row r="59" spans="1:13" s="2" customFormat="1" ht="17.25" customHeight="1">
      <c r="A59" s="13"/>
      <c r="B59" s="879" t="s">
        <v>349</v>
      </c>
      <c r="C59" s="880"/>
      <c r="D59" s="880"/>
      <c r="E59" s="880"/>
      <c r="F59" s="880"/>
      <c r="G59" s="880"/>
      <c r="H59" s="880"/>
      <c r="I59" s="880"/>
      <c r="J59" s="880"/>
      <c r="K59" s="880"/>
      <c r="L59" s="880"/>
      <c r="M59" s="12"/>
    </row>
    <row r="60" spans="1:16" s="1" customFormat="1" ht="9.75" customHeight="1" hidden="1" thickBot="1">
      <c r="A60" s="13"/>
      <c r="B60" s="49"/>
      <c r="C60" s="3"/>
      <c r="D60" s="68" t="s">
        <v>210</v>
      </c>
      <c r="E60" s="3"/>
      <c r="F60" s="50"/>
      <c r="G60" s="51"/>
      <c r="H60" s="52"/>
      <c r="I60" s="3"/>
      <c r="J60" s="3"/>
      <c r="K60" s="3"/>
      <c r="L60" s="3"/>
      <c r="M60" s="9"/>
      <c r="N60" s="9"/>
      <c r="O60" s="8"/>
      <c r="P60" s="17"/>
    </row>
    <row r="61" ht="9.75" customHeight="1" hidden="1"/>
    <row r="62" spans="1:16" s="5" customFormat="1" ht="9.75" customHeight="1" hidden="1">
      <c r="A62" s="13"/>
      <c r="B62" s="36"/>
      <c r="C62" s="45"/>
      <c r="D62" s="37" t="s">
        <v>344</v>
      </c>
      <c r="E62" s="46"/>
      <c r="F62" s="47"/>
      <c r="G62" s="48"/>
      <c r="H62" s="47"/>
      <c r="I62" s="47"/>
      <c r="J62" s="47"/>
      <c r="K62" s="863" t="s">
        <v>181</v>
      </c>
      <c r="L62" s="864"/>
      <c r="M62" s="15"/>
      <c r="N62" s="15"/>
      <c r="O62" s="12"/>
      <c r="P62" s="17"/>
    </row>
    <row r="63" spans="1:16" s="2" customFormat="1" ht="9.75" customHeight="1" hidden="1">
      <c r="A63" s="13"/>
      <c r="B63" s="851"/>
      <c r="C63" s="852"/>
      <c r="D63" s="28" t="s">
        <v>113</v>
      </c>
      <c r="E63" s="881" t="str">
        <f>VV_Zadanie_SO_01!E85</f>
        <v>sub.</v>
      </c>
      <c r="F63" s="882"/>
      <c r="G63" s="882"/>
      <c r="H63" s="882"/>
      <c r="I63" s="882"/>
      <c r="J63" s="883"/>
      <c r="K63" s="856">
        <f>SUBTOTAL(109,E63:J64)</f>
        <v>0</v>
      </c>
      <c r="L63" s="857"/>
      <c r="M63" s="15"/>
      <c r="N63" s="15"/>
      <c r="O63" s="12"/>
      <c r="P63" s="17"/>
    </row>
    <row r="64" spans="1:16" s="2" customFormat="1" ht="9.75" customHeight="1" hidden="1">
      <c r="A64" s="14"/>
      <c r="B64" s="853"/>
      <c r="C64" s="854"/>
      <c r="D64" s="27" t="s">
        <v>114</v>
      </c>
      <c r="E64" s="860" t="str">
        <f>VV_Zadanie_SO_01!E86</f>
        <v>m²</v>
      </c>
      <c r="F64" s="861"/>
      <c r="G64" s="861"/>
      <c r="H64" s="861"/>
      <c r="I64" s="861"/>
      <c r="J64" s="862"/>
      <c r="K64" s="858"/>
      <c r="L64" s="859"/>
      <c r="M64" s="22"/>
      <c r="N64" s="22"/>
      <c r="O64" s="12"/>
      <c r="P64" s="17"/>
    </row>
    <row r="65" ht="9.75" customHeight="1" hidden="1"/>
    <row r="66" spans="1:16" s="5" customFormat="1" ht="9.75" customHeight="1" hidden="1">
      <c r="A66" s="14"/>
      <c r="B66" s="36"/>
      <c r="C66" s="32"/>
      <c r="D66" s="37" t="s">
        <v>343</v>
      </c>
      <c r="E66" s="29"/>
      <c r="F66" s="30"/>
      <c r="G66" s="43"/>
      <c r="H66" s="30"/>
      <c r="I66" s="30"/>
      <c r="J66" s="30"/>
      <c r="K66" s="863" t="s">
        <v>181</v>
      </c>
      <c r="L66" s="864"/>
      <c r="M66" s="16"/>
      <c r="N66" s="16"/>
      <c r="O66" s="7"/>
      <c r="P66" s="17"/>
    </row>
    <row r="67" spans="1:16" s="2" customFormat="1" ht="9.75" customHeight="1" hidden="1">
      <c r="A67" s="13"/>
      <c r="B67" s="851"/>
      <c r="C67" s="852"/>
      <c r="D67" s="28" t="s">
        <v>113</v>
      </c>
      <c r="E67" s="855" t="str">
        <f>VV_Zadanie_SO_01!E158</f>
        <v>t</v>
      </c>
      <c r="F67" s="855"/>
      <c r="G67" s="855"/>
      <c r="H67" s="855"/>
      <c r="I67" s="855"/>
      <c r="J67" s="855"/>
      <c r="K67" s="856">
        <f>SUBTOTAL(109,E67:J68)</f>
        <v>0</v>
      </c>
      <c r="L67" s="857"/>
      <c r="M67" s="15"/>
      <c r="N67" s="15"/>
      <c r="O67" s="12"/>
      <c r="P67" s="17"/>
    </row>
    <row r="68" spans="1:16" s="2" customFormat="1" ht="9.75" customHeight="1" hidden="1">
      <c r="A68" s="14"/>
      <c r="B68" s="853"/>
      <c r="C68" s="854"/>
      <c r="D68" s="27" t="s">
        <v>114</v>
      </c>
      <c r="E68" s="860" t="str">
        <f>VV_Zadanie_SO_01!E159</f>
        <v>ks</v>
      </c>
      <c r="F68" s="861"/>
      <c r="G68" s="861"/>
      <c r="H68" s="861"/>
      <c r="I68" s="861"/>
      <c r="J68" s="862"/>
      <c r="K68" s="858"/>
      <c r="L68" s="859"/>
      <c r="M68" s="22"/>
      <c r="N68" s="22"/>
      <c r="O68" s="12"/>
      <c r="P68" s="17"/>
    </row>
    <row r="69" ht="9.75" customHeight="1" thickBot="1"/>
    <row r="70" spans="1:16" s="5" customFormat="1" ht="9.75" customHeight="1" thickBot="1">
      <c r="A70" s="14"/>
      <c r="B70" s="36"/>
      <c r="C70" s="32"/>
      <c r="D70" s="39" t="s">
        <v>350</v>
      </c>
      <c r="E70" s="29"/>
      <c r="F70" s="30"/>
      <c r="G70" s="43"/>
      <c r="H70" s="30"/>
      <c r="I70" s="30"/>
      <c r="J70" s="30"/>
      <c r="K70" s="863" t="s">
        <v>181</v>
      </c>
      <c r="L70" s="864"/>
      <c r="M70" s="16"/>
      <c r="N70" s="16"/>
      <c r="O70" s="7"/>
      <c r="P70" s="17"/>
    </row>
    <row r="71" spans="1:16" s="2" customFormat="1" ht="9.75" customHeight="1">
      <c r="A71" s="14"/>
      <c r="B71" s="865"/>
      <c r="C71" s="866"/>
      <c r="D71" s="42" t="s">
        <v>45</v>
      </c>
      <c r="E71" s="869">
        <f>VV_Zadanie_SO_02!H107</f>
        <v>0</v>
      </c>
      <c r="F71" s="869"/>
      <c r="G71" s="869"/>
      <c r="H71" s="869"/>
      <c r="I71" s="869"/>
      <c r="J71" s="870"/>
      <c r="K71" s="871">
        <f>SUBTOTAL(109,E71:J72)</f>
        <v>0</v>
      </c>
      <c r="L71" s="872"/>
      <c r="M71" s="15"/>
      <c r="N71" s="15"/>
      <c r="O71" s="12"/>
      <c r="P71" s="17"/>
    </row>
    <row r="72" spans="1:16" s="2" customFormat="1" ht="9.75" customHeight="1" thickBot="1">
      <c r="A72" s="14"/>
      <c r="B72" s="867"/>
      <c r="C72" s="868"/>
      <c r="D72" s="41" t="s">
        <v>51</v>
      </c>
      <c r="E72" s="875">
        <f>VV_Zadanie_SO_02!I107</f>
        <v>0</v>
      </c>
      <c r="F72" s="876"/>
      <c r="G72" s="876"/>
      <c r="H72" s="876"/>
      <c r="I72" s="876"/>
      <c r="J72" s="876"/>
      <c r="K72" s="873"/>
      <c r="L72" s="874"/>
      <c r="M72" s="22"/>
      <c r="N72" s="22"/>
      <c r="O72" s="12"/>
      <c r="P72" s="17"/>
    </row>
    <row r="73" ht="13.5" thickBot="1"/>
    <row r="74" spans="9:17" ht="13.5" thickBot="1">
      <c r="I74" s="877" t="s">
        <v>202</v>
      </c>
      <c r="J74" s="878"/>
      <c r="K74" s="878"/>
      <c r="L74" s="56">
        <f>K21+K55+K71</f>
        <v>0</v>
      </c>
      <c r="M74" s="55"/>
      <c r="N74" s="55"/>
      <c r="O74" s="55"/>
      <c r="P74" s="55"/>
      <c r="Q74" s="55"/>
    </row>
    <row r="75" spans="9:17" ht="13.5" thickBot="1">
      <c r="I75" s="877" t="s">
        <v>180</v>
      </c>
      <c r="J75" s="878"/>
      <c r="K75" s="878"/>
      <c r="L75" s="56">
        <f>L74*0.2</f>
        <v>0</v>
      </c>
      <c r="M75" s="55"/>
      <c r="N75" s="55"/>
      <c r="O75" s="55"/>
      <c r="P75" s="55"/>
      <c r="Q75" s="55"/>
    </row>
    <row r="76" spans="9:12" ht="13.5" thickBot="1">
      <c r="I76" s="877" t="s">
        <v>203</v>
      </c>
      <c r="J76" s="878"/>
      <c r="K76" s="878"/>
      <c r="L76" s="56">
        <f>L74*1.2</f>
        <v>0</v>
      </c>
    </row>
  </sheetData>
  <sheetProtection/>
  <mergeCells count="81">
    <mergeCell ref="B2:J2"/>
    <mergeCell ref="B3:J3"/>
    <mergeCell ref="B4:L4"/>
    <mergeCell ref="B5:J5"/>
    <mergeCell ref="B6:J6"/>
    <mergeCell ref="B7:I7"/>
    <mergeCell ref="B9:L9"/>
    <mergeCell ref="K12:L12"/>
    <mergeCell ref="B13:C14"/>
    <mergeCell ref="E13:J13"/>
    <mergeCell ref="K13:L14"/>
    <mergeCell ref="E14:J14"/>
    <mergeCell ref="K16:L16"/>
    <mergeCell ref="B17:C18"/>
    <mergeCell ref="E17:J17"/>
    <mergeCell ref="K17:L18"/>
    <mergeCell ref="E18:J18"/>
    <mergeCell ref="K20:L20"/>
    <mergeCell ref="B21:C22"/>
    <mergeCell ref="E21:J21"/>
    <mergeCell ref="K21:L22"/>
    <mergeCell ref="E22:J22"/>
    <mergeCell ref="K26:L26"/>
    <mergeCell ref="B27:C29"/>
    <mergeCell ref="E27:J27"/>
    <mergeCell ref="K27:L29"/>
    <mergeCell ref="E28:J28"/>
    <mergeCell ref="E29:J29"/>
    <mergeCell ref="K31:L31"/>
    <mergeCell ref="B32:C34"/>
    <mergeCell ref="E32:J32"/>
    <mergeCell ref="K32:L34"/>
    <mergeCell ref="E33:J33"/>
    <mergeCell ref="E34:J34"/>
    <mergeCell ref="K36:L36"/>
    <mergeCell ref="B37:C39"/>
    <mergeCell ref="E37:J37"/>
    <mergeCell ref="K37:L39"/>
    <mergeCell ref="E38:J38"/>
    <mergeCell ref="E39:J39"/>
    <mergeCell ref="K41:L41"/>
    <mergeCell ref="B42:C44"/>
    <mergeCell ref="E42:J42"/>
    <mergeCell ref="K42:L44"/>
    <mergeCell ref="E43:J43"/>
    <mergeCell ref="E44:J44"/>
    <mergeCell ref="K46:L46"/>
    <mergeCell ref="B47:C48"/>
    <mergeCell ref="E47:J47"/>
    <mergeCell ref="K47:L48"/>
    <mergeCell ref="E48:J48"/>
    <mergeCell ref="K50:L50"/>
    <mergeCell ref="B51:C52"/>
    <mergeCell ref="D51:D52"/>
    <mergeCell ref="E51:J52"/>
    <mergeCell ref="K51:L52"/>
    <mergeCell ref="K54:L54"/>
    <mergeCell ref="B55:C57"/>
    <mergeCell ref="E55:J55"/>
    <mergeCell ref="K55:L57"/>
    <mergeCell ref="E56:J56"/>
    <mergeCell ref="E57:J57"/>
    <mergeCell ref="I74:K74"/>
    <mergeCell ref="I75:K75"/>
    <mergeCell ref="I76:K76"/>
    <mergeCell ref="B59:L59"/>
    <mergeCell ref="K62:L62"/>
    <mergeCell ref="B63:C64"/>
    <mergeCell ref="E63:J63"/>
    <mergeCell ref="K63:L64"/>
    <mergeCell ref="E64:J64"/>
    <mergeCell ref="K66:L66"/>
    <mergeCell ref="B67:C68"/>
    <mergeCell ref="E67:J67"/>
    <mergeCell ref="K67:L68"/>
    <mergeCell ref="E68:J68"/>
    <mergeCell ref="K70:L70"/>
    <mergeCell ref="B71:C72"/>
    <mergeCell ref="E71:J71"/>
    <mergeCell ref="K71:L72"/>
    <mergeCell ref="E72:J72"/>
  </mergeCells>
  <printOptions/>
  <pageMargins left="0.7086614173228347" right="0.1968503937007874" top="0.1968503937007874" bottom="0.1968503937007874" header="0.31496062992125984" footer="0.31496062992125984"/>
  <pageSetup fitToHeight="0" horizontalDpi="600" verticalDpi="600" orientation="landscape" paperSize="9" scale="85" r:id="rId1"/>
  <rowBreaks count="1" manualBreakCount="1">
    <brk id="7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62"/>
  <sheetViews>
    <sheetView zoomScaleSheetLayoutView="90" zoomScalePageLayoutView="0" workbookViewId="0" topLeftCell="A2">
      <selection activeCell="R76" sqref="R76"/>
    </sheetView>
  </sheetViews>
  <sheetFormatPr defaultColWidth="9.140625" defaultRowHeight="12.75"/>
  <cols>
    <col min="1" max="1" width="1.28515625" style="0" customWidth="1"/>
    <col min="3" max="3" width="12.7109375" style="0" hidden="1" customWidth="1"/>
    <col min="4" max="4" width="50.7109375" style="0" customWidth="1"/>
    <col min="6" max="6" width="9.140625" style="0" customWidth="1"/>
    <col min="7" max="7" width="9.8515625" style="0" customWidth="1"/>
    <col min="8" max="8" width="9.140625" style="0" customWidth="1"/>
    <col min="11" max="11" width="5.8515625" style="0" customWidth="1"/>
    <col min="12" max="12" width="28.00390625" style="0" customWidth="1"/>
    <col min="13" max="13" width="2.00390625" style="0" customWidth="1"/>
  </cols>
  <sheetData>
    <row r="1" spans="1:13" s="2" customFormat="1" ht="12.75" hidden="1">
      <c r="A1" s="8"/>
      <c r="B1" s="8"/>
      <c r="C1" s="8"/>
      <c r="D1" s="8"/>
      <c r="E1" s="9"/>
      <c r="F1" s="10"/>
      <c r="G1" s="11"/>
      <c r="H1" s="8"/>
      <c r="I1" s="8"/>
      <c r="J1" s="8"/>
      <c r="K1" s="9"/>
      <c r="L1" s="12"/>
      <c r="M1" s="12"/>
    </row>
    <row r="2" spans="1:13" s="2" customFormat="1" ht="13.5" customHeight="1">
      <c r="A2" s="8"/>
      <c r="B2" s="911" t="str">
        <f>VV_Zadanie_SO_01!B2</f>
        <v>Názov: Regenerácia vnútrobloku - Oddychová zóna Čínska ulica, Košice</v>
      </c>
      <c r="C2" s="911"/>
      <c r="D2" s="911"/>
      <c r="E2" s="911"/>
      <c r="F2" s="911"/>
      <c r="G2" s="911"/>
      <c r="H2" s="911"/>
      <c r="I2" s="911"/>
      <c r="J2" s="911"/>
      <c r="K2" s="23"/>
      <c r="L2" s="23"/>
      <c r="M2" s="12"/>
    </row>
    <row r="3" spans="1:13" s="2" customFormat="1" ht="13.5" customHeight="1">
      <c r="A3" s="8"/>
      <c r="B3" s="911" t="str">
        <f>VV_Zadanie_SO_01!B3</f>
        <v>Objekt: SO 01 Sadovnícko - architektonické riešenie vnútrobloku</v>
      </c>
      <c r="C3" s="911"/>
      <c r="D3" s="911"/>
      <c r="E3" s="911"/>
      <c r="F3" s="911"/>
      <c r="G3" s="911"/>
      <c r="H3" s="911"/>
      <c r="I3" s="911"/>
      <c r="J3" s="911"/>
      <c r="K3" s="23"/>
      <c r="L3" s="23"/>
      <c r="M3" s="12"/>
    </row>
    <row r="4" spans="1:13" s="2" customFormat="1" ht="13.5">
      <c r="A4" s="8"/>
      <c r="B4" s="911" t="str">
        <f>VV_Zadanie_SO_01!B4</f>
        <v>Investor:  Mesto Košice, Trieda SNP 48/A, 040 01 Košice</v>
      </c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12"/>
    </row>
    <row r="5" spans="1:13" s="2" customFormat="1" ht="13.5" customHeight="1">
      <c r="A5" s="8"/>
      <c r="B5" s="911" t="str">
        <f>VV_Zadanie_SO_01!B5</f>
        <v>Dodávateľ:</v>
      </c>
      <c r="C5" s="911"/>
      <c r="D5" s="911"/>
      <c r="E5" s="911"/>
      <c r="F5" s="911"/>
      <c r="G5" s="911"/>
      <c r="H5" s="911"/>
      <c r="I5" s="911"/>
      <c r="J5" s="911"/>
      <c r="K5" s="23"/>
      <c r="L5" s="23"/>
      <c r="M5" s="12"/>
    </row>
    <row r="6" spans="1:13" s="2" customFormat="1" ht="13.5" customHeight="1">
      <c r="A6" s="8"/>
      <c r="B6" s="911" t="str">
        <f>VV_Zadanie_SO_01!B6</f>
        <v>Zodp. projektant: Ing. arch. Alexaner Lami</v>
      </c>
      <c r="C6" s="911"/>
      <c r="D6" s="911"/>
      <c r="E6" s="911"/>
      <c r="F6" s="911"/>
      <c r="G6" s="911"/>
      <c r="H6" s="911"/>
      <c r="I6" s="911"/>
      <c r="J6" s="911"/>
      <c r="K6" s="23"/>
      <c r="L6" s="23"/>
      <c r="M6" s="12"/>
    </row>
    <row r="7" spans="1:13" s="2" customFormat="1" ht="13.5" customHeight="1" thickBot="1">
      <c r="A7" s="13"/>
      <c r="B7" s="912" t="str">
        <f>VV_Zadanie_SO_01!B7</f>
        <v>Rozpočet </v>
      </c>
      <c r="C7" s="913"/>
      <c r="D7" s="913"/>
      <c r="E7" s="913"/>
      <c r="F7" s="913"/>
      <c r="G7" s="913"/>
      <c r="H7" s="913"/>
      <c r="I7" s="913"/>
      <c r="J7" s="24"/>
      <c r="K7" s="24"/>
      <c r="L7" s="25" t="str">
        <f>VV_Zadanie_SO_01!K7</f>
        <v>Dátum: </v>
      </c>
      <c r="M7" s="12"/>
    </row>
    <row r="8" spans="1:13" s="2" customFormat="1" ht="4.5" customHeight="1">
      <c r="A8" s="13"/>
      <c r="B8" s="18"/>
      <c r="C8" s="18"/>
      <c r="D8" s="18"/>
      <c r="E8" s="18"/>
      <c r="F8" s="18"/>
      <c r="G8" s="18"/>
      <c r="H8" s="19"/>
      <c r="I8" s="19"/>
      <c r="J8" s="20"/>
      <c r="K8" s="9"/>
      <c r="L8" s="12"/>
      <c r="M8" s="12"/>
    </row>
    <row r="9" spans="1:13" s="2" customFormat="1" ht="17.25" customHeight="1">
      <c r="A9" s="13"/>
      <c r="B9" s="879" t="s">
        <v>155</v>
      </c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12"/>
    </row>
    <row r="10" spans="1:16" s="1" customFormat="1" ht="9.75" customHeight="1" thickBot="1">
      <c r="A10" s="13"/>
      <c r="B10" s="49"/>
      <c r="C10" s="3"/>
      <c r="D10" s="68" t="s">
        <v>210</v>
      </c>
      <c r="E10" s="3"/>
      <c r="F10" s="50"/>
      <c r="G10" s="51"/>
      <c r="H10" s="52"/>
      <c r="I10" s="3"/>
      <c r="J10" s="3"/>
      <c r="K10" s="3"/>
      <c r="L10" s="3"/>
      <c r="M10" s="9"/>
      <c r="N10" s="9"/>
      <c r="O10" s="8"/>
      <c r="P10" s="17"/>
    </row>
    <row r="11" ht="9.75" customHeight="1" thickBot="1"/>
    <row r="12" spans="1:16" s="5" customFormat="1" ht="9.75" customHeight="1" thickBot="1">
      <c r="A12" s="13"/>
      <c r="B12" s="36"/>
      <c r="C12" s="45"/>
      <c r="D12" s="37" t="s">
        <v>344</v>
      </c>
      <c r="E12" s="46"/>
      <c r="F12" s="47"/>
      <c r="G12" s="48"/>
      <c r="H12" s="47"/>
      <c r="I12" s="47"/>
      <c r="J12" s="47"/>
      <c r="K12" s="863" t="s">
        <v>181</v>
      </c>
      <c r="L12" s="864"/>
      <c r="M12" s="15"/>
      <c r="N12" s="15"/>
      <c r="O12" s="12"/>
      <c r="P12" s="17"/>
    </row>
    <row r="13" spans="1:16" s="2" customFormat="1" ht="9.75" customHeight="1">
      <c r="A13" s="13"/>
      <c r="B13" s="851"/>
      <c r="C13" s="852"/>
      <c r="D13" s="28" t="s">
        <v>113</v>
      </c>
      <c r="E13" s="881">
        <f>VV_Zadanie_SO_01!E35</f>
        <v>0</v>
      </c>
      <c r="F13" s="882"/>
      <c r="G13" s="882"/>
      <c r="H13" s="882"/>
      <c r="I13" s="882"/>
      <c r="J13" s="883"/>
      <c r="K13" s="856">
        <f>SUBTOTAL(109,E13:J14)</f>
        <v>0</v>
      </c>
      <c r="L13" s="857"/>
      <c r="M13" s="15"/>
      <c r="N13" s="15"/>
      <c r="O13" s="12"/>
      <c r="P13" s="17"/>
    </row>
    <row r="14" spans="1:16" s="2" customFormat="1" ht="9.75" customHeight="1" thickBot="1">
      <c r="A14" s="14"/>
      <c r="B14" s="853"/>
      <c r="C14" s="854"/>
      <c r="D14" s="27" t="s">
        <v>114</v>
      </c>
      <c r="E14" s="860">
        <f>VV_Zadanie_SO_01!E36</f>
        <v>0</v>
      </c>
      <c r="F14" s="861"/>
      <c r="G14" s="861"/>
      <c r="H14" s="861"/>
      <c r="I14" s="861"/>
      <c r="J14" s="862"/>
      <c r="K14" s="858"/>
      <c r="L14" s="859"/>
      <c r="M14" s="22"/>
      <c r="N14" s="22"/>
      <c r="O14" s="12"/>
      <c r="P14" s="17"/>
    </row>
    <row r="15" ht="9.75" customHeight="1" thickBot="1"/>
    <row r="16" spans="1:16" s="5" customFormat="1" ht="9.75" customHeight="1" thickBot="1">
      <c r="A16" s="14"/>
      <c r="B16" s="36"/>
      <c r="C16" s="32"/>
      <c r="D16" s="37" t="s">
        <v>343</v>
      </c>
      <c r="E16" s="29"/>
      <c r="F16" s="30"/>
      <c r="G16" s="43"/>
      <c r="H16" s="30"/>
      <c r="I16" s="30"/>
      <c r="J16" s="30"/>
      <c r="K16" s="863" t="s">
        <v>181</v>
      </c>
      <c r="L16" s="864"/>
      <c r="M16" s="16"/>
      <c r="N16" s="16"/>
      <c r="O16" s="7"/>
      <c r="P16" s="17"/>
    </row>
    <row r="17" spans="1:16" s="2" customFormat="1" ht="9.75" customHeight="1">
      <c r="A17" s="13"/>
      <c r="B17" s="851"/>
      <c r="C17" s="852"/>
      <c r="D17" s="28" t="s">
        <v>113</v>
      </c>
      <c r="E17" s="855">
        <f>VV_Zadanie_SO_01!E108</f>
        <v>0</v>
      </c>
      <c r="F17" s="855"/>
      <c r="G17" s="855"/>
      <c r="H17" s="855"/>
      <c r="I17" s="855"/>
      <c r="J17" s="855"/>
      <c r="K17" s="856">
        <f>SUBTOTAL(109,E17:J18)</f>
        <v>0</v>
      </c>
      <c r="L17" s="857"/>
      <c r="M17" s="15"/>
      <c r="N17" s="15"/>
      <c r="O17" s="12"/>
      <c r="P17" s="17"/>
    </row>
    <row r="18" spans="1:16" s="2" customFormat="1" ht="9.75" customHeight="1" thickBot="1">
      <c r="A18" s="14"/>
      <c r="B18" s="853"/>
      <c r="C18" s="854"/>
      <c r="D18" s="27" t="s">
        <v>114</v>
      </c>
      <c r="E18" s="860">
        <f>VV_Zadanie_SO_01!E109</f>
        <v>0</v>
      </c>
      <c r="F18" s="861"/>
      <c r="G18" s="861"/>
      <c r="H18" s="861"/>
      <c r="I18" s="861"/>
      <c r="J18" s="862"/>
      <c r="K18" s="858"/>
      <c r="L18" s="859"/>
      <c r="M18" s="22"/>
      <c r="N18" s="22"/>
      <c r="O18" s="12"/>
      <c r="P18" s="17"/>
    </row>
    <row r="19" ht="9.75" customHeight="1" thickBot="1"/>
    <row r="20" spans="1:16" s="5" customFormat="1" ht="9.75" customHeight="1" thickBot="1">
      <c r="A20" s="14"/>
      <c r="B20" s="36"/>
      <c r="C20" s="32"/>
      <c r="D20" s="39" t="s">
        <v>211</v>
      </c>
      <c r="E20" s="29"/>
      <c r="F20" s="30"/>
      <c r="G20" s="43"/>
      <c r="H20" s="30"/>
      <c r="I20" s="30"/>
      <c r="J20" s="30"/>
      <c r="K20" s="863" t="s">
        <v>181</v>
      </c>
      <c r="L20" s="864"/>
      <c r="M20" s="16"/>
      <c r="N20" s="16"/>
      <c r="O20" s="7"/>
      <c r="P20" s="17"/>
    </row>
    <row r="21" spans="1:16" s="2" customFormat="1" ht="9.75" customHeight="1">
      <c r="A21" s="14"/>
      <c r="B21" s="865"/>
      <c r="C21" s="866"/>
      <c r="D21" s="42" t="s">
        <v>45</v>
      </c>
      <c r="E21" s="898">
        <f>VV_Zadanie_SO_01!E112</f>
        <v>0</v>
      </c>
      <c r="F21" s="898"/>
      <c r="G21" s="898"/>
      <c r="H21" s="898"/>
      <c r="I21" s="898"/>
      <c r="J21" s="899"/>
      <c r="K21" s="871">
        <f>SUBTOTAL(109,E21:J22)</f>
        <v>0</v>
      </c>
      <c r="L21" s="872"/>
      <c r="M21" s="15"/>
      <c r="N21" s="15"/>
      <c r="O21" s="12"/>
      <c r="P21" s="17"/>
    </row>
    <row r="22" spans="1:16" s="2" customFormat="1" ht="9.75" customHeight="1" thickBot="1">
      <c r="A22" s="14"/>
      <c r="B22" s="867"/>
      <c r="C22" s="868"/>
      <c r="D22" s="41" t="s">
        <v>51</v>
      </c>
      <c r="E22" s="903">
        <f>VV_Zadanie_SO_01!E113</f>
        <v>0</v>
      </c>
      <c r="F22" s="910"/>
      <c r="G22" s="910"/>
      <c r="H22" s="910"/>
      <c r="I22" s="910"/>
      <c r="J22" s="910"/>
      <c r="K22" s="873"/>
      <c r="L22" s="874"/>
      <c r="M22" s="22"/>
      <c r="N22" s="22"/>
      <c r="O22" s="12"/>
      <c r="P22" s="17"/>
    </row>
    <row r="23" ht="9.75" customHeight="1"/>
    <row r="24" spans="1:16" s="6" customFormat="1" ht="9.75" customHeight="1" thickBot="1">
      <c r="A24" s="13"/>
      <c r="B24" s="31"/>
      <c r="C24" s="14"/>
      <c r="D24" s="38" t="s">
        <v>62</v>
      </c>
      <c r="E24" s="34"/>
      <c r="F24" s="34"/>
      <c r="G24" s="3"/>
      <c r="H24" s="34"/>
      <c r="I24" s="34"/>
      <c r="J24" s="34"/>
      <c r="K24" s="34"/>
      <c r="L24" s="34"/>
      <c r="M24" s="9"/>
      <c r="N24" s="9"/>
      <c r="O24" s="8"/>
      <c r="P24" s="17"/>
    </row>
    <row r="25" ht="9.75" customHeight="1" hidden="1" thickBot="1"/>
    <row r="26" spans="1:16" s="5" customFormat="1" ht="9.75" customHeight="1" hidden="1" thickBot="1">
      <c r="A26" s="14"/>
      <c r="B26" s="36"/>
      <c r="C26" s="32"/>
      <c r="D26" s="67" t="s">
        <v>156</v>
      </c>
      <c r="E26" s="33"/>
      <c r="F26" s="33"/>
      <c r="G26" s="44"/>
      <c r="H26" s="33"/>
      <c r="I26" s="33"/>
      <c r="J26" s="33"/>
      <c r="K26" s="863" t="s">
        <v>181</v>
      </c>
      <c r="L26" s="864"/>
      <c r="M26" s="16"/>
      <c r="N26" s="16"/>
      <c r="O26" s="7"/>
      <c r="P26" s="17"/>
    </row>
    <row r="27" spans="1:16" s="2" customFormat="1" ht="9.75" customHeight="1" hidden="1">
      <c r="A27" s="13"/>
      <c r="B27" s="851"/>
      <c r="C27" s="852"/>
      <c r="D27" s="28" t="s">
        <v>113</v>
      </c>
      <c r="E27" s="855">
        <f>VV_Zadanie_SO_01!E142</f>
        <v>0</v>
      </c>
      <c r="F27" s="855"/>
      <c r="G27" s="855"/>
      <c r="H27" s="855"/>
      <c r="I27" s="855"/>
      <c r="J27" s="855"/>
      <c r="K27" s="856">
        <f>SUBTOTAL(109,E27:J29)</f>
        <v>0</v>
      </c>
      <c r="L27" s="857"/>
      <c r="M27" s="15"/>
      <c r="N27" s="15"/>
      <c r="O27" s="12"/>
      <c r="P27" s="17"/>
    </row>
    <row r="28" spans="1:16" s="2" customFormat="1" ht="9.75" customHeight="1" hidden="1">
      <c r="A28" s="14"/>
      <c r="B28" s="905"/>
      <c r="C28" s="906"/>
      <c r="D28" s="28" t="s">
        <v>114</v>
      </c>
      <c r="E28" s="881">
        <f>VV_Zadanie_SO_01!E143</f>
        <v>0</v>
      </c>
      <c r="F28" s="882"/>
      <c r="G28" s="882"/>
      <c r="H28" s="882"/>
      <c r="I28" s="882"/>
      <c r="J28" s="883"/>
      <c r="K28" s="907"/>
      <c r="L28" s="908"/>
      <c r="M28" s="22"/>
      <c r="N28" s="22"/>
      <c r="O28" s="12"/>
      <c r="P28" s="17"/>
    </row>
    <row r="29" spans="1:16" s="2" customFormat="1" ht="9.75" customHeight="1" hidden="1" thickBot="1">
      <c r="A29" s="14"/>
      <c r="B29" s="853"/>
      <c r="C29" s="854"/>
      <c r="D29" s="27" t="s">
        <v>116</v>
      </c>
      <c r="E29" s="860">
        <f>VV_Zadanie_SO_01!E144</f>
        <v>0</v>
      </c>
      <c r="F29" s="861"/>
      <c r="G29" s="861"/>
      <c r="H29" s="861"/>
      <c r="I29" s="861"/>
      <c r="J29" s="862"/>
      <c r="K29" s="858"/>
      <c r="L29" s="859"/>
      <c r="M29" s="22"/>
      <c r="N29" s="22"/>
      <c r="O29" s="12"/>
      <c r="P29" s="17"/>
    </row>
    <row r="30" ht="9.75" customHeight="1" thickBot="1"/>
    <row r="31" spans="1:16" s="5" customFormat="1" ht="9.75" customHeight="1" thickBot="1">
      <c r="A31" s="14"/>
      <c r="B31" s="36"/>
      <c r="C31" s="32"/>
      <c r="D31" s="54" t="s">
        <v>157</v>
      </c>
      <c r="E31" s="33"/>
      <c r="F31" s="33"/>
      <c r="G31" s="44"/>
      <c r="H31" s="33"/>
      <c r="I31" s="33"/>
      <c r="J31" s="33"/>
      <c r="K31" s="863" t="s">
        <v>181</v>
      </c>
      <c r="L31" s="864"/>
      <c r="M31" s="16"/>
      <c r="N31" s="16"/>
      <c r="O31" s="7"/>
      <c r="P31" s="17"/>
    </row>
    <row r="32" spans="1:16" s="2" customFormat="1" ht="9.75" customHeight="1">
      <c r="A32" s="13"/>
      <c r="B32" s="851"/>
      <c r="C32" s="852"/>
      <c r="D32" s="28" t="s">
        <v>113</v>
      </c>
      <c r="E32" s="855">
        <f>VV_Zadanie_SO_01!E178</f>
        <v>0</v>
      </c>
      <c r="F32" s="855"/>
      <c r="G32" s="855"/>
      <c r="H32" s="855"/>
      <c r="I32" s="855"/>
      <c r="J32" s="855"/>
      <c r="K32" s="856">
        <f>SUBTOTAL(109,E32:J34)</f>
        <v>0</v>
      </c>
      <c r="L32" s="857"/>
      <c r="M32" s="15"/>
      <c r="N32" s="15"/>
      <c r="O32" s="12"/>
      <c r="P32" s="17"/>
    </row>
    <row r="33" spans="1:16" s="2" customFormat="1" ht="9.75" customHeight="1">
      <c r="A33" s="14"/>
      <c r="B33" s="905"/>
      <c r="C33" s="906"/>
      <c r="D33" s="28" t="s">
        <v>114</v>
      </c>
      <c r="E33" s="881">
        <f>VV_Zadanie_SO_01!E179</f>
        <v>0</v>
      </c>
      <c r="F33" s="882"/>
      <c r="G33" s="882"/>
      <c r="H33" s="882"/>
      <c r="I33" s="882"/>
      <c r="J33" s="883"/>
      <c r="K33" s="907"/>
      <c r="L33" s="908"/>
      <c r="M33" s="22"/>
      <c r="N33" s="22"/>
      <c r="O33" s="12"/>
      <c r="P33" s="17"/>
    </row>
    <row r="34" spans="1:16" s="2" customFormat="1" ht="9.75" customHeight="1" thickBot="1">
      <c r="A34" s="14"/>
      <c r="B34" s="853"/>
      <c r="C34" s="854"/>
      <c r="D34" s="27" t="s">
        <v>116</v>
      </c>
      <c r="E34" s="860">
        <f>VV_Zadanie_SO_01!E180</f>
        <v>0</v>
      </c>
      <c r="F34" s="861"/>
      <c r="G34" s="861"/>
      <c r="H34" s="861"/>
      <c r="I34" s="861"/>
      <c r="J34" s="862"/>
      <c r="K34" s="858"/>
      <c r="L34" s="859"/>
      <c r="M34" s="22"/>
      <c r="N34" s="22"/>
      <c r="O34" s="12"/>
      <c r="P34" s="17"/>
    </row>
    <row r="35" ht="9.75" customHeight="1" thickBot="1"/>
    <row r="36" spans="1:16" s="5" customFormat="1" ht="9.75" customHeight="1" thickBot="1">
      <c r="A36" s="14"/>
      <c r="B36" s="36"/>
      <c r="C36" s="32"/>
      <c r="D36" s="66" t="s">
        <v>183</v>
      </c>
      <c r="E36" s="33"/>
      <c r="F36" s="33"/>
      <c r="G36" s="44"/>
      <c r="H36" s="33"/>
      <c r="I36" s="33"/>
      <c r="J36" s="33"/>
      <c r="K36" s="863" t="s">
        <v>181</v>
      </c>
      <c r="L36" s="864"/>
      <c r="M36" s="16"/>
      <c r="N36" s="16"/>
      <c r="O36" s="7"/>
      <c r="P36" s="17"/>
    </row>
    <row r="37" spans="1:16" s="2" customFormat="1" ht="9.75" customHeight="1">
      <c r="A37" s="13"/>
      <c r="B37" s="851"/>
      <c r="C37" s="852"/>
      <c r="D37" s="28" t="s">
        <v>113</v>
      </c>
      <c r="E37" s="855">
        <f>VV_Zadanie_SO_01!E227</f>
        <v>0</v>
      </c>
      <c r="F37" s="855"/>
      <c r="G37" s="855"/>
      <c r="H37" s="855"/>
      <c r="I37" s="855"/>
      <c r="J37" s="855"/>
      <c r="K37" s="856">
        <f>SUBTOTAL(109,E37:J39)</f>
        <v>0</v>
      </c>
      <c r="L37" s="857"/>
      <c r="M37" s="15"/>
      <c r="N37" s="15"/>
      <c r="O37" s="12"/>
      <c r="P37" s="17"/>
    </row>
    <row r="38" spans="1:16" s="2" customFormat="1" ht="9.75" customHeight="1">
      <c r="A38" s="14"/>
      <c r="B38" s="905"/>
      <c r="C38" s="906"/>
      <c r="D38" s="28" t="s">
        <v>114</v>
      </c>
      <c r="E38" s="881">
        <f>VV_Zadanie_SO_01!E228</f>
        <v>0</v>
      </c>
      <c r="F38" s="882"/>
      <c r="G38" s="882"/>
      <c r="H38" s="882"/>
      <c r="I38" s="882"/>
      <c r="J38" s="883"/>
      <c r="K38" s="907"/>
      <c r="L38" s="908"/>
      <c r="M38" s="22"/>
      <c r="N38" s="22"/>
      <c r="O38" s="12"/>
      <c r="P38" s="17"/>
    </row>
    <row r="39" spans="1:16" s="2" customFormat="1" ht="9.75" customHeight="1" thickBot="1">
      <c r="A39" s="14"/>
      <c r="B39" s="853"/>
      <c r="C39" s="854"/>
      <c r="D39" s="27" t="s">
        <v>116</v>
      </c>
      <c r="E39" s="909">
        <f>VV_Zadanie_SO_01!E229</f>
        <v>0</v>
      </c>
      <c r="F39" s="861"/>
      <c r="G39" s="861"/>
      <c r="H39" s="861"/>
      <c r="I39" s="861"/>
      <c r="J39" s="862"/>
      <c r="K39" s="858"/>
      <c r="L39" s="859"/>
      <c r="M39" s="22"/>
      <c r="N39" s="22"/>
      <c r="O39" s="12"/>
      <c r="P39" s="17"/>
    </row>
    <row r="40" spans="1:16" s="2" customFormat="1" ht="9.75" customHeight="1" thickBot="1">
      <c r="A40" s="14"/>
      <c r="B40" s="35"/>
      <c r="C40" s="35"/>
      <c r="D40" s="26"/>
      <c r="E40" s="63"/>
      <c r="F40" s="64"/>
      <c r="G40" s="64"/>
      <c r="H40" s="64"/>
      <c r="I40" s="64"/>
      <c r="J40" s="64"/>
      <c r="K40" s="59"/>
      <c r="L40" s="59"/>
      <c r="M40" s="22"/>
      <c r="N40" s="22"/>
      <c r="O40" s="12"/>
      <c r="P40" s="17"/>
    </row>
    <row r="41" spans="1:16" s="5" customFormat="1" ht="9.75" customHeight="1" hidden="1" thickBot="1">
      <c r="A41" s="14"/>
      <c r="B41" s="36"/>
      <c r="C41" s="32"/>
      <c r="D41" s="65" t="s">
        <v>204</v>
      </c>
      <c r="E41" s="33"/>
      <c r="F41" s="33"/>
      <c r="G41" s="44"/>
      <c r="H41" s="33"/>
      <c r="I41" s="33"/>
      <c r="J41" s="33"/>
      <c r="K41" s="863" t="s">
        <v>181</v>
      </c>
      <c r="L41" s="864"/>
      <c r="M41" s="16"/>
      <c r="N41" s="16"/>
      <c r="O41" s="7"/>
      <c r="P41" s="17"/>
    </row>
    <row r="42" spans="1:16" s="2" customFormat="1" ht="9.75" customHeight="1" hidden="1">
      <c r="A42" s="13"/>
      <c r="B42" s="851"/>
      <c r="C42" s="852"/>
      <c r="D42" s="28" t="s">
        <v>113</v>
      </c>
      <c r="E42" s="855">
        <f>VV_Zadanie_SO_01!E272</f>
        <v>0</v>
      </c>
      <c r="F42" s="855"/>
      <c r="G42" s="855"/>
      <c r="H42" s="855"/>
      <c r="I42" s="855"/>
      <c r="J42" s="855"/>
      <c r="K42" s="856">
        <f>SUBTOTAL(109,E42:J44)</f>
        <v>0</v>
      </c>
      <c r="L42" s="857"/>
      <c r="M42" s="15"/>
      <c r="N42" s="15"/>
      <c r="O42" s="12"/>
      <c r="P42" s="17"/>
    </row>
    <row r="43" spans="1:16" s="2" customFormat="1" ht="9.75" customHeight="1" hidden="1">
      <c r="A43" s="14"/>
      <c r="B43" s="905"/>
      <c r="C43" s="906"/>
      <c r="D43" s="28" t="s">
        <v>114</v>
      </c>
      <c r="E43" s="881">
        <f>VV_Zadanie_SO_01!E273</f>
        <v>0</v>
      </c>
      <c r="F43" s="882"/>
      <c r="G43" s="882"/>
      <c r="H43" s="882"/>
      <c r="I43" s="882"/>
      <c r="J43" s="883"/>
      <c r="K43" s="907"/>
      <c r="L43" s="908"/>
      <c r="M43" s="22"/>
      <c r="N43" s="22"/>
      <c r="O43" s="12"/>
      <c r="P43" s="17"/>
    </row>
    <row r="44" spans="1:16" s="2" customFormat="1" ht="9.75" customHeight="1" hidden="1" thickBot="1">
      <c r="A44" s="14"/>
      <c r="B44" s="853"/>
      <c r="C44" s="854"/>
      <c r="D44" s="27" t="s">
        <v>116</v>
      </c>
      <c r="E44" s="909">
        <f>VV_Zadanie_SO_01!E274</f>
        <v>0</v>
      </c>
      <c r="F44" s="861"/>
      <c r="G44" s="861"/>
      <c r="H44" s="861"/>
      <c r="I44" s="861"/>
      <c r="J44" s="862"/>
      <c r="K44" s="858"/>
      <c r="L44" s="859"/>
      <c r="M44" s="22"/>
      <c r="N44" s="22"/>
      <c r="O44" s="12"/>
      <c r="P44" s="17"/>
    </row>
    <row r="45" ht="9.75" customHeight="1" hidden="1" thickBot="1"/>
    <row r="46" spans="1:16" s="5" customFormat="1" ht="9.75" customHeight="1" thickBot="1">
      <c r="A46" s="14"/>
      <c r="B46" s="36"/>
      <c r="C46" s="32"/>
      <c r="D46" s="53" t="s">
        <v>182</v>
      </c>
      <c r="E46" s="33"/>
      <c r="F46" s="33"/>
      <c r="G46" s="44"/>
      <c r="H46" s="33"/>
      <c r="I46" s="33"/>
      <c r="J46" s="33"/>
      <c r="K46" s="863" t="s">
        <v>181</v>
      </c>
      <c r="L46" s="864"/>
      <c r="M46" s="16"/>
      <c r="N46" s="16"/>
      <c r="O46" s="7"/>
      <c r="P46" s="17"/>
    </row>
    <row r="47" spans="1:16" s="2" customFormat="1" ht="9.75" customHeight="1">
      <c r="A47" s="13"/>
      <c r="B47" s="851"/>
      <c r="C47" s="852"/>
      <c r="D47" s="28" t="s">
        <v>113</v>
      </c>
      <c r="E47" s="855">
        <f>VV_Zadanie_SO_01!E351+VV_Zadanie_SO_01!E333+VV_Zadanie_SO_01!E312+VV_Zadanie_SO_01!E291</f>
        <v>0</v>
      </c>
      <c r="F47" s="855"/>
      <c r="G47" s="855"/>
      <c r="H47" s="855"/>
      <c r="I47" s="855"/>
      <c r="J47" s="855"/>
      <c r="K47" s="856">
        <f>SUBTOTAL(109,E47:J48)</f>
        <v>0</v>
      </c>
      <c r="L47" s="857"/>
      <c r="M47" s="15"/>
      <c r="N47" s="15"/>
      <c r="O47" s="12"/>
      <c r="P47" s="17"/>
    </row>
    <row r="48" spans="1:16" s="2" customFormat="1" ht="9.75" customHeight="1" thickBot="1">
      <c r="A48" s="14"/>
      <c r="B48" s="853"/>
      <c r="C48" s="854"/>
      <c r="D48" s="27" t="s">
        <v>114</v>
      </c>
      <c r="E48" s="904">
        <f>VV_Zadanie_SO_01!E352+VV_Zadanie_SO_01!E334+VV_Zadanie_SO_01!E313+VV_Zadanie_SO_01!E292</f>
        <v>0</v>
      </c>
      <c r="F48" s="904"/>
      <c r="G48" s="904"/>
      <c r="H48" s="904"/>
      <c r="I48" s="904"/>
      <c r="J48" s="904"/>
      <c r="K48" s="858"/>
      <c r="L48" s="859"/>
      <c r="M48" s="22"/>
      <c r="N48" s="22"/>
      <c r="O48" s="12"/>
      <c r="P48" s="17"/>
    </row>
    <row r="49" ht="9.75" customHeight="1" thickBot="1"/>
    <row r="50" spans="1:16" s="5" customFormat="1" ht="9.75" customHeight="1" thickBot="1">
      <c r="A50" s="14"/>
      <c r="B50" s="36"/>
      <c r="C50" s="32"/>
      <c r="D50" s="37" t="s">
        <v>184</v>
      </c>
      <c r="E50" s="33"/>
      <c r="F50" s="33"/>
      <c r="G50" s="44"/>
      <c r="H50" s="33"/>
      <c r="I50" s="33"/>
      <c r="J50" s="33"/>
      <c r="K50" s="863" t="s">
        <v>181</v>
      </c>
      <c r="L50" s="864"/>
      <c r="M50" s="16"/>
      <c r="N50" s="16"/>
      <c r="O50" s="7"/>
      <c r="P50" s="17"/>
    </row>
    <row r="51" spans="1:16" s="2" customFormat="1" ht="9.75" customHeight="1">
      <c r="A51" s="13"/>
      <c r="B51" s="851"/>
      <c r="C51" s="852"/>
      <c r="D51" s="884" t="s">
        <v>113</v>
      </c>
      <c r="E51" s="886">
        <f>VV_Zadanie_SO_01!E361</f>
        <v>0</v>
      </c>
      <c r="F51" s="887"/>
      <c r="G51" s="887"/>
      <c r="H51" s="887"/>
      <c r="I51" s="887"/>
      <c r="J51" s="888"/>
      <c r="K51" s="856">
        <f>SUBTOTAL(109,E51)</f>
        <v>0</v>
      </c>
      <c r="L51" s="857"/>
      <c r="M51" s="15"/>
      <c r="N51" s="15"/>
      <c r="O51" s="12"/>
      <c r="P51" s="17"/>
    </row>
    <row r="52" spans="1:16" s="2" customFormat="1" ht="9.75" customHeight="1" thickBot="1">
      <c r="A52" s="14"/>
      <c r="B52" s="853"/>
      <c r="C52" s="854"/>
      <c r="D52" s="885"/>
      <c r="E52" s="889"/>
      <c r="F52" s="890"/>
      <c r="G52" s="890"/>
      <c r="H52" s="890"/>
      <c r="I52" s="890"/>
      <c r="J52" s="891"/>
      <c r="K52" s="858"/>
      <c r="L52" s="859"/>
      <c r="M52" s="22"/>
      <c r="N52" s="22"/>
      <c r="O52" s="12"/>
      <c r="P52" s="17"/>
    </row>
    <row r="53" spans="1:16" s="2" customFormat="1" ht="9.75" customHeight="1" thickBot="1">
      <c r="A53" s="14"/>
      <c r="B53" s="35"/>
      <c r="C53" s="35"/>
      <c r="D53" s="57"/>
      <c r="E53" s="58"/>
      <c r="F53" s="58"/>
      <c r="G53" s="58"/>
      <c r="H53" s="58"/>
      <c r="I53" s="58"/>
      <c r="J53" s="58"/>
      <c r="K53" s="59"/>
      <c r="L53" s="59"/>
      <c r="M53" s="22"/>
      <c r="N53" s="22"/>
      <c r="O53" s="12"/>
      <c r="P53" s="17"/>
    </row>
    <row r="54" spans="1:16" s="5" customFormat="1" ht="9.75" customHeight="1" thickBot="1">
      <c r="A54" s="14"/>
      <c r="B54" s="60"/>
      <c r="C54" s="61"/>
      <c r="D54" s="62" t="s">
        <v>120</v>
      </c>
      <c r="E54" s="33"/>
      <c r="F54" s="33"/>
      <c r="G54" s="44"/>
      <c r="H54" s="33"/>
      <c r="I54" s="33"/>
      <c r="J54" s="33"/>
      <c r="K54" s="892" t="s">
        <v>181</v>
      </c>
      <c r="L54" s="893"/>
      <c r="M54" s="16"/>
      <c r="N54" s="16"/>
      <c r="O54" s="7"/>
      <c r="P54" s="17"/>
    </row>
    <row r="55" spans="1:16" s="2" customFormat="1" ht="9.75" customHeight="1">
      <c r="A55" s="14"/>
      <c r="B55" s="894"/>
      <c r="C55" s="895"/>
      <c r="D55" s="40" t="s">
        <v>45</v>
      </c>
      <c r="E55" s="898">
        <f>VV_Zadanie_SO_01!E364</f>
        <v>0</v>
      </c>
      <c r="F55" s="898"/>
      <c r="G55" s="898"/>
      <c r="H55" s="898"/>
      <c r="I55" s="898"/>
      <c r="J55" s="899"/>
      <c r="K55" s="871">
        <f>SUBTOTAL(109,E55:J57)</f>
        <v>0</v>
      </c>
      <c r="L55" s="872"/>
      <c r="M55" s="15"/>
      <c r="N55" s="15"/>
      <c r="O55" s="12"/>
      <c r="P55" s="17"/>
    </row>
    <row r="56" spans="1:16" s="2" customFormat="1" ht="9.75" customHeight="1">
      <c r="A56" s="14"/>
      <c r="B56" s="894"/>
      <c r="C56" s="895"/>
      <c r="D56" s="40" t="s">
        <v>51</v>
      </c>
      <c r="E56" s="898">
        <f>VV_Zadanie_SO_01!E365</f>
        <v>0</v>
      </c>
      <c r="F56" s="898"/>
      <c r="G56" s="898"/>
      <c r="H56" s="898"/>
      <c r="I56" s="898"/>
      <c r="J56" s="899"/>
      <c r="K56" s="900"/>
      <c r="L56" s="901"/>
      <c r="M56" s="22"/>
      <c r="N56" s="22"/>
      <c r="O56" s="12"/>
      <c r="P56" s="17"/>
    </row>
    <row r="57" spans="1:16" s="2" customFormat="1" ht="9.75" customHeight="1" thickBot="1">
      <c r="A57" s="14"/>
      <c r="B57" s="896"/>
      <c r="C57" s="897"/>
      <c r="D57" s="41" t="s">
        <v>51</v>
      </c>
      <c r="E57" s="902">
        <f>VV_Zadanie_SO_01!E366</f>
        <v>0</v>
      </c>
      <c r="F57" s="902"/>
      <c r="G57" s="902"/>
      <c r="H57" s="902"/>
      <c r="I57" s="902"/>
      <c r="J57" s="903"/>
      <c r="K57" s="873"/>
      <c r="L57" s="874"/>
      <c r="M57" s="22"/>
      <c r="N57" s="22"/>
      <c r="O57" s="12"/>
      <c r="P57" s="17"/>
    </row>
    <row r="58" spans="1:16" s="2" customFormat="1" ht="10.5" customHeight="1">
      <c r="A58" s="14"/>
      <c r="B58" s="35"/>
      <c r="C58" s="35"/>
      <c r="D58" s="57"/>
      <c r="E58" s="58"/>
      <c r="F58" s="58"/>
      <c r="G58" s="58"/>
      <c r="H58" s="58"/>
      <c r="I58" s="58"/>
      <c r="J58" s="58"/>
      <c r="K58" s="59"/>
      <c r="L58" s="59"/>
      <c r="M58" s="22"/>
      <c r="N58" s="22"/>
      <c r="O58" s="12"/>
      <c r="P58" s="17"/>
    </row>
    <row r="59" ht="13.5" thickBot="1"/>
    <row r="60" spans="9:17" ht="13.5" thickBot="1">
      <c r="I60" s="877" t="s">
        <v>202</v>
      </c>
      <c r="J60" s="878"/>
      <c r="K60" s="878"/>
      <c r="L60" s="56">
        <f>SUBTOTAL(109,E26:J53)+SUBTOTAL(109,E12:J19)</f>
        <v>0</v>
      </c>
      <c r="M60" s="55"/>
      <c r="N60" s="55"/>
      <c r="O60" s="55"/>
      <c r="P60" s="55"/>
      <c r="Q60" s="55"/>
    </row>
    <row r="61" spans="9:17" ht="13.5" thickBot="1">
      <c r="I61" s="877" t="s">
        <v>180</v>
      </c>
      <c r="J61" s="878"/>
      <c r="K61" s="878"/>
      <c r="L61" s="56">
        <f>L60*0.2</f>
        <v>0</v>
      </c>
      <c r="M61" s="55"/>
      <c r="N61" s="55"/>
      <c r="O61" s="55"/>
      <c r="P61" s="55"/>
      <c r="Q61" s="55"/>
    </row>
    <row r="62" spans="9:12" ht="13.5" thickBot="1">
      <c r="I62" s="877" t="s">
        <v>203</v>
      </c>
      <c r="J62" s="878"/>
      <c r="K62" s="878"/>
      <c r="L62" s="56">
        <f>L60*1.2</f>
        <v>0</v>
      </c>
    </row>
  </sheetData>
  <sheetProtection/>
  <mergeCells count="65">
    <mergeCell ref="K21:L22"/>
    <mergeCell ref="B13:C14"/>
    <mergeCell ref="B7:I7"/>
    <mergeCell ref="B9:L9"/>
    <mergeCell ref="E17:J17"/>
    <mergeCell ref="E18:J18"/>
    <mergeCell ref="E14:J14"/>
    <mergeCell ref="E22:J22"/>
    <mergeCell ref="B17:C18"/>
    <mergeCell ref="B4:L4"/>
    <mergeCell ref="B2:J2"/>
    <mergeCell ref="B3:J3"/>
    <mergeCell ref="B5:J5"/>
    <mergeCell ref="K13:L14"/>
    <mergeCell ref="K17:L18"/>
    <mergeCell ref="E13:J13"/>
    <mergeCell ref="K12:L12"/>
    <mergeCell ref="B6:J6"/>
    <mergeCell ref="B27:C29"/>
    <mergeCell ref="E32:J32"/>
    <mergeCell ref="E39:J39"/>
    <mergeCell ref="E27:J27"/>
    <mergeCell ref="E28:J28"/>
    <mergeCell ref="B21:C22"/>
    <mergeCell ref="E21:J21"/>
    <mergeCell ref="B47:C48"/>
    <mergeCell ref="E33:J33"/>
    <mergeCell ref="E34:J34"/>
    <mergeCell ref="K32:L34"/>
    <mergeCell ref="B32:C34"/>
    <mergeCell ref="E37:J37"/>
    <mergeCell ref="E38:J38"/>
    <mergeCell ref="K37:L39"/>
    <mergeCell ref="B37:C39"/>
    <mergeCell ref="B42:C44"/>
    <mergeCell ref="E55:J55"/>
    <mergeCell ref="E56:J56"/>
    <mergeCell ref="K41:L41"/>
    <mergeCell ref="E51:J52"/>
    <mergeCell ref="K26:L26"/>
    <mergeCell ref="K36:L36"/>
    <mergeCell ref="K31:L31"/>
    <mergeCell ref="K46:L46"/>
    <mergeCell ref="E29:J29"/>
    <mergeCell ref="K27:L29"/>
    <mergeCell ref="I60:K60"/>
    <mergeCell ref="I61:K61"/>
    <mergeCell ref="I62:K62"/>
    <mergeCell ref="K20:L20"/>
    <mergeCell ref="K16:L16"/>
    <mergeCell ref="K50:L50"/>
    <mergeCell ref="E47:J47"/>
    <mergeCell ref="E48:J48"/>
    <mergeCell ref="K47:L48"/>
    <mergeCell ref="K54:L54"/>
    <mergeCell ref="B55:C57"/>
    <mergeCell ref="B51:C52"/>
    <mergeCell ref="K51:L52"/>
    <mergeCell ref="E42:J42"/>
    <mergeCell ref="K42:L44"/>
    <mergeCell ref="E43:J43"/>
    <mergeCell ref="E44:J44"/>
    <mergeCell ref="E57:J57"/>
    <mergeCell ref="K55:L57"/>
    <mergeCell ref="D51:D52"/>
  </mergeCells>
  <printOptions/>
  <pageMargins left="0.7086614173228347" right="0.1968503937007874" top="0.1968503937007874" bottom="0.1968503937007874" header="0.31496062992125984" footer="0.31496062992125984"/>
  <pageSetup fitToHeight="0" horizontalDpi="600" verticalDpi="600" orientation="landscape" paperSize="9" scale="85" r:id="rId1"/>
  <rowBreaks count="1" manualBreakCount="1">
    <brk id="62" max="12" man="1"/>
  </rowBreaks>
  <ignoredErrors>
    <ignoredError sqref="L6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74"/>
  <sheetViews>
    <sheetView zoomScaleSheetLayoutView="90" zoomScalePageLayoutView="0" workbookViewId="0" topLeftCell="B1">
      <pane ySplit="12" topLeftCell="A334" activePane="bottomLeft" state="frozen"/>
      <selection pane="topLeft" activeCell="R76" sqref="R76"/>
      <selection pane="bottomLeft" activeCell="E369" sqref="E369:H369"/>
    </sheetView>
  </sheetViews>
  <sheetFormatPr defaultColWidth="9.140625" defaultRowHeight="12.75"/>
  <cols>
    <col min="1" max="1" width="2.8515625" style="112" customWidth="1"/>
    <col min="2" max="2" width="9.140625" style="836" customWidth="1"/>
    <col min="3" max="3" width="12.7109375" style="112" customWidth="1"/>
    <col min="4" max="4" width="50.7109375" style="112" customWidth="1"/>
    <col min="5" max="5" width="9.140625" style="824" customWidth="1"/>
    <col min="6" max="6" width="9.421875" style="837" customWidth="1"/>
    <col min="7" max="7" width="9.8515625" style="838" customWidth="1"/>
    <col min="8" max="11" width="9.140625" style="112" customWidth="1"/>
    <col min="12" max="12" width="5.8515625" style="824" customWidth="1"/>
    <col min="13" max="13" width="9.57421875" style="824" customWidth="1"/>
    <col min="14" max="14" width="28.421875" style="112" hidden="1" customWidth="1"/>
    <col min="15" max="15" width="25.140625" style="824" hidden="1" customWidth="1"/>
    <col min="16" max="16384" width="9.140625" style="112" customWidth="1"/>
  </cols>
  <sheetData>
    <row r="1" spans="1:15" ht="15">
      <c r="A1" s="105"/>
      <c r="B1" s="106"/>
      <c r="C1" s="105"/>
      <c r="D1" s="105"/>
      <c r="E1" s="107"/>
      <c r="F1" s="108"/>
      <c r="G1" s="109"/>
      <c r="H1" s="105"/>
      <c r="I1" s="105"/>
      <c r="J1" s="105"/>
      <c r="K1" s="105"/>
      <c r="L1" s="107"/>
      <c r="M1" s="107"/>
      <c r="N1" s="110" t="s">
        <v>301</v>
      </c>
      <c r="O1" s="111"/>
    </row>
    <row r="2" spans="1:15" ht="13.5" customHeight="1">
      <c r="A2" s="105"/>
      <c r="B2" s="948" t="s">
        <v>337</v>
      </c>
      <c r="C2" s="948"/>
      <c r="D2" s="948"/>
      <c r="E2" s="948"/>
      <c r="F2" s="948"/>
      <c r="G2" s="948"/>
      <c r="H2" s="948"/>
      <c r="I2" s="948"/>
      <c r="J2" s="113"/>
      <c r="K2" s="113"/>
      <c r="L2" s="107"/>
      <c r="M2" s="107"/>
      <c r="N2" s="114"/>
      <c r="O2" s="111"/>
    </row>
    <row r="3" spans="1:15" ht="13.5" customHeight="1">
      <c r="A3" s="105"/>
      <c r="B3" s="948" t="s">
        <v>338</v>
      </c>
      <c r="C3" s="948"/>
      <c r="D3" s="948"/>
      <c r="E3" s="948"/>
      <c r="F3" s="948"/>
      <c r="G3" s="948"/>
      <c r="H3" s="948"/>
      <c r="I3" s="948"/>
      <c r="J3" s="113"/>
      <c r="K3" s="113"/>
      <c r="L3" s="107"/>
      <c r="M3" s="107"/>
      <c r="N3" s="114"/>
      <c r="O3" s="111"/>
    </row>
    <row r="4" spans="1:15" ht="12.75">
      <c r="A4" s="105"/>
      <c r="B4" s="948" t="s">
        <v>336</v>
      </c>
      <c r="C4" s="948"/>
      <c r="D4" s="948"/>
      <c r="E4" s="948"/>
      <c r="F4" s="948"/>
      <c r="G4" s="948"/>
      <c r="H4" s="948"/>
      <c r="I4" s="948"/>
      <c r="J4" s="948"/>
      <c r="K4" s="948"/>
      <c r="L4" s="107"/>
      <c r="M4" s="107"/>
      <c r="N4" s="115"/>
      <c r="O4" s="111"/>
    </row>
    <row r="5" spans="1:15" ht="13.5" customHeight="1">
      <c r="A5" s="105"/>
      <c r="B5" s="948" t="s">
        <v>789</v>
      </c>
      <c r="C5" s="948"/>
      <c r="D5" s="948"/>
      <c r="E5" s="948"/>
      <c r="F5" s="948"/>
      <c r="G5" s="948"/>
      <c r="H5" s="948"/>
      <c r="I5" s="948"/>
      <c r="J5" s="113"/>
      <c r="K5" s="113"/>
      <c r="L5" s="107"/>
      <c r="M5" s="107"/>
      <c r="N5" s="114"/>
      <c r="O5" s="111"/>
    </row>
    <row r="6" spans="1:15" ht="13.5" customHeight="1">
      <c r="A6" s="105"/>
      <c r="B6" s="948" t="s">
        <v>339</v>
      </c>
      <c r="C6" s="948"/>
      <c r="D6" s="948"/>
      <c r="E6" s="948"/>
      <c r="F6" s="948"/>
      <c r="G6" s="948"/>
      <c r="H6" s="948"/>
      <c r="I6" s="948"/>
      <c r="J6" s="113"/>
      <c r="K6" s="113"/>
      <c r="L6" s="107"/>
      <c r="M6" s="107"/>
      <c r="N6" s="114"/>
      <c r="O6" s="111"/>
    </row>
    <row r="7" spans="1:15" ht="13.5" customHeight="1" thickBot="1">
      <c r="A7" s="116"/>
      <c r="B7" s="949" t="s">
        <v>177</v>
      </c>
      <c r="C7" s="949"/>
      <c r="D7" s="949"/>
      <c r="E7" s="949"/>
      <c r="F7" s="949"/>
      <c r="G7" s="949"/>
      <c r="H7" s="949"/>
      <c r="I7" s="117"/>
      <c r="J7" s="118"/>
      <c r="K7" s="119" t="s">
        <v>787</v>
      </c>
      <c r="L7" s="107"/>
      <c r="M7" s="107"/>
      <c r="N7" s="114"/>
      <c r="O7" s="111"/>
    </row>
    <row r="8" spans="1:15" s="131" customFormat="1" ht="4.5" customHeight="1" thickBot="1">
      <c r="A8" s="120"/>
      <c r="B8" s="121"/>
      <c r="C8" s="122"/>
      <c r="D8" s="123"/>
      <c r="E8" s="124"/>
      <c r="F8" s="124"/>
      <c r="G8" s="125"/>
      <c r="H8" s="126"/>
      <c r="I8" s="127"/>
      <c r="J8" s="128"/>
      <c r="K8" s="129"/>
      <c r="L8" s="130"/>
      <c r="M8" s="130"/>
      <c r="O8" s="132"/>
    </row>
    <row r="9" spans="1:15" ht="9.75" customHeight="1">
      <c r="A9" s="105"/>
      <c r="B9" s="972" t="s">
        <v>109</v>
      </c>
      <c r="C9" s="950" t="s">
        <v>37</v>
      </c>
      <c r="D9" s="133"/>
      <c r="E9" s="134"/>
      <c r="F9" s="953" t="s">
        <v>39</v>
      </c>
      <c r="G9" s="956" t="s">
        <v>64</v>
      </c>
      <c r="H9" s="968" t="s">
        <v>40</v>
      </c>
      <c r="I9" s="969"/>
      <c r="J9" s="135" t="s">
        <v>31</v>
      </c>
      <c r="K9" s="136"/>
      <c r="L9" s="107"/>
      <c r="M9" s="107"/>
      <c r="N9" s="114"/>
      <c r="O9" s="111"/>
    </row>
    <row r="10" spans="1:15" ht="9.75" customHeight="1">
      <c r="A10" s="105"/>
      <c r="B10" s="973"/>
      <c r="C10" s="951"/>
      <c r="D10" s="137" t="s">
        <v>38</v>
      </c>
      <c r="E10" s="138" t="s">
        <v>32</v>
      </c>
      <c r="F10" s="954"/>
      <c r="G10" s="957"/>
      <c r="H10" s="970"/>
      <c r="I10" s="971"/>
      <c r="J10" s="139" t="s">
        <v>33</v>
      </c>
      <c r="K10" s="140"/>
      <c r="L10" s="107"/>
      <c r="M10" s="107"/>
      <c r="N10" s="114"/>
      <c r="O10" s="111"/>
    </row>
    <row r="11" spans="1:15" ht="9.75" customHeight="1" thickBot="1">
      <c r="A11" s="105"/>
      <c r="B11" s="974"/>
      <c r="C11" s="952"/>
      <c r="D11" s="141"/>
      <c r="E11" s="142"/>
      <c r="F11" s="955"/>
      <c r="G11" s="958"/>
      <c r="H11" s="143" t="s">
        <v>34</v>
      </c>
      <c r="I11" s="144" t="s">
        <v>35</v>
      </c>
      <c r="J11" s="143" t="s">
        <v>32</v>
      </c>
      <c r="K11" s="145" t="s">
        <v>41</v>
      </c>
      <c r="L11" s="107"/>
      <c r="M11" s="107"/>
      <c r="N11" s="114"/>
      <c r="O11" s="111"/>
    </row>
    <row r="12" spans="1:15" ht="9" customHeight="1" thickBot="1">
      <c r="A12" s="146"/>
      <c r="B12" s="147">
        <v>1</v>
      </c>
      <c r="C12" s="148">
        <v>2</v>
      </c>
      <c r="D12" s="148">
        <v>3</v>
      </c>
      <c r="E12" s="148">
        <v>4</v>
      </c>
      <c r="F12" s="148">
        <v>5</v>
      </c>
      <c r="G12" s="149">
        <v>6</v>
      </c>
      <c r="H12" s="148">
        <v>7</v>
      </c>
      <c r="I12" s="148">
        <v>8</v>
      </c>
      <c r="J12" s="148">
        <v>9</v>
      </c>
      <c r="K12" s="150">
        <v>10</v>
      </c>
      <c r="L12" s="107"/>
      <c r="M12" s="107"/>
      <c r="N12" s="114"/>
      <c r="O12" s="111"/>
    </row>
    <row r="13" spans="1:15" s="157" customFormat="1" ht="13.5" thickBot="1">
      <c r="A13" s="116"/>
      <c r="B13" s="151"/>
      <c r="C13" s="152"/>
      <c r="D13" s="153" t="s">
        <v>210</v>
      </c>
      <c r="E13" s="154"/>
      <c r="F13" s="155"/>
      <c r="G13" s="156"/>
      <c r="H13" s="154"/>
      <c r="I13" s="154"/>
      <c r="J13" s="154"/>
      <c r="K13" s="152"/>
      <c r="L13" s="107"/>
      <c r="M13" s="107"/>
      <c r="N13" s="105"/>
      <c r="O13" s="111"/>
    </row>
    <row r="14" spans="1:15" s="120" customFormat="1" ht="12.75" customHeight="1">
      <c r="A14" s="158"/>
      <c r="B14" s="159"/>
      <c r="C14" s="160"/>
      <c r="D14" s="161" t="s">
        <v>345</v>
      </c>
      <c r="E14" s="128"/>
      <c r="F14" s="162"/>
      <c r="G14" s="4"/>
      <c r="H14" s="160"/>
      <c r="I14" s="128"/>
      <c r="J14" s="160"/>
      <c r="K14" s="163"/>
      <c r="L14" s="164"/>
      <c r="M14" s="164"/>
      <c r="N14" s="165"/>
      <c r="O14" s="166"/>
    </row>
    <row r="15" spans="1:15" s="175" customFormat="1" ht="33.75">
      <c r="A15" s="105"/>
      <c r="B15" s="167">
        <f>SUBTOTAL(102,G$15:G15)</f>
        <v>1</v>
      </c>
      <c r="C15" s="168" t="s">
        <v>205</v>
      </c>
      <c r="D15" s="169" t="s">
        <v>356</v>
      </c>
      <c r="E15" s="167" t="s">
        <v>21</v>
      </c>
      <c r="F15" s="170">
        <v>28</v>
      </c>
      <c r="G15" s="104">
        <v>0</v>
      </c>
      <c r="H15" s="171"/>
      <c r="I15" s="172">
        <f aca="true" t="shared" si="0" ref="I15:I33">ROUND(ROUND(G15,2)*ROUND(F15,2),2)</f>
        <v>0</v>
      </c>
      <c r="J15" s="173"/>
      <c r="K15" s="173"/>
      <c r="L15" s="105"/>
      <c r="M15" s="105"/>
      <c r="N15" s="174"/>
      <c r="O15" s="111"/>
    </row>
    <row r="16" spans="1:15" s="175" customFormat="1" ht="34.5" thickBot="1">
      <c r="A16" s="105"/>
      <c r="B16" s="167">
        <f>SUBTOTAL(102,G$15:G16)</f>
        <v>2</v>
      </c>
      <c r="C16" s="168" t="s">
        <v>205</v>
      </c>
      <c r="D16" s="176" t="s">
        <v>355</v>
      </c>
      <c r="E16" s="167" t="s">
        <v>21</v>
      </c>
      <c r="F16" s="170">
        <v>7</v>
      </c>
      <c r="G16" s="104">
        <v>0</v>
      </c>
      <c r="H16" s="171"/>
      <c r="I16" s="172">
        <f>ROUND(ROUND(G16,2)*ROUND(F16,2),2)</f>
        <v>0</v>
      </c>
      <c r="J16" s="173"/>
      <c r="K16" s="173"/>
      <c r="L16" s="105"/>
      <c r="M16" s="105"/>
      <c r="N16" s="174"/>
      <c r="O16" s="111"/>
    </row>
    <row r="17" spans="1:15" s="175" customFormat="1" ht="23.25" thickBot="1">
      <c r="A17" s="105"/>
      <c r="B17" s="177">
        <f>SUBTOTAL(102,G$15:G17)</f>
        <v>3</v>
      </c>
      <c r="C17" s="96" t="s">
        <v>43</v>
      </c>
      <c r="D17" s="178" t="s">
        <v>354</v>
      </c>
      <c r="E17" s="179" t="s">
        <v>36</v>
      </c>
      <c r="F17" s="180">
        <v>14</v>
      </c>
      <c r="G17" s="97">
        <v>0</v>
      </c>
      <c r="H17" s="181">
        <f>ROUND(ROUND(G17,2)*ROUND(F17,2),2)</f>
        <v>0</v>
      </c>
      <c r="I17" s="181"/>
      <c r="J17" s="182"/>
      <c r="K17" s="183"/>
      <c r="L17" s="105"/>
      <c r="M17" s="105"/>
      <c r="N17" s="174" t="s">
        <v>297</v>
      </c>
      <c r="O17" s="111"/>
    </row>
    <row r="18" spans="1:15" s="175" customFormat="1" ht="11.25">
      <c r="A18" s="105"/>
      <c r="B18" s="184">
        <f>SUBTOTAL(102,G$15:G18)</f>
        <v>4</v>
      </c>
      <c r="C18" s="78" t="s">
        <v>205</v>
      </c>
      <c r="D18" s="185" t="s">
        <v>212</v>
      </c>
      <c r="E18" s="184" t="s">
        <v>213</v>
      </c>
      <c r="F18" s="186">
        <v>1</v>
      </c>
      <c r="G18" s="103">
        <v>0</v>
      </c>
      <c r="H18" s="187"/>
      <c r="I18" s="188">
        <f>ROUND(ROUND(G18,2)*ROUND(F18,2),2)</f>
        <v>0</v>
      </c>
      <c r="J18" s="189"/>
      <c r="K18" s="189"/>
      <c r="L18" s="105"/>
      <c r="M18" s="105"/>
      <c r="N18" s="106" t="s">
        <v>273</v>
      </c>
      <c r="O18" s="111"/>
    </row>
    <row r="19" spans="1:15" s="175" customFormat="1" ht="22.5">
      <c r="A19" s="105"/>
      <c r="B19" s="190">
        <f>SUBTOTAL(102,G$15:G19)</f>
        <v>5</v>
      </c>
      <c r="C19" s="69">
        <v>113205111</v>
      </c>
      <c r="D19" s="185" t="s">
        <v>214</v>
      </c>
      <c r="E19" s="190" t="s">
        <v>1</v>
      </c>
      <c r="F19" s="191">
        <v>205.55</v>
      </c>
      <c r="G19" s="86">
        <v>0</v>
      </c>
      <c r="H19" s="192"/>
      <c r="I19" s="193">
        <f t="shared" si="0"/>
        <v>0</v>
      </c>
      <c r="J19" s="194">
        <v>0.2</v>
      </c>
      <c r="K19" s="195">
        <f>J19*F19</f>
        <v>41.11000000000001</v>
      </c>
      <c r="L19" s="105"/>
      <c r="M19" s="105"/>
      <c r="N19" s="196" t="s">
        <v>271</v>
      </c>
      <c r="O19" s="111"/>
    </row>
    <row r="20" spans="1:17" s="175" customFormat="1" ht="33.75">
      <c r="A20" s="105"/>
      <c r="B20" s="190">
        <f>SUBTOTAL(102,G$15:G20)</f>
        <v>6</v>
      </c>
      <c r="C20" s="69">
        <v>113107211</v>
      </c>
      <c r="D20" s="169" t="s">
        <v>215</v>
      </c>
      <c r="E20" s="190" t="s">
        <v>99</v>
      </c>
      <c r="F20" s="191">
        <v>34.1</v>
      </c>
      <c r="G20" s="86">
        <v>0</v>
      </c>
      <c r="H20" s="192"/>
      <c r="I20" s="193">
        <f t="shared" si="0"/>
        <v>0</v>
      </c>
      <c r="J20" s="194">
        <v>0.6</v>
      </c>
      <c r="K20" s="195">
        <f>J20*F20</f>
        <v>20.46</v>
      </c>
      <c r="L20" s="105"/>
      <c r="M20" s="105"/>
      <c r="N20" s="196" t="s">
        <v>271</v>
      </c>
      <c r="O20" s="197"/>
      <c r="P20" s="198"/>
      <c r="Q20" s="198"/>
    </row>
    <row r="21" spans="1:17" s="175" customFormat="1" ht="22.5">
      <c r="A21" s="105"/>
      <c r="B21" s="190">
        <f>SUBTOTAL(102,G$15:G21)</f>
        <v>7</v>
      </c>
      <c r="C21" s="69">
        <v>113107211</v>
      </c>
      <c r="D21" s="169" t="s">
        <v>216</v>
      </c>
      <c r="E21" s="190" t="s">
        <v>99</v>
      </c>
      <c r="F21" s="191">
        <v>332</v>
      </c>
      <c r="G21" s="86">
        <v>0</v>
      </c>
      <c r="H21" s="192"/>
      <c r="I21" s="193">
        <f t="shared" si="0"/>
        <v>0</v>
      </c>
      <c r="J21" s="194">
        <v>0.105</v>
      </c>
      <c r="K21" s="195">
        <f>J21*F21</f>
        <v>34.86</v>
      </c>
      <c r="L21" s="105"/>
      <c r="M21" s="105"/>
      <c r="N21" s="196" t="s">
        <v>271</v>
      </c>
      <c r="O21" s="197"/>
      <c r="P21" s="198"/>
      <c r="Q21" s="198"/>
    </row>
    <row r="22" spans="1:17" s="175" customFormat="1" ht="33.75">
      <c r="A22" s="105"/>
      <c r="B22" s="190">
        <f>SUBTOTAL(102,G$15:G22)</f>
        <v>8</v>
      </c>
      <c r="C22" s="69">
        <v>114203101</v>
      </c>
      <c r="D22" s="169" t="s">
        <v>254</v>
      </c>
      <c r="E22" s="190" t="s">
        <v>46</v>
      </c>
      <c r="F22" s="191">
        <v>0.2</v>
      </c>
      <c r="G22" s="86">
        <v>0</v>
      </c>
      <c r="H22" s="192"/>
      <c r="I22" s="193">
        <f t="shared" si="0"/>
        <v>0</v>
      </c>
      <c r="J22" s="194">
        <v>2</v>
      </c>
      <c r="K22" s="195">
        <f>J22*F22</f>
        <v>0.4</v>
      </c>
      <c r="L22" s="105"/>
      <c r="M22" s="105"/>
      <c r="N22" s="196" t="s">
        <v>271</v>
      </c>
      <c r="O22" s="197"/>
      <c r="P22" s="198"/>
      <c r="Q22" s="198"/>
    </row>
    <row r="23" spans="1:17" s="175" customFormat="1" ht="22.5">
      <c r="A23" s="105"/>
      <c r="B23" s="190">
        <f>SUBTOTAL(102,G$15:G23)</f>
        <v>9</v>
      </c>
      <c r="C23" s="69">
        <v>961043111</v>
      </c>
      <c r="D23" s="169" t="s">
        <v>217</v>
      </c>
      <c r="E23" s="190" t="s">
        <v>46</v>
      </c>
      <c r="F23" s="199">
        <v>27.18</v>
      </c>
      <c r="G23" s="86">
        <v>0</v>
      </c>
      <c r="H23" s="192"/>
      <c r="I23" s="193">
        <f t="shared" si="0"/>
        <v>0</v>
      </c>
      <c r="J23" s="194">
        <v>2</v>
      </c>
      <c r="K23" s="195">
        <f>J23*F23</f>
        <v>54.36</v>
      </c>
      <c r="L23" s="105"/>
      <c r="M23" s="105"/>
      <c r="N23" s="196" t="s">
        <v>271</v>
      </c>
      <c r="O23" s="197"/>
      <c r="P23" s="198"/>
      <c r="Q23" s="198"/>
    </row>
    <row r="24" spans="1:17" s="175" customFormat="1" ht="22.5">
      <c r="A24" s="105"/>
      <c r="B24" s="190">
        <f>SUBTOTAL(102,G$15:G24)</f>
        <v>10</v>
      </c>
      <c r="C24" s="69">
        <v>963042819</v>
      </c>
      <c r="D24" s="169" t="s">
        <v>218</v>
      </c>
      <c r="E24" s="190" t="s">
        <v>1</v>
      </c>
      <c r="F24" s="191">
        <v>12.5</v>
      </c>
      <c r="G24" s="86">
        <v>0</v>
      </c>
      <c r="H24" s="192"/>
      <c r="I24" s="193">
        <f t="shared" si="0"/>
        <v>0</v>
      </c>
      <c r="J24" s="200"/>
      <c r="K24" s="200"/>
      <c r="L24" s="105"/>
      <c r="M24" s="105"/>
      <c r="N24" s="196" t="s">
        <v>271</v>
      </c>
      <c r="O24" s="197"/>
      <c r="P24" s="198"/>
      <c r="Q24" s="198"/>
    </row>
    <row r="25" spans="1:17" s="175" customFormat="1" ht="22.5">
      <c r="A25" s="105"/>
      <c r="B25" s="190">
        <f>SUBTOTAL(102,G$15:G25)</f>
        <v>11</v>
      </c>
      <c r="C25" s="69">
        <v>122101101</v>
      </c>
      <c r="D25" s="169" t="s">
        <v>219</v>
      </c>
      <c r="E25" s="190" t="s">
        <v>46</v>
      </c>
      <c r="F25" s="191">
        <v>8.9</v>
      </c>
      <c r="G25" s="86">
        <v>0</v>
      </c>
      <c r="H25" s="192"/>
      <c r="I25" s="193">
        <f t="shared" si="0"/>
        <v>0</v>
      </c>
      <c r="J25" s="194">
        <v>1.5</v>
      </c>
      <c r="K25" s="195">
        <f>J25*F25</f>
        <v>13.350000000000001</v>
      </c>
      <c r="L25" s="105"/>
      <c r="M25" s="105"/>
      <c r="N25" s="196" t="s">
        <v>271</v>
      </c>
      <c r="O25" s="197"/>
      <c r="P25" s="198"/>
      <c r="Q25" s="198"/>
    </row>
    <row r="26" spans="1:17" s="175" customFormat="1" ht="22.5">
      <c r="A26" s="105"/>
      <c r="B26" s="190">
        <f>SUBTOTAL(102,G$15:G26)</f>
        <v>12</v>
      </c>
      <c r="C26" s="69">
        <v>976071111</v>
      </c>
      <c r="D26" s="169" t="s">
        <v>307</v>
      </c>
      <c r="E26" s="190" t="s">
        <v>1</v>
      </c>
      <c r="F26" s="199">
        <v>30</v>
      </c>
      <c r="G26" s="86">
        <v>0</v>
      </c>
      <c r="H26" s="192"/>
      <c r="I26" s="193">
        <f t="shared" si="0"/>
        <v>0</v>
      </c>
      <c r="J26" s="200">
        <v>0.02</v>
      </c>
      <c r="K26" s="200">
        <f>J26*F26</f>
        <v>0.6</v>
      </c>
      <c r="L26" s="105"/>
      <c r="M26" s="105"/>
      <c r="N26" s="196" t="s">
        <v>271</v>
      </c>
      <c r="O26" s="197"/>
      <c r="P26" s="198"/>
      <c r="Q26" s="198"/>
    </row>
    <row r="27" spans="1:17" s="205" customFormat="1" ht="11.25">
      <c r="A27" s="201"/>
      <c r="B27" s="190">
        <f>SUBTOTAL(102,G$15:G27)</f>
        <v>13</v>
      </c>
      <c r="C27" s="69">
        <v>979081111</v>
      </c>
      <c r="D27" s="169" t="s">
        <v>220</v>
      </c>
      <c r="E27" s="190" t="s">
        <v>47</v>
      </c>
      <c r="F27" s="199">
        <f>SUBTOTAL(109,K19:K26)</f>
        <v>165.14</v>
      </c>
      <c r="G27" s="86">
        <v>0</v>
      </c>
      <c r="H27" s="202"/>
      <c r="I27" s="193">
        <f t="shared" si="0"/>
        <v>0</v>
      </c>
      <c r="J27" s="200"/>
      <c r="K27" s="200"/>
      <c r="L27" s="201"/>
      <c r="M27" s="201"/>
      <c r="N27" s="196" t="s">
        <v>271</v>
      </c>
      <c r="O27" s="203"/>
      <c r="P27" s="204"/>
      <c r="Q27" s="204"/>
    </row>
    <row r="28" spans="1:17" s="205" customFormat="1" ht="15" customHeight="1">
      <c r="A28" s="201"/>
      <c r="B28" s="190">
        <f>SUBTOTAL(102,G$15:G28)</f>
        <v>14</v>
      </c>
      <c r="C28" s="168">
        <v>979081121</v>
      </c>
      <c r="D28" s="206" t="s">
        <v>340</v>
      </c>
      <c r="E28" s="167" t="s">
        <v>47</v>
      </c>
      <c r="F28" s="207">
        <f>(F27)*(L28-1)</f>
        <v>-165.14</v>
      </c>
      <c r="G28" s="87">
        <v>0</v>
      </c>
      <c r="H28" s="202"/>
      <c r="I28" s="193">
        <f t="shared" si="0"/>
        <v>0</v>
      </c>
      <c r="J28" s="208"/>
      <c r="K28" s="208"/>
      <c r="L28" s="209"/>
      <c r="M28" s="201"/>
      <c r="N28" s="196" t="s">
        <v>271</v>
      </c>
      <c r="O28" s="203"/>
      <c r="P28" s="204"/>
      <c r="Q28" s="204"/>
    </row>
    <row r="29" spans="1:17" s="205" customFormat="1" ht="33.75">
      <c r="A29" s="201"/>
      <c r="B29" s="190">
        <f>SUBTOTAL(102,G$15:G29)</f>
        <v>15</v>
      </c>
      <c r="C29" s="69">
        <v>979089012</v>
      </c>
      <c r="D29" s="169" t="s">
        <v>221</v>
      </c>
      <c r="E29" s="190" t="s">
        <v>47</v>
      </c>
      <c r="F29" s="199">
        <f>SUBTOTAL(109,K19:K25)</f>
        <v>164.54</v>
      </c>
      <c r="G29" s="86">
        <v>0</v>
      </c>
      <c r="H29" s="202"/>
      <c r="I29" s="193">
        <f t="shared" si="0"/>
        <v>0</v>
      </c>
      <c r="J29" s="200"/>
      <c r="K29" s="200"/>
      <c r="L29" s="201"/>
      <c r="M29" s="201"/>
      <c r="N29" s="196" t="s">
        <v>271</v>
      </c>
      <c r="O29" s="203"/>
      <c r="P29" s="204"/>
      <c r="Q29" s="204"/>
    </row>
    <row r="30" spans="1:17" s="205" customFormat="1" ht="33.75">
      <c r="A30" s="201"/>
      <c r="B30" s="190">
        <f>SUBTOTAL(102,G$15:G30)</f>
        <v>16</v>
      </c>
      <c r="C30" s="168">
        <v>979089312</v>
      </c>
      <c r="D30" s="206" t="s">
        <v>222</v>
      </c>
      <c r="E30" s="167" t="s">
        <v>47</v>
      </c>
      <c r="F30" s="170">
        <f>SUBTOTAL(109,K26)</f>
        <v>0.6</v>
      </c>
      <c r="G30" s="87">
        <v>0</v>
      </c>
      <c r="H30" s="202"/>
      <c r="I30" s="193">
        <f t="shared" si="0"/>
        <v>0</v>
      </c>
      <c r="J30" s="208"/>
      <c r="K30" s="208"/>
      <c r="L30" s="201"/>
      <c r="M30" s="201"/>
      <c r="N30" s="210" t="s">
        <v>272</v>
      </c>
      <c r="O30" s="203"/>
      <c r="P30" s="204"/>
      <c r="Q30" s="204"/>
    </row>
    <row r="31" spans="1:17" s="205" customFormat="1" ht="22.5">
      <c r="A31" s="201"/>
      <c r="B31" s="190">
        <f>SUBTOTAL(102,G$15:G31)</f>
        <v>17</v>
      </c>
      <c r="C31" s="168">
        <v>174101001</v>
      </c>
      <c r="D31" s="169" t="s">
        <v>223</v>
      </c>
      <c r="E31" s="190" t="s">
        <v>46</v>
      </c>
      <c r="F31" s="211">
        <v>76.9</v>
      </c>
      <c r="G31" s="87">
        <v>0</v>
      </c>
      <c r="H31" s="202"/>
      <c r="I31" s="193">
        <f t="shared" si="0"/>
        <v>0</v>
      </c>
      <c r="J31" s="194">
        <v>1.8</v>
      </c>
      <c r="K31" s="194">
        <f>J31*F31</f>
        <v>138.42000000000002</v>
      </c>
      <c r="L31" s="201"/>
      <c r="M31" s="201"/>
      <c r="N31" s="212" t="s">
        <v>274</v>
      </c>
      <c r="O31" s="203"/>
      <c r="P31" s="204"/>
      <c r="Q31" s="204"/>
    </row>
    <row r="32" spans="1:17" s="205" customFormat="1" ht="22.5">
      <c r="A32" s="201"/>
      <c r="B32" s="190">
        <f>SUBTOTAL(102,G$15:G32)</f>
        <v>18</v>
      </c>
      <c r="C32" s="69">
        <v>122101102</v>
      </c>
      <c r="D32" s="213" t="s">
        <v>224</v>
      </c>
      <c r="E32" s="190" t="s">
        <v>46</v>
      </c>
      <c r="F32" s="199">
        <v>124.1</v>
      </c>
      <c r="G32" s="86">
        <v>0</v>
      </c>
      <c r="H32" s="202"/>
      <c r="I32" s="193">
        <f t="shared" si="0"/>
        <v>0</v>
      </c>
      <c r="J32" s="194">
        <v>1.8</v>
      </c>
      <c r="K32" s="194">
        <f>J32*F32</f>
        <v>223.38</v>
      </c>
      <c r="L32" s="201"/>
      <c r="M32" s="201"/>
      <c r="N32" s="196" t="s">
        <v>271</v>
      </c>
      <c r="O32" s="203"/>
      <c r="P32" s="204"/>
      <c r="Q32" s="204"/>
    </row>
    <row r="33" spans="1:17" s="205" customFormat="1" ht="23.25" thickBot="1">
      <c r="A33" s="201"/>
      <c r="B33" s="167">
        <f>SUBTOTAL(102,G$15:G33)</f>
        <v>19</v>
      </c>
      <c r="C33" s="168">
        <v>171102103</v>
      </c>
      <c r="D33" s="206" t="s">
        <v>225</v>
      </c>
      <c r="E33" s="167" t="s">
        <v>46</v>
      </c>
      <c r="F33" s="170">
        <v>5</v>
      </c>
      <c r="G33" s="87">
        <v>0</v>
      </c>
      <c r="H33" s="214"/>
      <c r="I33" s="172">
        <f t="shared" si="0"/>
        <v>0</v>
      </c>
      <c r="J33" s="173">
        <v>1.8</v>
      </c>
      <c r="K33" s="173">
        <f>J33*F33</f>
        <v>9</v>
      </c>
      <c r="L33" s="201"/>
      <c r="M33" s="201"/>
      <c r="N33" s="196" t="s">
        <v>271</v>
      </c>
      <c r="O33" s="203"/>
      <c r="P33" s="204"/>
      <c r="Q33" s="204"/>
    </row>
    <row r="34" spans="1:15" s="222" customFormat="1" ht="12.75">
      <c r="A34" s="116"/>
      <c r="B34" s="215"/>
      <c r="C34" s="216"/>
      <c r="D34" s="217" t="s">
        <v>346</v>
      </c>
      <c r="E34" s="218"/>
      <c r="F34" s="219"/>
      <c r="G34" s="220"/>
      <c r="H34" s="219"/>
      <c r="I34" s="219"/>
      <c r="J34" s="219"/>
      <c r="K34" s="221"/>
      <c r="L34" s="164"/>
      <c r="M34" s="164"/>
      <c r="N34" s="114"/>
      <c r="O34" s="111"/>
    </row>
    <row r="35" spans="1:15" ht="10.5" customHeight="1" thickBot="1">
      <c r="A35" s="116"/>
      <c r="B35" s="223"/>
      <c r="C35" s="224"/>
      <c r="D35" s="225" t="s">
        <v>113</v>
      </c>
      <c r="E35" s="975">
        <f>SUBTOTAL(109,I14:I33)</f>
        <v>0</v>
      </c>
      <c r="F35" s="975"/>
      <c r="G35" s="975"/>
      <c r="H35" s="975"/>
      <c r="I35" s="975"/>
      <c r="J35" s="226"/>
      <c r="K35" s="227"/>
      <c r="L35" s="164"/>
      <c r="M35" s="164"/>
      <c r="N35" s="114"/>
      <c r="O35" s="111"/>
    </row>
    <row r="36" spans="1:15" ht="10.5" customHeight="1" thickBot="1">
      <c r="A36" s="158"/>
      <c r="B36" s="228"/>
      <c r="C36" s="229"/>
      <c r="D36" s="230" t="s">
        <v>114</v>
      </c>
      <c r="E36" s="976">
        <f>SUBTOTAL(109,H14:H33)</f>
        <v>0</v>
      </c>
      <c r="F36" s="976"/>
      <c r="G36" s="976"/>
      <c r="H36" s="976"/>
      <c r="I36" s="231"/>
      <c r="J36" s="232"/>
      <c r="K36" s="233">
        <f>SUBTOTAL(109,K14:K33)</f>
        <v>535.94</v>
      </c>
      <c r="L36" s="234"/>
      <c r="M36" s="234"/>
      <c r="N36" s="114"/>
      <c r="O36" s="111"/>
    </row>
    <row r="37" spans="1:15" s="237" customFormat="1" ht="12.75">
      <c r="A37" s="158"/>
      <c r="B37" s="184"/>
      <c r="C37" s="235"/>
      <c r="D37" s="161" t="s">
        <v>268</v>
      </c>
      <c r="E37" s="154"/>
      <c r="F37" s="236"/>
      <c r="G37" s="21"/>
      <c r="H37" s="235"/>
      <c r="I37" s="154"/>
      <c r="J37" s="235"/>
      <c r="K37" s="152"/>
      <c r="L37" s="164"/>
      <c r="M37" s="164"/>
      <c r="N37" s="165"/>
      <c r="O37" s="166"/>
    </row>
    <row r="38" spans="1:19" s="245" customFormat="1" ht="22.5" customHeight="1">
      <c r="A38" s="238"/>
      <c r="B38" s="190">
        <f>SUBTOTAL(102,G$15:G38)</f>
        <v>20</v>
      </c>
      <c r="C38" s="69" t="s">
        <v>226</v>
      </c>
      <c r="D38" s="239" t="s">
        <v>227</v>
      </c>
      <c r="E38" s="240" t="s">
        <v>48</v>
      </c>
      <c r="F38" s="199">
        <f>F49+F58</f>
        <v>454.66</v>
      </c>
      <c r="G38" s="86">
        <v>0</v>
      </c>
      <c r="H38" s="241"/>
      <c r="I38" s="193">
        <f aca="true" t="shared" si="1" ref="I38:I55">ROUND(ROUND(G38,2)*ROUND(F38,2),2)</f>
        <v>0</v>
      </c>
      <c r="J38" s="241"/>
      <c r="K38" s="241"/>
      <c r="L38" s="242"/>
      <c r="M38" s="242"/>
      <c r="N38" s="196" t="s">
        <v>271</v>
      </c>
      <c r="O38" s="243"/>
      <c r="P38" s="244"/>
      <c r="Q38" s="244"/>
      <c r="R38" s="244"/>
      <c r="S38" s="244"/>
    </row>
    <row r="39" spans="1:19" s="245" customFormat="1" ht="34.5" thickBot="1">
      <c r="A39" s="238"/>
      <c r="B39" s="190">
        <f>SUBTOTAL(102,G$15:G39)</f>
        <v>21</v>
      </c>
      <c r="C39" s="246">
        <v>916561112</v>
      </c>
      <c r="D39" s="247" t="s">
        <v>275</v>
      </c>
      <c r="E39" s="248" t="s">
        <v>1</v>
      </c>
      <c r="F39" s="249">
        <v>196</v>
      </c>
      <c r="G39" s="86">
        <v>0</v>
      </c>
      <c r="H39" s="241"/>
      <c r="I39" s="193">
        <f t="shared" si="1"/>
        <v>0</v>
      </c>
      <c r="J39" s="241"/>
      <c r="K39" s="241"/>
      <c r="L39" s="242"/>
      <c r="M39" s="242"/>
      <c r="N39" s="196" t="s">
        <v>271</v>
      </c>
      <c r="O39" s="243"/>
      <c r="P39" s="244"/>
      <c r="Q39" s="244"/>
      <c r="R39" s="244"/>
      <c r="S39" s="244"/>
    </row>
    <row r="40" spans="1:15" s="222" customFormat="1" ht="23.25" thickBot="1">
      <c r="A40" s="116"/>
      <c r="B40" s="177">
        <f>SUBTOTAL(102,G$15:G104)</f>
        <v>85</v>
      </c>
      <c r="C40" s="250" t="s">
        <v>43</v>
      </c>
      <c r="D40" s="251" t="s">
        <v>360</v>
      </c>
      <c r="E40" s="252" t="s">
        <v>36</v>
      </c>
      <c r="F40" s="180">
        <f>ROUNDUP((F39*1.05),0)</f>
        <v>206</v>
      </c>
      <c r="G40" s="74">
        <v>0</v>
      </c>
      <c r="H40" s="181">
        <f>ROUND(ROUND(G40,2)*ROUND(F40,2),2)</f>
        <v>0</v>
      </c>
      <c r="I40" s="253"/>
      <c r="J40" s="254">
        <v>0.0235</v>
      </c>
      <c r="K40" s="255">
        <f>J40*F40</f>
        <v>4.841</v>
      </c>
      <c r="L40" s="164"/>
      <c r="M40" s="164"/>
      <c r="N40" s="106" t="s">
        <v>335</v>
      </c>
      <c r="O40" s="111"/>
    </row>
    <row r="41" spans="1:19" s="245" customFormat="1" ht="11.25" customHeight="1">
      <c r="A41" s="238"/>
      <c r="B41" s="184">
        <f>SUBTOTAL(102,G$15:G41)</f>
        <v>23</v>
      </c>
      <c r="C41" s="85"/>
      <c r="D41" s="256" t="s">
        <v>228</v>
      </c>
      <c r="E41" s="184" t="s">
        <v>1</v>
      </c>
      <c r="F41" s="257">
        <v>106</v>
      </c>
      <c r="G41" s="101">
        <v>0</v>
      </c>
      <c r="H41" s="258"/>
      <c r="I41" s="188">
        <f t="shared" si="1"/>
        <v>0</v>
      </c>
      <c r="J41" s="259"/>
      <c r="K41" s="259"/>
      <c r="L41" s="242"/>
      <c r="M41" s="242"/>
      <c r="N41" s="260"/>
      <c r="O41" s="243"/>
      <c r="P41" s="244"/>
      <c r="Q41" s="244"/>
      <c r="R41" s="244"/>
      <c r="S41" s="244"/>
    </row>
    <row r="42" spans="1:19" s="266" customFormat="1" ht="12" thickBot="1">
      <c r="A42" s="238"/>
      <c r="B42" s="167">
        <f>SUBTOTAL(102,G$15:G42)</f>
        <v>24</v>
      </c>
      <c r="C42" s="83"/>
      <c r="D42" s="261" t="s">
        <v>229</v>
      </c>
      <c r="E42" s="167" t="s">
        <v>1</v>
      </c>
      <c r="F42" s="262">
        <v>6.3</v>
      </c>
      <c r="G42" s="90">
        <v>0</v>
      </c>
      <c r="H42" s="263"/>
      <c r="I42" s="172">
        <f t="shared" si="1"/>
        <v>0</v>
      </c>
      <c r="J42" s="263"/>
      <c r="K42" s="263"/>
      <c r="L42" s="242"/>
      <c r="M42" s="242"/>
      <c r="N42" s="260"/>
      <c r="O42" s="264"/>
      <c r="P42" s="265"/>
      <c r="Q42" s="265"/>
      <c r="R42" s="265"/>
      <c r="S42" s="265"/>
    </row>
    <row r="43" spans="1:15" s="222" customFormat="1" ht="12.75">
      <c r="A43" s="116"/>
      <c r="B43" s="267">
        <f>SUBTOTAL(102,G$15:G43)</f>
        <v>25</v>
      </c>
      <c r="C43" s="268" t="s">
        <v>43</v>
      </c>
      <c r="D43" s="269" t="s">
        <v>359</v>
      </c>
      <c r="E43" s="270" t="s">
        <v>1</v>
      </c>
      <c r="F43" s="271">
        <f>ROUNDUP((F41*1.05),0)</f>
        <v>112</v>
      </c>
      <c r="G43" s="71">
        <v>0</v>
      </c>
      <c r="H43" s="272">
        <f>ROUND(ROUND(G43,2)*ROUND(F43,2),2)</f>
        <v>0</v>
      </c>
      <c r="I43" s="273"/>
      <c r="J43" s="274">
        <v>0.007</v>
      </c>
      <c r="K43" s="275">
        <f>J43*F43</f>
        <v>0.784</v>
      </c>
      <c r="L43" s="164"/>
      <c r="M43" s="164"/>
      <c r="N43" s="114"/>
      <c r="O43" s="111"/>
    </row>
    <row r="44" spans="1:15" s="222" customFormat="1" ht="12.75">
      <c r="A44" s="116"/>
      <c r="B44" s="276">
        <f>SUBTOTAL(102,G$15:G44)</f>
        <v>26</v>
      </c>
      <c r="C44" s="277" t="s">
        <v>43</v>
      </c>
      <c r="D44" s="278" t="s">
        <v>358</v>
      </c>
      <c r="E44" s="248" t="s">
        <v>1</v>
      </c>
      <c r="F44" s="199">
        <f>ROUNDUP((F42*1.05),0)</f>
        <v>7</v>
      </c>
      <c r="G44" s="72">
        <v>0</v>
      </c>
      <c r="H44" s="193">
        <f>ROUND(ROUND(G44,2)*ROUND(F44,2),2)</f>
        <v>0</v>
      </c>
      <c r="I44" s="279"/>
      <c r="J44" s="200">
        <v>0.007</v>
      </c>
      <c r="K44" s="280">
        <f>J44*F44</f>
        <v>0.049</v>
      </c>
      <c r="L44" s="164"/>
      <c r="M44" s="164"/>
      <c r="N44" s="114"/>
      <c r="O44" s="111"/>
    </row>
    <row r="45" spans="1:15" s="222" customFormat="1" ht="34.5" thickBot="1">
      <c r="A45" s="116"/>
      <c r="B45" s="281">
        <f>SUBTOTAL(102,G$15:G104)</f>
        <v>85</v>
      </c>
      <c r="C45" s="282" t="s">
        <v>43</v>
      </c>
      <c r="D45" s="283" t="s">
        <v>370</v>
      </c>
      <c r="E45" s="284" t="s">
        <v>1</v>
      </c>
      <c r="F45" s="285">
        <f>ROUNDUP((F43)*2*0.5,0)+2</f>
        <v>114</v>
      </c>
      <c r="G45" s="84">
        <v>0</v>
      </c>
      <c r="H45" s="286">
        <f>ROUND(ROUND(G45,2)*ROUND(F45,2),2)</f>
        <v>0</v>
      </c>
      <c r="I45" s="287"/>
      <c r="J45" s="288">
        <v>0.0002</v>
      </c>
      <c r="K45" s="289">
        <f>J45*F45</f>
        <v>0.0228</v>
      </c>
      <c r="L45" s="164"/>
      <c r="M45" s="164"/>
      <c r="N45" s="114"/>
      <c r="O45" s="111"/>
    </row>
    <row r="46" spans="1:19" s="266" customFormat="1" ht="22.5">
      <c r="A46" s="238"/>
      <c r="B46" s="184">
        <f>SUBTOTAL(102,G$15:G46)</f>
        <v>28</v>
      </c>
      <c r="C46" s="290">
        <v>564831111</v>
      </c>
      <c r="D46" s="291" t="s">
        <v>230</v>
      </c>
      <c r="E46" s="292" t="s">
        <v>99</v>
      </c>
      <c r="F46" s="293">
        <f>F49</f>
        <v>269.04</v>
      </c>
      <c r="G46" s="88">
        <v>0</v>
      </c>
      <c r="H46" s="258"/>
      <c r="I46" s="188">
        <f t="shared" si="1"/>
        <v>0</v>
      </c>
      <c r="J46" s="258"/>
      <c r="K46" s="258"/>
      <c r="L46" s="294"/>
      <c r="M46" s="294"/>
      <c r="N46" s="196" t="s">
        <v>333</v>
      </c>
      <c r="O46" s="264"/>
      <c r="P46" s="265"/>
      <c r="Q46" s="265"/>
      <c r="R46" s="265"/>
      <c r="S46" s="265"/>
    </row>
    <row r="47" spans="1:19" s="301" customFormat="1" ht="22.5">
      <c r="A47" s="238"/>
      <c r="B47" s="190">
        <f>SUBTOTAL(102,G$15:G47)</f>
        <v>29</v>
      </c>
      <c r="C47" s="295">
        <v>564811111</v>
      </c>
      <c r="D47" s="296" t="s">
        <v>231</v>
      </c>
      <c r="E47" s="248" t="s">
        <v>99</v>
      </c>
      <c r="F47" s="297">
        <f>F49</f>
        <v>269.04</v>
      </c>
      <c r="G47" s="88">
        <v>0</v>
      </c>
      <c r="H47" s="241"/>
      <c r="I47" s="193">
        <f t="shared" si="1"/>
        <v>0</v>
      </c>
      <c r="J47" s="241"/>
      <c r="K47" s="241"/>
      <c r="L47" s="298"/>
      <c r="M47" s="298"/>
      <c r="N47" s="196" t="s">
        <v>331</v>
      </c>
      <c r="O47" s="299"/>
      <c r="P47" s="300"/>
      <c r="Q47" s="300"/>
      <c r="R47" s="300"/>
      <c r="S47" s="300"/>
    </row>
    <row r="48" spans="1:19" s="301" customFormat="1" ht="22.5">
      <c r="A48" s="238"/>
      <c r="B48" s="190">
        <f>SUBTOTAL(102,G$15:G48)</f>
        <v>30</v>
      </c>
      <c r="C48" s="70">
        <v>451577777</v>
      </c>
      <c r="D48" s="296" t="s">
        <v>232</v>
      </c>
      <c r="E48" s="248" t="s">
        <v>48</v>
      </c>
      <c r="F48" s="199">
        <f>F49</f>
        <v>269.04</v>
      </c>
      <c r="G48" s="86">
        <v>0</v>
      </c>
      <c r="H48" s="241"/>
      <c r="I48" s="193">
        <f t="shared" si="1"/>
        <v>0</v>
      </c>
      <c r="J48" s="241"/>
      <c r="K48" s="241"/>
      <c r="L48" s="298"/>
      <c r="M48" s="298"/>
      <c r="N48" s="196" t="s">
        <v>271</v>
      </c>
      <c r="O48" s="299"/>
      <c r="P48" s="300"/>
      <c r="Q48" s="300"/>
      <c r="R48" s="300"/>
      <c r="S48" s="300"/>
    </row>
    <row r="49" spans="1:15" s="175" customFormat="1" ht="23.25" thickBot="1">
      <c r="A49" s="165"/>
      <c r="B49" s="167">
        <f>SUBTOTAL(102,G$15:G49)</f>
        <v>31</v>
      </c>
      <c r="C49" s="82">
        <v>596811312</v>
      </c>
      <c r="D49" s="302" t="s">
        <v>233</v>
      </c>
      <c r="E49" s="303" t="s">
        <v>48</v>
      </c>
      <c r="F49" s="262">
        <v>269.04</v>
      </c>
      <c r="G49" s="87">
        <v>0</v>
      </c>
      <c r="H49" s="171"/>
      <c r="I49" s="172">
        <f t="shared" si="1"/>
        <v>0</v>
      </c>
      <c r="J49" s="171"/>
      <c r="K49" s="171"/>
      <c r="L49" s="105"/>
      <c r="M49" s="105"/>
      <c r="N49" s="196" t="s">
        <v>271</v>
      </c>
      <c r="O49" s="111"/>
    </row>
    <row r="50" spans="1:15" s="222" customFormat="1" ht="12.75">
      <c r="A50" s="116"/>
      <c r="B50" s="267">
        <f>SUBTOTAL(102,G$15:G50)</f>
        <v>32</v>
      </c>
      <c r="C50" s="304" t="s">
        <v>43</v>
      </c>
      <c r="D50" s="305" t="s">
        <v>243</v>
      </c>
      <c r="E50" s="306" t="s">
        <v>47</v>
      </c>
      <c r="F50" s="307">
        <f>((F46*0.1)*1.5)</f>
        <v>40.35600000000001</v>
      </c>
      <c r="G50" s="81">
        <v>0</v>
      </c>
      <c r="H50" s="272">
        <f>ROUND(ROUND(G50,2)*ROUND(F50,2),2)</f>
        <v>0</v>
      </c>
      <c r="I50" s="273"/>
      <c r="J50" s="308">
        <v>1</v>
      </c>
      <c r="K50" s="275">
        <f>J50*F50</f>
        <v>40.35600000000001</v>
      </c>
      <c r="L50" s="164"/>
      <c r="M50" s="164"/>
      <c r="N50" s="114"/>
      <c r="O50" s="111"/>
    </row>
    <row r="51" spans="1:15" s="222" customFormat="1" ht="12.75">
      <c r="A51" s="116"/>
      <c r="B51" s="276">
        <f>SUBTOTAL(102,G$15:G51)</f>
        <v>33</v>
      </c>
      <c r="C51" s="309" t="s">
        <v>43</v>
      </c>
      <c r="D51" s="310" t="s">
        <v>244</v>
      </c>
      <c r="E51" s="190" t="s">
        <v>47</v>
      </c>
      <c r="F51" s="297">
        <f>((F47*0.05)*1.5)</f>
        <v>20.178000000000004</v>
      </c>
      <c r="G51" s="716">
        <v>0</v>
      </c>
      <c r="H51" s="193">
        <f>ROUND(ROUND(G51,2)*ROUND(F51,2),2)</f>
        <v>0</v>
      </c>
      <c r="I51" s="279"/>
      <c r="J51" s="194">
        <v>1</v>
      </c>
      <c r="K51" s="280">
        <f>J51*F51</f>
        <v>20.178000000000004</v>
      </c>
      <c r="L51" s="164"/>
      <c r="M51" s="164"/>
      <c r="N51" s="114"/>
      <c r="O51" s="111"/>
    </row>
    <row r="52" spans="1:15" s="222" customFormat="1" ht="12.75">
      <c r="A52" s="116"/>
      <c r="B52" s="276">
        <f>SUBTOTAL(102,G$15:G52)</f>
        <v>34</v>
      </c>
      <c r="C52" s="309" t="s">
        <v>43</v>
      </c>
      <c r="D52" s="310" t="s">
        <v>245</v>
      </c>
      <c r="E52" s="190" t="s">
        <v>47</v>
      </c>
      <c r="F52" s="297">
        <f>((F48*0.04)*1.5)</f>
        <v>16.142400000000002</v>
      </c>
      <c r="G52" s="716">
        <v>0</v>
      </c>
      <c r="H52" s="193">
        <f>ROUND(ROUND(G52,2)*ROUND(F52,2),2)</f>
        <v>0</v>
      </c>
      <c r="I52" s="279"/>
      <c r="J52" s="194">
        <v>1</v>
      </c>
      <c r="K52" s="280">
        <f>J52*F52</f>
        <v>16.142400000000002</v>
      </c>
      <c r="L52" s="164"/>
      <c r="M52" s="164"/>
      <c r="N52" s="114"/>
      <c r="O52" s="111"/>
    </row>
    <row r="53" spans="1:15" s="222" customFormat="1" ht="23.25" thickBot="1">
      <c r="A53" s="116"/>
      <c r="B53" s="281">
        <f>SUBTOTAL(102,G$15:G104)</f>
        <v>85</v>
      </c>
      <c r="C53" s="311" t="s">
        <v>43</v>
      </c>
      <c r="D53" s="283" t="s">
        <v>361</v>
      </c>
      <c r="E53" s="312" t="s">
        <v>48</v>
      </c>
      <c r="F53" s="313">
        <f>ROUNDUP((F49*1.05),0)</f>
        <v>283</v>
      </c>
      <c r="G53" s="73">
        <v>0</v>
      </c>
      <c r="H53" s="286">
        <f>ROUND(ROUND(G53,2)*ROUND(F53,2),2)</f>
        <v>0</v>
      </c>
      <c r="I53" s="287"/>
      <c r="J53" s="314">
        <v>0.15</v>
      </c>
      <c r="K53" s="289">
        <f>J53*F53</f>
        <v>42.449999999999996</v>
      </c>
      <c r="L53" s="164"/>
      <c r="M53" s="164"/>
      <c r="N53" s="114"/>
      <c r="O53" s="111"/>
    </row>
    <row r="54" spans="1:15" ht="22.5">
      <c r="A54" s="315"/>
      <c r="B54" s="184">
        <f>SUBTOTAL(102,G$15:G54)</f>
        <v>36</v>
      </c>
      <c r="C54" s="316">
        <v>457971121</v>
      </c>
      <c r="D54" s="317" t="s">
        <v>276</v>
      </c>
      <c r="E54" s="292" t="s">
        <v>48</v>
      </c>
      <c r="F54" s="186">
        <f>F58</f>
        <v>185.62</v>
      </c>
      <c r="G54" s="88">
        <v>0</v>
      </c>
      <c r="H54" s="318"/>
      <c r="I54" s="188">
        <f t="shared" si="1"/>
        <v>0</v>
      </c>
      <c r="J54" s="319"/>
      <c r="K54" s="319"/>
      <c r="L54" s="197"/>
      <c r="M54" s="197"/>
      <c r="N54" s="196" t="s">
        <v>277</v>
      </c>
      <c r="O54" s="111"/>
    </row>
    <row r="55" spans="1:15" ht="22.5">
      <c r="A55" s="315"/>
      <c r="B55" s="190">
        <f>SUBTOTAL(102,G$15:G55)</f>
        <v>37</v>
      </c>
      <c r="C55" s="320">
        <v>564811112</v>
      </c>
      <c r="D55" s="296" t="s">
        <v>234</v>
      </c>
      <c r="E55" s="248" t="s">
        <v>99</v>
      </c>
      <c r="F55" s="297">
        <f>F58</f>
        <v>185.62</v>
      </c>
      <c r="G55" s="88">
        <v>0</v>
      </c>
      <c r="H55" s="321"/>
      <c r="I55" s="193">
        <f t="shared" si="1"/>
        <v>0</v>
      </c>
      <c r="J55" s="322"/>
      <c r="K55" s="322"/>
      <c r="L55" s="197"/>
      <c r="M55" s="197"/>
      <c r="N55" s="196" t="s">
        <v>332</v>
      </c>
      <c r="O55" s="111"/>
    </row>
    <row r="56" spans="1:19" s="245" customFormat="1" ht="22.5" customHeight="1">
      <c r="A56" s="238"/>
      <c r="B56" s="190">
        <f>SUBTOTAL(102,G$15:G56)</f>
        <v>38</v>
      </c>
      <c r="C56" s="320">
        <v>564811111</v>
      </c>
      <c r="D56" s="296" t="s">
        <v>231</v>
      </c>
      <c r="E56" s="248" t="s">
        <v>48</v>
      </c>
      <c r="F56" s="297">
        <f>F58</f>
        <v>185.62</v>
      </c>
      <c r="G56" s="88">
        <v>0</v>
      </c>
      <c r="H56" s="241"/>
      <c r="I56" s="193">
        <f aca="true" t="shared" si="2" ref="I56:I75">ROUND(ROUND(G56,2)*ROUND(F56,2),2)</f>
        <v>0</v>
      </c>
      <c r="J56" s="241"/>
      <c r="K56" s="241"/>
      <c r="L56" s="242"/>
      <c r="M56" s="242"/>
      <c r="N56" s="196" t="s">
        <v>331</v>
      </c>
      <c r="O56" s="243"/>
      <c r="P56" s="244"/>
      <c r="Q56" s="244"/>
      <c r="R56" s="244"/>
      <c r="S56" s="244"/>
    </row>
    <row r="57" spans="1:19" s="245" customFormat="1" ht="22.5">
      <c r="A57" s="238"/>
      <c r="B57" s="190">
        <f>SUBTOTAL(102,G$15:G57)</f>
        <v>39</v>
      </c>
      <c r="C57" s="320">
        <v>564811111</v>
      </c>
      <c r="D57" s="296" t="s">
        <v>231</v>
      </c>
      <c r="E57" s="248" t="s">
        <v>99</v>
      </c>
      <c r="F57" s="297">
        <f>F58</f>
        <v>185.62</v>
      </c>
      <c r="G57" s="88">
        <v>0</v>
      </c>
      <c r="H57" s="241"/>
      <c r="I57" s="193">
        <f t="shared" si="2"/>
        <v>0</v>
      </c>
      <c r="J57" s="241"/>
      <c r="K57" s="241"/>
      <c r="L57" s="242"/>
      <c r="M57" s="242"/>
      <c r="N57" s="196" t="s">
        <v>331</v>
      </c>
      <c r="O57" s="243"/>
      <c r="P57" s="244"/>
      <c r="Q57" s="244"/>
      <c r="R57" s="244"/>
      <c r="S57" s="244"/>
    </row>
    <row r="58" spans="1:19" s="245" customFormat="1" ht="22.5">
      <c r="A58" s="238"/>
      <c r="B58" s="190">
        <f>SUBTOTAL(102,G$15:G58)</f>
        <v>40</v>
      </c>
      <c r="C58" s="323">
        <v>564801112</v>
      </c>
      <c r="D58" s="324" t="s">
        <v>235</v>
      </c>
      <c r="E58" s="248" t="s">
        <v>99</v>
      </c>
      <c r="F58" s="249">
        <v>185.62</v>
      </c>
      <c r="G58" s="88">
        <v>0</v>
      </c>
      <c r="H58" s="241"/>
      <c r="I58" s="193">
        <f t="shared" si="2"/>
        <v>0</v>
      </c>
      <c r="J58" s="325"/>
      <c r="K58" s="325"/>
      <c r="L58" s="242"/>
      <c r="M58" s="242"/>
      <c r="N58" s="196" t="s">
        <v>330</v>
      </c>
      <c r="O58" s="243"/>
      <c r="P58" s="244"/>
      <c r="Q58" s="244"/>
      <c r="R58" s="244"/>
      <c r="S58" s="244"/>
    </row>
    <row r="59" spans="1:19" s="266" customFormat="1" ht="23.25" thickBot="1">
      <c r="A59" s="238"/>
      <c r="B59" s="167">
        <f>SUBTOTAL(102,G$15:G59)</f>
        <v>41</v>
      </c>
      <c r="C59" s="326">
        <v>185804312</v>
      </c>
      <c r="D59" s="327" t="s">
        <v>236</v>
      </c>
      <c r="E59" s="328" t="s">
        <v>237</v>
      </c>
      <c r="F59" s="329">
        <f>F58*0.02</f>
        <v>3.7124</v>
      </c>
      <c r="G59" s="330">
        <v>0</v>
      </c>
      <c r="H59" s="263"/>
      <c r="I59" s="172">
        <f t="shared" si="2"/>
        <v>0</v>
      </c>
      <c r="J59" s="263"/>
      <c r="K59" s="263"/>
      <c r="L59" s="242"/>
      <c r="M59" s="242"/>
      <c r="N59" s="260"/>
      <c r="O59" s="264"/>
      <c r="P59" s="265"/>
      <c r="Q59" s="265"/>
      <c r="R59" s="265"/>
      <c r="S59" s="265"/>
    </row>
    <row r="60" spans="1:15" s="222" customFormat="1" ht="22.5">
      <c r="A60" s="116"/>
      <c r="B60" s="267">
        <f>SUBTOTAL(102,G$15:G60)</f>
        <v>42</v>
      </c>
      <c r="C60" s="331" t="s">
        <v>43</v>
      </c>
      <c r="D60" s="332" t="s">
        <v>362</v>
      </c>
      <c r="E60" s="270" t="s">
        <v>48</v>
      </c>
      <c r="F60" s="307">
        <f>ROUNDUP((F54*1.05),0)</f>
        <v>195</v>
      </c>
      <c r="G60" s="81">
        <v>0</v>
      </c>
      <c r="H60" s="272">
        <f aca="true" t="shared" si="3" ref="H60:H65">ROUND(ROUND(G60,2)*ROUND(F60,2),2)</f>
        <v>0</v>
      </c>
      <c r="I60" s="273"/>
      <c r="J60" s="333">
        <v>0.0003</v>
      </c>
      <c r="K60" s="275">
        <f aca="true" t="shared" si="4" ref="K60:K65">J60*F60</f>
        <v>0.058499999999999996</v>
      </c>
      <c r="L60" s="164"/>
      <c r="M60" s="164"/>
      <c r="N60" s="114"/>
      <c r="O60" s="111"/>
    </row>
    <row r="61" spans="1:15" s="222" customFormat="1" ht="12.75">
      <c r="A61" s="116"/>
      <c r="B61" s="276">
        <f>SUBTOTAL(102,G$15:G61)</f>
        <v>43</v>
      </c>
      <c r="C61" s="334" t="s">
        <v>43</v>
      </c>
      <c r="D61" s="169" t="s">
        <v>246</v>
      </c>
      <c r="E61" s="190" t="s">
        <v>47</v>
      </c>
      <c r="F61" s="297">
        <f>((F55*0.06)*1.5)</f>
        <v>16.7058</v>
      </c>
      <c r="G61" s="716">
        <v>0</v>
      </c>
      <c r="H61" s="193">
        <f t="shared" si="3"/>
        <v>0</v>
      </c>
      <c r="I61" s="279"/>
      <c r="J61" s="194">
        <v>1</v>
      </c>
      <c r="K61" s="280">
        <f t="shared" si="4"/>
        <v>16.7058</v>
      </c>
      <c r="L61" s="164"/>
      <c r="M61" s="164"/>
      <c r="N61" s="114"/>
      <c r="O61" s="111"/>
    </row>
    <row r="62" spans="1:15" s="222" customFormat="1" ht="12.75">
      <c r="A62" s="116"/>
      <c r="B62" s="276">
        <f>SUBTOTAL(102,G$15:G62)</f>
        <v>44</v>
      </c>
      <c r="C62" s="334" t="s">
        <v>43</v>
      </c>
      <c r="D62" s="169" t="s">
        <v>247</v>
      </c>
      <c r="E62" s="190" t="s">
        <v>47</v>
      </c>
      <c r="F62" s="297">
        <f>((F56*0.05)*1.5)</f>
        <v>13.921500000000002</v>
      </c>
      <c r="G62" s="716">
        <v>0</v>
      </c>
      <c r="H62" s="193">
        <f t="shared" si="3"/>
        <v>0</v>
      </c>
      <c r="I62" s="279"/>
      <c r="J62" s="194">
        <v>1</v>
      </c>
      <c r="K62" s="280">
        <f t="shared" si="4"/>
        <v>13.921500000000002</v>
      </c>
      <c r="L62" s="164"/>
      <c r="M62" s="164"/>
      <c r="N62" s="114"/>
      <c r="O62" s="111"/>
    </row>
    <row r="63" spans="1:15" s="222" customFormat="1" ht="12.75">
      <c r="A63" s="116"/>
      <c r="B63" s="276">
        <f>SUBTOTAL(102,G$15:G63)</f>
        <v>45</v>
      </c>
      <c r="C63" s="334" t="s">
        <v>43</v>
      </c>
      <c r="D63" s="169" t="s">
        <v>244</v>
      </c>
      <c r="E63" s="190" t="s">
        <v>47</v>
      </c>
      <c r="F63" s="297">
        <f>((F57*0.05)*1.5)</f>
        <v>13.921500000000002</v>
      </c>
      <c r="G63" s="716">
        <v>0</v>
      </c>
      <c r="H63" s="193">
        <f t="shared" si="3"/>
        <v>0</v>
      </c>
      <c r="I63" s="279"/>
      <c r="J63" s="200">
        <v>1</v>
      </c>
      <c r="K63" s="280">
        <f t="shared" si="4"/>
        <v>13.921500000000002</v>
      </c>
      <c r="L63" s="164"/>
      <c r="M63" s="164"/>
      <c r="N63" s="114"/>
      <c r="O63" s="111"/>
    </row>
    <row r="64" spans="1:15" s="222" customFormat="1" ht="22.5">
      <c r="A64" s="116"/>
      <c r="B64" s="276">
        <f>SUBTOTAL(102,G$15:G64)</f>
        <v>46</v>
      </c>
      <c r="C64" s="335" t="s">
        <v>43</v>
      </c>
      <c r="D64" s="336" t="s">
        <v>248</v>
      </c>
      <c r="E64" s="190" t="s">
        <v>47</v>
      </c>
      <c r="F64" s="337">
        <f>((F57*0.04)*1.5)</f>
        <v>11.1372</v>
      </c>
      <c r="G64" s="716">
        <v>0</v>
      </c>
      <c r="H64" s="193">
        <f t="shared" si="3"/>
        <v>0</v>
      </c>
      <c r="I64" s="279"/>
      <c r="J64" s="200">
        <v>1</v>
      </c>
      <c r="K64" s="280">
        <f t="shared" si="4"/>
        <v>11.1372</v>
      </c>
      <c r="L64" s="164"/>
      <c r="M64" s="164"/>
      <c r="N64" s="114"/>
      <c r="O64" s="111"/>
    </row>
    <row r="65" spans="1:15" s="222" customFormat="1" ht="23.25" thickBot="1">
      <c r="A65" s="116"/>
      <c r="B65" s="281">
        <f>SUBTOTAL(102,G$15:G104)</f>
        <v>85</v>
      </c>
      <c r="C65" s="338" t="s">
        <v>43</v>
      </c>
      <c r="D65" s="339" t="s">
        <v>249</v>
      </c>
      <c r="E65" s="340" t="s">
        <v>100</v>
      </c>
      <c r="F65" s="341">
        <f>F59</f>
        <v>3.7124</v>
      </c>
      <c r="G65" s="93">
        <v>0</v>
      </c>
      <c r="H65" s="286">
        <f t="shared" si="3"/>
        <v>0</v>
      </c>
      <c r="I65" s="287"/>
      <c r="J65" s="314"/>
      <c r="K65" s="289">
        <f t="shared" si="4"/>
        <v>0</v>
      </c>
      <c r="L65" s="164"/>
      <c r="M65" s="164"/>
      <c r="N65" s="106" t="s">
        <v>288</v>
      </c>
      <c r="O65" s="111"/>
    </row>
    <row r="66" spans="1:19" s="266" customFormat="1" ht="11.25">
      <c r="A66" s="238"/>
      <c r="B66" s="184">
        <f>SUBTOTAL(102,G$15:G66)</f>
        <v>48</v>
      </c>
      <c r="C66" s="80">
        <v>274313612</v>
      </c>
      <c r="D66" s="213" t="s">
        <v>308</v>
      </c>
      <c r="E66" s="342" t="s">
        <v>237</v>
      </c>
      <c r="F66" s="186">
        <v>6.72</v>
      </c>
      <c r="G66" s="88">
        <v>0</v>
      </c>
      <c r="H66" s="258"/>
      <c r="I66" s="188">
        <f t="shared" si="2"/>
        <v>0</v>
      </c>
      <c r="J66" s="258"/>
      <c r="K66" s="258"/>
      <c r="L66" s="294"/>
      <c r="M66" s="294"/>
      <c r="N66" s="196" t="s">
        <v>271</v>
      </c>
      <c r="O66" s="264"/>
      <c r="P66" s="265"/>
      <c r="Q66" s="265"/>
      <c r="R66" s="265"/>
      <c r="S66" s="265"/>
    </row>
    <row r="67" spans="1:19" s="301" customFormat="1" ht="22.5">
      <c r="A67" s="238"/>
      <c r="B67" s="167">
        <f>SUBTOTAL(102,G$15:G67)</f>
        <v>49</v>
      </c>
      <c r="C67" s="79">
        <v>327210110</v>
      </c>
      <c r="D67" s="169" t="s">
        <v>238</v>
      </c>
      <c r="E67" s="328" t="s">
        <v>237</v>
      </c>
      <c r="F67" s="170">
        <f>F69</f>
        <v>8.8</v>
      </c>
      <c r="G67" s="87">
        <v>0</v>
      </c>
      <c r="H67" s="263"/>
      <c r="I67" s="172">
        <f t="shared" si="2"/>
        <v>0</v>
      </c>
      <c r="J67" s="263"/>
      <c r="K67" s="263"/>
      <c r="L67" s="298"/>
      <c r="M67" s="298"/>
      <c r="N67" s="196" t="s">
        <v>278</v>
      </c>
      <c r="O67" s="299"/>
      <c r="P67" s="300"/>
      <c r="Q67" s="300"/>
      <c r="R67" s="300"/>
      <c r="S67" s="300"/>
    </row>
    <row r="68" spans="1:19" s="301" customFormat="1" ht="23.25" thickBot="1">
      <c r="A68" s="238"/>
      <c r="B68" s="167">
        <f>SUBTOTAL(102,G$15:G68)</f>
        <v>50</v>
      </c>
      <c r="C68" s="79">
        <v>711472056</v>
      </c>
      <c r="D68" s="176" t="s">
        <v>342</v>
      </c>
      <c r="E68" s="328" t="s">
        <v>99</v>
      </c>
      <c r="F68" s="170">
        <v>12.5</v>
      </c>
      <c r="G68" s="87">
        <v>0</v>
      </c>
      <c r="H68" s="263"/>
      <c r="I68" s="172">
        <f>ROUND(ROUND(G68,2)*ROUND(F68,2),2)</f>
        <v>0</v>
      </c>
      <c r="J68" s="263"/>
      <c r="K68" s="263"/>
      <c r="L68" s="298"/>
      <c r="M68" s="298"/>
      <c r="N68" s="196" t="s">
        <v>341</v>
      </c>
      <c r="O68" s="299"/>
      <c r="P68" s="300"/>
      <c r="Q68" s="300"/>
      <c r="R68" s="300"/>
      <c r="S68" s="300"/>
    </row>
    <row r="69" spans="1:15" s="222" customFormat="1" ht="22.5">
      <c r="A69" s="116"/>
      <c r="B69" s="267">
        <f>SUBTOTAL(102,G$15:G69)</f>
        <v>51</v>
      </c>
      <c r="C69" s="343" t="s">
        <v>43</v>
      </c>
      <c r="D69" s="344" t="s">
        <v>305</v>
      </c>
      <c r="E69" s="345" t="s">
        <v>100</v>
      </c>
      <c r="F69" s="346">
        <v>8.8</v>
      </c>
      <c r="G69" s="91">
        <v>0</v>
      </c>
      <c r="H69" s="272">
        <f>ROUND(ROUND(G69,2)*ROUND(F69,2),2)</f>
        <v>0</v>
      </c>
      <c r="I69" s="273"/>
      <c r="J69" s="274">
        <v>0.19</v>
      </c>
      <c r="K69" s="275">
        <f>J69*F69</f>
        <v>1.6720000000000002</v>
      </c>
      <c r="L69" s="164"/>
      <c r="M69" s="164"/>
      <c r="N69" s="114"/>
      <c r="O69" s="111"/>
    </row>
    <row r="70" spans="1:15" s="222" customFormat="1" ht="23.25" thickBot="1">
      <c r="A70" s="116"/>
      <c r="B70" s="281">
        <f>SUBTOTAL(102,G$15:G104)</f>
        <v>85</v>
      </c>
      <c r="C70" s="347" t="s">
        <v>43</v>
      </c>
      <c r="D70" s="348" t="s">
        <v>295</v>
      </c>
      <c r="E70" s="312" t="s">
        <v>47</v>
      </c>
      <c r="F70" s="313">
        <f>F69*1.6</f>
        <v>14.080000000000002</v>
      </c>
      <c r="G70" s="102">
        <v>0</v>
      </c>
      <c r="H70" s="286">
        <f>ROUND(ROUND(G70,2)*ROUND(F70,2),2)</f>
        <v>0</v>
      </c>
      <c r="I70" s="287"/>
      <c r="J70" s="314">
        <v>1</v>
      </c>
      <c r="K70" s="289">
        <f>J70*F70</f>
        <v>14.080000000000002</v>
      </c>
      <c r="L70" s="164"/>
      <c r="M70" s="164"/>
      <c r="N70" s="94" t="s">
        <v>296</v>
      </c>
      <c r="O70" s="111"/>
    </row>
    <row r="71" spans="1:19" s="301" customFormat="1" ht="11.25" customHeight="1">
      <c r="A71" s="238"/>
      <c r="B71" s="184">
        <f>SUBTOTAL(102,G$15:G71)</f>
        <v>53</v>
      </c>
      <c r="C71" s="78">
        <v>430321315</v>
      </c>
      <c r="D71" s="213" t="s">
        <v>309</v>
      </c>
      <c r="E71" s="342" t="s">
        <v>237</v>
      </c>
      <c r="F71" s="186">
        <v>8</v>
      </c>
      <c r="G71" s="88">
        <v>0</v>
      </c>
      <c r="H71" s="258"/>
      <c r="I71" s="188">
        <f t="shared" si="2"/>
        <v>0</v>
      </c>
      <c r="J71" s="258"/>
      <c r="K71" s="258"/>
      <c r="L71" s="298"/>
      <c r="M71" s="298"/>
      <c r="N71" s="196" t="s">
        <v>279</v>
      </c>
      <c r="O71" s="299"/>
      <c r="P71" s="300"/>
      <c r="Q71" s="300"/>
      <c r="R71" s="300"/>
      <c r="S71" s="300"/>
    </row>
    <row r="72" spans="1:15" s="175" customFormat="1" ht="11.25" customHeight="1">
      <c r="A72" s="165"/>
      <c r="B72" s="190">
        <f>SUBTOTAL(102,G$15:G72)</f>
        <v>54</v>
      </c>
      <c r="C72" s="69">
        <v>430361831</v>
      </c>
      <c r="D72" s="213" t="s">
        <v>239</v>
      </c>
      <c r="E72" s="190" t="s">
        <v>47</v>
      </c>
      <c r="F72" s="199">
        <v>1</v>
      </c>
      <c r="G72" s="86">
        <v>0</v>
      </c>
      <c r="H72" s="192"/>
      <c r="I72" s="193">
        <f t="shared" si="2"/>
        <v>0</v>
      </c>
      <c r="J72" s="192"/>
      <c r="K72" s="192"/>
      <c r="L72" s="105"/>
      <c r="M72" s="105"/>
      <c r="N72" s="196" t="s">
        <v>279</v>
      </c>
      <c r="O72" s="111"/>
    </row>
    <row r="73" spans="1:15" s="175" customFormat="1" ht="22.5">
      <c r="A73" s="165"/>
      <c r="B73" s="190">
        <f>SUBTOTAL(102,G$15:G73)</f>
        <v>55</v>
      </c>
      <c r="C73" s="69">
        <v>388995212</v>
      </c>
      <c r="D73" s="213" t="s">
        <v>363</v>
      </c>
      <c r="E73" s="190" t="s">
        <v>1</v>
      </c>
      <c r="F73" s="199">
        <v>13</v>
      </c>
      <c r="G73" s="86">
        <v>0</v>
      </c>
      <c r="H73" s="192"/>
      <c r="I73" s="193">
        <f>ROUND(ROUND(G73,2)*ROUND(F73,2),2)</f>
        <v>0</v>
      </c>
      <c r="J73" s="192"/>
      <c r="K73" s="192"/>
      <c r="L73" s="105"/>
      <c r="M73" s="105"/>
      <c r="N73" s="196" t="s">
        <v>279</v>
      </c>
      <c r="O73" s="111"/>
    </row>
    <row r="74" spans="1:15" ht="12.75">
      <c r="A74" s="315"/>
      <c r="B74" s="190">
        <f>SUBTOTAL(102,G$15:G74)</f>
        <v>56</v>
      </c>
      <c r="C74" s="69">
        <v>434351141</v>
      </c>
      <c r="D74" s="213" t="s">
        <v>280</v>
      </c>
      <c r="E74" s="248" t="s">
        <v>99</v>
      </c>
      <c r="F74" s="199">
        <v>12.64</v>
      </c>
      <c r="G74" s="86">
        <v>0</v>
      </c>
      <c r="H74" s="321"/>
      <c r="I74" s="193">
        <f t="shared" si="2"/>
        <v>0</v>
      </c>
      <c r="J74" s="322"/>
      <c r="K74" s="322"/>
      <c r="L74" s="197"/>
      <c r="M74" s="197"/>
      <c r="N74" s="196" t="s">
        <v>279</v>
      </c>
      <c r="O74" s="111"/>
    </row>
    <row r="75" spans="1:15" ht="12.75">
      <c r="A75" s="315"/>
      <c r="B75" s="190">
        <f>SUBTOTAL(102,G$15:G75)</f>
        <v>57</v>
      </c>
      <c r="C75" s="69">
        <v>434351142</v>
      </c>
      <c r="D75" s="213" t="s">
        <v>281</v>
      </c>
      <c r="E75" s="248" t="s">
        <v>99</v>
      </c>
      <c r="F75" s="199">
        <f>F74</f>
        <v>12.64</v>
      </c>
      <c r="G75" s="86">
        <v>0</v>
      </c>
      <c r="H75" s="321"/>
      <c r="I75" s="193">
        <f t="shared" si="2"/>
        <v>0</v>
      </c>
      <c r="J75" s="322"/>
      <c r="K75" s="322"/>
      <c r="L75" s="197"/>
      <c r="M75" s="197"/>
      <c r="N75" s="196" t="s">
        <v>279</v>
      </c>
      <c r="O75" s="111"/>
    </row>
    <row r="76" spans="1:19" s="245" customFormat="1" ht="22.5" customHeight="1" thickBot="1">
      <c r="A76" s="238"/>
      <c r="B76" s="167">
        <f>SUBTOTAL(102,G$15:G76)</f>
        <v>58</v>
      </c>
      <c r="C76" s="77">
        <v>316911111</v>
      </c>
      <c r="D76" s="176" t="s">
        <v>282</v>
      </c>
      <c r="E76" s="303" t="s">
        <v>99</v>
      </c>
      <c r="F76" s="170">
        <v>12.68</v>
      </c>
      <c r="G76" s="90">
        <v>0</v>
      </c>
      <c r="H76" s="263"/>
      <c r="I76" s="172">
        <f aca="true" t="shared" si="5" ref="I76:I86">ROUND(ROUND(G76,2)*ROUND(F76,2),2)</f>
        <v>0</v>
      </c>
      <c r="J76" s="263"/>
      <c r="K76" s="263"/>
      <c r="L76" s="242"/>
      <c r="M76" s="242"/>
      <c r="N76" s="260"/>
      <c r="O76" s="243"/>
      <c r="P76" s="244"/>
      <c r="Q76" s="244"/>
      <c r="R76" s="244"/>
      <c r="S76" s="244"/>
    </row>
    <row r="77" spans="1:15" s="222" customFormat="1" ht="12.75">
      <c r="A77" s="116"/>
      <c r="B77" s="267">
        <f>SUBTOTAL(102,G$15:G77)</f>
        <v>59</v>
      </c>
      <c r="C77" s="349" t="s">
        <v>43</v>
      </c>
      <c r="D77" s="344" t="s">
        <v>287</v>
      </c>
      <c r="E77" s="270" t="s">
        <v>36</v>
      </c>
      <c r="F77" s="271">
        <v>10</v>
      </c>
      <c r="G77" s="91">
        <v>0</v>
      </c>
      <c r="H77" s="272">
        <f>ROUND(ROUND(G77,2)*ROUND(F77,2),2)</f>
        <v>0</v>
      </c>
      <c r="I77" s="273"/>
      <c r="J77" s="274">
        <v>0.025</v>
      </c>
      <c r="K77" s="275">
        <f>J77*F77</f>
        <v>0.25</v>
      </c>
      <c r="L77" s="164"/>
      <c r="M77" s="164"/>
      <c r="N77" s="94" t="s">
        <v>310</v>
      </c>
      <c r="O77" s="111"/>
    </row>
    <row r="78" spans="1:15" s="222" customFormat="1" ht="33.75">
      <c r="A78" s="116"/>
      <c r="B78" s="276">
        <f>SUBTOTAL(102,G$15:G78)</f>
        <v>60</v>
      </c>
      <c r="C78" s="350" t="s">
        <v>43</v>
      </c>
      <c r="D78" s="351" t="s">
        <v>302</v>
      </c>
      <c r="E78" s="248" t="s">
        <v>36</v>
      </c>
      <c r="F78" s="199">
        <v>34</v>
      </c>
      <c r="G78" s="72">
        <v>0</v>
      </c>
      <c r="H78" s="193">
        <f>ROUND(ROUND(G78,2)*ROUND(F78,2),2)</f>
        <v>0</v>
      </c>
      <c r="I78" s="279"/>
      <c r="J78" s="200">
        <v>0.13</v>
      </c>
      <c r="K78" s="280">
        <f>J78*F78</f>
        <v>4.42</v>
      </c>
      <c r="L78" s="164"/>
      <c r="M78" s="164"/>
      <c r="N78" s="114"/>
      <c r="O78" s="111"/>
    </row>
    <row r="79" spans="1:15" s="222" customFormat="1" ht="33.75">
      <c r="A79" s="116"/>
      <c r="B79" s="276">
        <f>SUBTOTAL(102,G$15:G79)</f>
        <v>61</v>
      </c>
      <c r="C79" s="350" t="s">
        <v>43</v>
      </c>
      <c r="D79" s="351" t="s">
        <v>303</v>
      </c>
      <c r="E79" s="248" t="s">
        <v>36</v>
      </c>
      <c r="F79" s="199">
        <v>5</v>
      </c>
      <c r="G79" s="72">
        <v>0</v>
      </c>
      <c r="H79" s="193">
        <f>ROUND(ROUND(G79,2)*ROUND(F79,2),2)</f>
        <v>0</v>
      </c>
      <c r="I79" s="279"/>
      <c r="J79" s="200">
        <v>0.097</v>
      </c>
      <c r="K79" s="280">
        <f>J79*F79</f>
        <v>0.485</v>
      </c>
      <c r="L79" s="164"/>
      <c r="M79" s="164"/>
      <c r="N79" s="114"/>
      <c r="O79" s="111"/>
    </row>
    <row r="80" spans="1:15" s="222" customFormat="1" ht="34.5" thickBot="1">
      <c r="A80" s="116"/>
      <c r="B80" s="281">
        <f>SUBTOTAL(102,G$15:G104)</f>
        <v>85</v>
      </c>
      <c r="C80" s="352" t="s">
        <v>43</v>
      </c>
      <c r="D80" s="348" t="s">
        <v>304</v>
      </c>
      <c r="E80" s="312" t="s">
        <v>36</v>
      </c>
      <c r="F80" s="313">
        <v>6</v>
      </c>
      <c r="G80" s="73">
        <v>0</v>
      </c>
      <c r="H80" s="286">
        <f>ROUND(ROUND(G80,2)*ROUND(F80,2),2)</f>
        <v>0</v>
      </c>
      <c r="I80" s="287"/>
      <c r="J80" s="314">
        <v>0.065</v>
      </c>
      <c r="K80" s="289">
        <f>J80*F80</f>
        <v>0.39</v>
      </c>
      <c r="L80" s="164"/>
      <c r="M80" s="164"/>
      <c r="N80" s="114"/>
      <c r="O80" s="111"/>
    </row>
    <row r="81" spans="1:19" s="245" customFormat="1" ht="12" thickBot="1">
      <c r="A81" s="238"/>
      <c r="B81" s="353">
        <f>SUBTOTAL(102,G$15:G81)</f>
        <v>63</v>
      </c>
      <c r="C81" s="75">
        <v>953941110</v>
      </c>
      <c r="D81" s="176" t="s">
        <v>240</v>
      </c>
      <c r="E81" s="353" t="s">
        <v>1</v>
      </c>
      <c r="F81" s="354">
        <v>12</v>
      </c>
      <c r="G81" s="89">
        <v>0</v>
      </c>
      <c r="H81" s="355"/>
      <c r="I81" s="356">
        <f t="shared" si="5"/>
        <v>0</v>
      </c>
      <c r="J81" s="355"/>
      <c r="K81" s="355"/>
      <c r="L81" s="242"/>
      <c r="M81" s="242"/>
      <c r="N81" s="196" t="s">
        <v>271</v>
      </c>
      <c r="O81" s="243"/>
      <c r="P81" s="244"/>
      <c r="Q81" s="244"/>
      <c r="R81" s="244"/>
      <c r="S81" s="244"/>
    </row>
    <row r="82" spans="1:19" s="245" customFormat="1" ht="90.75" thickBot="1">
      <c r="A82" s="357"/>
      <c r="B82" s="177">
        <f>SUBTOTAL(102,G$15:G82)</f>
        <v>64</v>
      </c>
      <c r="C82" s="96" t="s">
        <v>205</v>
      </c>
      <c r="D82" s="178" t="s">
        <v>317</v>
      </c>
      <c r="E82" s="179" t="s">
        <v>213</v>
      </c>
      <c r="F82" s="180">
        <v>1</v>
      </c>
      <c r="G82" s="97">
        <v>0</v>
      </c>
      <c r="H82" s="358"/>
      <c r="I82" s="181">
        <f t="shared" si="5"/>
        <v>0</v>
      </c>
      <c r="J82" s="359"/>
      <c r="K82" s="255"/>
      <c r="L82" s="242"/>
      <c r="M82" s="242"/>
      <c r="N82" s="94" t="s">
        <v>306</v>
      </c>
      <c r="O82" s="243"/>
      <c r="P82" s="244"/>
      <c r="Q82" s="244"/>
      <c r="R82" s="244"/>
      <c r="S82" s="244"/>
    </row>
    <row r="83" spans="1:19" s="266" customFormat="1" ht="23.25" thickBot="1">
      <c r="A83" s="238"/>
      <c r="B83" s="353">
        <f>SUBTOTAL(102,G$15:G83)</f>
        <v>65</v>
      </c>
      <c r="C83" s="95">
        <v>766411131</v>
      </c>
      <c r="D83" s="176" t="s">
        <v>241</v>
      </c>
      <c r="E83" s="360" t="s">
        <v>99</v>
      </c>
      <c r="F83" s="354">
        <v>51</v>
      </c>
      <c r="G83" s="98">
        <v>0</v>
      </c>
      <c r="H83" s="355"/>
      <c r="I83" s="356">
        <f t="shared" si="5"/>
        <v>0</v>
      </c>
      <c r="J83" s="355"/>
      <c r="K83" s="355"/>
      <c r="L83" s="242"/>
      <c r="M83" s="242"/>
      <c r="N83" s="94" t="s">
        <v>297</v>
      </c>
      <c r="O83" s="264"/>
      <c r="P83" s="265"/>
      <c r="Q83" s="265"/>
      <c r="R83" s="265"/>
      <c r="S83" s="265"/>
    </row>
    <row r="84" spans="1:15" s="222" customFormat="1" ht="56.25">
      <c r="A84" s="116"/>
      <c r="B84" s="267">
        <f>SUBTOTAL(102,G$15:G104)</f>
        <v>85</v>
      </c>
      <c r="C84" s="361" t="s">
        <v>43</v>
      </c>
      <c r="D84" s="344" t="s">
        <v>334</v>
      </c>
      <c r="E84" s="345" t="s">
        <v>213</v>
      </c>
      <c r="F84" s="271">
        <v>1</v>
      </c>
      <c r="G84" s="99">
        <v>0</v>
      </c>
      <c r="H84" s="272">
        <f>ROUND(ROUND(G84,2)*ROUND(F84,2),2)</f>
        <v>0</v>
      </c>
      <c r="I84" s="273"/>
      <c r="J84" s="274">
        <v>0.39</v>
      </c>
      <c r="K84" s="275">
        <f>J84*F84</f>
        <v>0.39</v>
      </c>
      <c r="L84" s="164"/>
      <c r="M84" s="164"/>
      <c r="N84" s="94" t="s">
        <v>298</v>
      </c>
      <c r="O84" s="111"/>
    </row>
    <row r="85" spans="1:15" s="222" customFormat="1" ht="90.75" thickBot="1">
      <c r="A85" s="116"/>
      <c r="B85" s="281">
        <f>SUBTOTAL(102,G$15:G106)</f>
        <v>87</v>
      </c>
      <c r="C85" s="362" t="s">
        <v>205</v>
      </c>
      <c r="D85" s="348" t="s">
        <v>311</v>
      </c>
      <c r="E85" s="340" t="s">
        <v>213</v>
      </c>
      <c r="F85" s="313">
        <v>1</v>
      </c>
      <c r="G85" s="100">
        <v>0</v>
      </c>
      <c r="H85" s="286">
        <f>ROUND(ROUND(G85,2)*ROUND(F85,2),2)</f>
        <v>0</v>
      </c>
      <c r="I85" s="287"/>
      <c r="J85" s="314">
        <v>0.39</v>
      </c>
      <c r="K85" s="289">
        <f>J85*F85</f>
        <v>0.39</v>
      </c>
      <c r="L85" s="164"/>
      <c r="M85" s="164"/>
      <c r="N85" s="94" t="s">
        <v>306</v>
      </c>
      <c r="O85" s="111"/>
    </row>
    <row r="86" spans="1:19" s="266" customFormat="1" ht="12" thickBot="1">
      <c r="A86" s="238"/>
      <c r="B86" s="353">
        <f>SUBTOTAL(102,G$15:G86)</f>
        <v>68</v>
      </c>
      <c r="C86" s="76">
        <v>596911115</v>
      </c>
      <c r="D86" s="176" t="s">
        <v>242</v>
      </c>
      <c r="E86" s="360" t="s">
        <v>99</v>
      </c>
      <c r="F86" s="354">
        <v>9.62</v>
      </c>
      <c r="G86" s="89">
        <v>0</v>
      </c>
      <c r="H86" s="355"/>
      <c r="I86" s="356">
        <f t="shared" si="5"/>
        <v>0</v>
      </c>
      <c r="J86" s="355"/>
      <c r="K86" s="355"/>
      <c r="L86" s="294"/>
      <c r="M86" s="294"/>
      <c r="N86" s="196" t="s">
        <v>271</v>
      </c>
      <c r="O86" s="264"/>
      <c r="P86" s="265"/>
      <c r="Q86" s="265"/>
      <c r="R86" s="265"/>
      <c r="S86" s="265"/>
    </row>
    <row r="87" spans="1:15" s="222" customFormat="1" ht="23.25" thickBot="1">
      <c r="A87" s="116"/>
      <c r="B87" s="177">
        <f>SUBTOTAL(102,G$15:G104)</f>
        <v>85</v>
      </c>
      <c r="C87" s="363" t="s">
        <v>43</v>
      </c>
      <c r="D87" s="364" t="s">
        <v>299</v>
      </c>
      <c r="E87" s="252" t="s">
        <v>36</v>
      </c>
      <c r="F87" s="180">
        <v>40</v>
      </c>
      <c r="G87" s="74">
        <v>0</v>
      </c>
      <c r="H87" s="181">
        <f>ROUND(ROUND(G87,2)*ROUND(F87,2),2)</f>
        <v>0</v>
      </c>
      <c r="I87" s="253"/>
      <c r="J87" s="254">
        <v>0.09</v>
      </c>
      <c r="K87" s="255">
        <f>J87*F87</f>
        <v>3.5999999999999996</v>
      </c>
      <c r="L87" s="164"/>
      <c r="M87" s="164"/>
      <c r="N87" s="114"/>
      <c r="O87" s="111"/>
    </row>
    <row r="88" spans="1:17" s="370" customFormat="1" ht="22.5">
      <c r="A88" s="106"/>
      <c r="B88" s="184">
        <f>SUBTOTAL(102,G$15:G88)</f>
        <v>70</v>
      </c>
      <c r="C88" s="365" t="s">
        <v>250</v>
      </c>
      <c r="D88" s="213" t="s">
        <v>290</v>
      </c>
      <c r="E88" s="366" t="s">
        <v>36</v>
      </c>
      <c r="F88" s="293">
        <v>8</v>
      </c>
      <c r="G88" s="367">
        <v>0</v>
      </c>
      <c r="H88" s="368"/>
      <c r="I88" s="369">
        <f>ROUND(ROUND(G88,2)*ROUND(F88,2),2)</f>
        <v>0</v>
      </c>
      <c r="J88" s="189"/>
      <c r="K88" s="189"/>
      <c r="L88" s="106"/>
      <c r="M88" s="106"/>
      <c r="N88" s="106"/>
      <c r="P88" s="106"/>
      <c r="Q88" s="106"/>
    </row>
    <row r="89" spans="1:17" s="370" customFormat="1" ht="22.5">
      <c r="A89" s="106"/>
      <c r="B89" s="190">
        <f>SUBTOTAL(102,G$15:G89)</f>
        <v>71</v>
      </c>
      <c r="C89" s="371" t="s">
        <v>250</v>
      </c>
      <c r="D89" s="169" t="s">
        <v>291</v>
      </c>
      <c r="E89" s="248" t="s">
        <v>36</v>
      </c>
      <c r="F89" s="372">
        <v>7</v>
      </c>
      <c r="G89" s="373">
        <v>0</v>
      </c>
      <c r="H89" s="374"/>
      <c r="I89" s="375">
        <f>ROUND(ROUND(G89,2)*ROUND(F89,2),2)</f>
        <v>0</v>
      </c>
      <c r="J89" s="194"/>
      <c r="K89" s="194"/>
      <c r="L89" s="106"/>
      <c r="M89" s="106"/>
      <c r="N89" s="106"/>
      <c r="P89" s="106"/>
      <c r="Q89" s="106"/>
    </row>
    <row r="90" spans="1:17" s="370" customFormat="1" ht="23.25" thickBot="1">
      <c r="A90" s="106"/>
      <c r="B90" s="167">
        <f>SUBTOTAL(102,G$15:G90)</f>
        <v>72</v>
      </c>
      <c r="C90" s="376" t="s">
        <v>250</v>
      </c>
      <c r="D90" s="206" t="s">
        <v>251</v>
      </c>
      <c r="E90" s="303" t="s">
        <v>213</v>
      </c>
      <c r="F90" s="377">
        <v>1</v>
      </c>
      <c r="G90" s="378">
        <v>0</v>
      </c>
      <c r="H90" s="379"/>
      <c r="I90" s="380">
        <f>ROUND(ROUND(G90,2)*ROUND(F90,2),2)</f>
        <v>0</v>
      </c>
      <c r="J90" s="173"/>
      <c r="K90" s="173"/>
      <c r="L90" s="106"/>
      <c r="M90" s="106"/>
      <c r="N90" s="106"/>
      <c r="P90" s="106"/>
      <c r="Q90" s="106"/>
    </row>
    <row r="91" spans="1:17" s="387" customFormat="1" ht="180">
      <c r="A91" s="381"/>
      <c r="B91" s="267">
        <f>SUBTOTAL(102,G$15:G91)</f>
        <v>73</v>
      </c>
      <c r="C91" s="382" t="s">
        <v>43</v>
      </c>
      <c r="D91" s="383" t="s">
        <v>289</v>
      </c>
      <c r="E91" s="270" t="s">
        <v>36</v>
      </c>
      <c r="F91" s="271">
        <v>8</v>
      </c>
      <c r="G91" s="71">
        <v>0</v>
      </c>
      <c r="H91" s="384">
        <f>ROUND(ROUND(G91,2)*ROUND(F91,2),2)</f>
        <v>0</v>
      </c>
      <c r="I91" s="306"/>
      <c r="J91" s="274"/>
      <c r="K91" s="385"/>
      <c r="L91" s="106"/>
      <c r="M91" s="386"/>
      <c r="N91" s="386"/>
      <c r="P91" s="386"/>
      <c r="Q91" s="386"/>
    </row>
    <row r="92" spans="1:17" s="387" customFormat="1" ht="214.5" thickBot="1">
      <c r="A92" s="381"/>
      <c r="B92" s="281">
        <f>SUBTOTAL(102,G$15:G104)</f>
        <v>85</v>
      </c>
      <c r="C92" s="388" t="s">
        <v>43</v>
      </c>
      <c r="D92" s="389" t="s">
        <v>357</v>
      </c>
      <c r="E92" s="312" t="s">
        <v>36</v>
      </c>
      <c r="F92" s="313">
        <v>7</v>
      </c>
      <c r="G92" s="73">
        <v>0</v>
      </c>
      <c r="H92" s="390">
        <f>ROUND(ROUND(G92,2)*ROUND(F92,2),2)</f>
        <v>0</v>
      </c>
      <c r="I92" s="284"/>
      <c r="J92" s="314"/>
      <c r="K92" s="391"/>
      <c r="L92" s="106"/>
      <c r="M92" s="386"/>
      <c r="N92" s="386"/>
      <c r="P92" s="386"/>
      <c r="Q92" s="386"/>
    </row>
    <row r="93" spans="1:17" s="370" customFormat="1" ht="11.25">
      <c r="A93" s="106"/>
      <c r="B93" s="184">
        <f>SUBTOTAL(102,G$15:G93)</f>
        <v>75</v>
      </c>
      <c r="C93" s="392" t="s">
        <v>292</v>
      </c>
      <c r="D93" s="213" t="s">
        <v>315</v>
      </c>
      <c r="E93" s="366" t="s">
        <v>36</v>
      </c>
      <c r="F93" s="293">
        <v>1</v>
      </c>
      <c r="G93" s="367">
        <v>0</v>
      </c>
      <c r="H93" s="368"/>
      <c r="I93" s="369">
        <f aca="true" t="shared" si="6" ref="I93:I98">ROUND(ROUND(G93,2)*ROUND(F93,2),2)</f>
        <v>0</v>
      </c>
      <c r="J93" s="189"/>
      <c r="K93" s="189"/>
      <c r="L93" s="106"/>
      <c r="M93" s="106"/>
      <c r="N93" s="106"/>
      <c r="P93" s="106"/>
      <c r="Q93" s="106"/>
    </row>
    <row r="94" spans="1:17" s="370" customFormat="1" ht="11.25">
      <c r="A94" s="106"/>
      <c r="B94" s="190">
        <f>SUBTOTAL(102,G$15:G94)</f>
        <v>76</v>
      </c>
      <c r="C94" s="393" t="s">
        <v>292</v>
      </c>
      <c r="D94" s="169" t="s">
        <v>314</v>
      </c>
      <c r="E94" s="248" t="s">
        <v>36</v>
      </c>
      <c r="F94" s="372">
        <v>1</v>
      </c>
      <c r="G94" s="373">
        <v>0</v>
      </c>
      <c r="H94" s="374"/>
      <c r="I94" s="375">
        <f t="shared" si="6"/>
        <v>0</v>
      </c>
      <c r="J94" s="194"/>
      <c r="K94" s="194"/>
      <c r="L94" s="106"/>
      <c r="M94" s="106"/>
      <c r="N94" s="106"/>
      <c r="P94" s="106"/>
      <c r="Q94" s="106"/>
    </row>
    <row r="95" spans="1:17" s="370" customFormat="1" ht="11.25">
      <c r="A95" s="106"/>
      <c r="B95" s="190">
        <f>SUBTOTAL(102,G$15:G95)</f>
        <v>77</v>
      </c>
      <c r="C95" s="393" t="s">
        <v>292</v>
      </c>
      <c r="D95" s="169" t="s">
        <v>312</v>
      </c>
      <c r="E95" s="248" t="s">
        <v>36</v>
      </c>
      <c r="F95" s="372">
        <v>13</v>
      </c>
      <c r="G95" s="373">
        <v>0</v>
      </c>
      <c r="H95" s="374"/>
      <c r="I95" s="375">
        <f t="shared" si="6"/>
        <v>0</v>
      </c>
      <c r="J95" s="194"/>
      <c r="K95" s="194"/>
      <c r="L95" s="106"/>
      <c r="M95" s="106"/>
      <c r="N95" s="106"/>
      <c r="P95" s="106"/>
      <c r="Q95" s="106"/>
    </row>
    <row r="96" spans="1:17" s="370" customFormat="1" ht="22.5">
      <c r="A96" s="106"/>
      <c r="B96" s="167">
        <f>SUBTOTAL(102,G$15:G96)</f>
        <v>78</v>
      </c>
      <c r="C96" s="393" t="s">
        <v>292</v>
      </c>
      <c r="D96" s="206" t="s">
        <v>270</v>
      </c>
      <c r="E96" s="303" t="s">
        <v>213</v>
      </c>
      <c r="F96" s="377">
        <v>1</v>
      </c>
      <c r="G96" s="378">
        <v>0</v>
      </c>
      <c r="H96" s="379"/>
      <c r="I96" s="380">
        <f t="shared" si="6"/>
        <v>0</v>
      </c>
      <c r="J96" s="173"/>
      <c r="K96" s="173"/>
      <c r="L96" s="106"/>
      <c r="M96" s="106"/>
      <c r="N96" s="106"/>
      <c r="P96" s="106"/>
      <c r="Q96" s="106"/>
    </row>
    <row r="97" spans="1:17" s="370" customFormat="1" ht="11.25">
      <c r="A97" s="106"/>
      <c r="B97" s="167">
        <f>SUBTOTAL(102,G$15:G97)</f>
        <v>79</v>
      </c>
      <c r="C97" s="393"/>
      <c r="D97" s="206" t="s">
        <v>371</v>
      </c>
      <c r="E97" s="303" t="s">
        <v>36</v>
      </c>
      <c r="F97" s="377">
        <v>1</v>
      </c>
      <c r="G97" s="378">
        <v>0</v>
      </c>
      <c r="H97" s="379"/>
      <c r="I97" s="380">
        <f t="shared" si="6"/>
        <v>0</v>
      </c>
      <c r="J97" s="173"/>
      <c r="K97" s="173"/>
      <c r="L97" s="106"/>
      <c r="M97" s="106"/>
      <c r="N97" s="106"/>
      <c r="P97" s="106"/>
      <c r="Q97" s="106"/>
    </row>
    <row r="98" spans="1:17" s="370" customFormat="1" ht="12" thickBot="1">
      <c r="A98" s="106"/>
      <c r="B98" s="167">
        <f>SUBTOTAL(102,G$15:G98)</f>
        <v>80</v>
      </c>
      <c r="C98" s="393"/>
      <c r="D98" s="206" t="s">
        <v>372</v>
      </c>
      <c r="E98" s="303" t="s">
        <v>36</v>
      </c>
      <c r="F98" s="377">
        <v>1</v>
      </c>
      <c r="G98" s="378">
        <v>0</v>
      </c>
      <c r="H98" s="379"/>
      <c r="I98" s="380">
        <f t="shared" si="6"/>
        <v>0</v>
      </c>
      <c r="J98" s="173"/>
      <c r="K98" s="173"/>
      <c r="L98" s="106"/>
      <c r="M98" s="106"/>
      <c r="N98" s="106"/>
      <c r="P98" s="106"/>
      <c r="Q98" s="106"/>
    </row>
    <row r="99" spans="1:17" s="387" customFormat="1" ht="213.75">
      <c r="A99" s="381"/>
      <c r="B99" s="267">
        <f>SUBTOTAL(102,G$15:G99)</f>
        <v>81</v>
      </c>
      <c r="C99" s="394" t="s">
        <v>43</v>
      </c>
      <c r="D99" s="395" t="s">
        <v>313</v>
      </c>
      <c r="E99" s="270" t="s">
        <v>36</v>
      </c>
      <c r="F99" s="271">
        <v>1</v>
      </c>
      <c r="G99" s="71">
        <v>0</v>
      </c>
      <c r="H99" s="384">
        <f>ROUND(ROUND(G99,2)*ROUND(F99,2),2)</f>
        <v>0</v>
      </c>
      <c r="I99" s="306"/>
      <c r="J99" s="274"/>
      <c r="K99" s="385"/>
      <c r="L99" s="106"/>
      <c r="M99" s="386"/>
      <c r="N99" s="386"/>
      <c r="P99" s="386"/>
      <c r="Q99" s="386"/>
    </row>
    <row r="100" spans="1:17" s="387" customFormat="1" ht="191.25">
      <c r="A100" s="381"/>
      <c r="B100" s="276">
        <f>SUBTOTAL(102,G$15:G100)</f>
        <v>82</v>
      </c>
      <c r="C100" s="396" t="s">
        <v>43</v>
      </c>
      <c r="D100" s="239" t="s">
        <v>316</v>
      </c>
      <c r="E100" s="248" t="s">
        <v>36</v>
      </c>
      <c r="F100" s="199">
        <v>1</v>
      </c>
      <c r="G100" s="72">
        <v>0</v>
      </c>
      <c r="H100" s="375">
        <f>ROUND(ROUND(G100,2)*ROUND(F100,2),2)</f>
        <v>0</v>
      </c>
      <c r="I100" s="190"/>
      <c r="J100" s="200"/>
      <c r="K100" s="397"/>
      <c r="L100" s="106"/>
      <c r="M100" s="386"/>
      <c r="N100" s="386"/>
      <c r="P100" s="386"/>
      <c r="Q100" s="386"/>
    </row>
    <row r="101" spans="1:17" s="387" customFormat="1" ht="203.25" thickBot="1">
      <c r="A101" s="381"/>
      <c r="B101" s="281">
        <f>SUBTOTAL(102,G$15:G110)</f>
        <v>87</v>
      </c>
      <c r="C101" s="398" t="s">
        <v>43</v>
      </c>
      <c r="D101" s="389" t="s">
        <v>320</v>
      </c>
      <c r="E101" s="312" t="s">
        <v>36</v>
      </c>
      <c r="F101" s="313">
        <v>13</v>
      </c>
      <c r="G101" s="73">
        <v>0</v>
      </c>
      <c r="H101" s="390">
        <f>ROUND(ROUND(G101,2)*ROUND(F101,2),2)</f>
        <v>0</v>
      </c>
      <c r="I101" s="284"/>
      <c r="J101" s="314"/>
      <c r="K101" s="391"/>
      <c r="L101" s="106"/>
      <c r="M101" s="386"/>
      <c r="N101" s="386"/>
      <c r="P101" s="386"/>
      <c r="Q101" s="386"/>
    </row>
    <row r="102" spans="1:15" s="237" customFormat="1" ht="12.75">
      <c r="A102" s="158"/>
      <c r="B102" s="184"/>
      <c r="C102" s="235"/>
      <c r="D102" s="217" t="s">
        <v>300</v>
      </c>
      <c r="E102" s="235"/>
      <c r="F102" s="399"/>
      <c r="G102" s="839"/>
      <c r="H102" s="235"/>
      <c r="I102" s="401"/>
      <c r="J102" s="235"/>
      <c r="K102" s="152"/>
      <c r="L102" s="164"/>
      <c r="M102" s="164"/>
      <c r="N102" s="165"/>
      <c r="O102" s="166"/>
    </row>
    <row r="103" spans="1:17" s="370" customFormat="1" ht="11.25">
      <c r="A103" s="106"/>
      <c r="B103" s="353">
        <f>SUBTOTAL(102,G$15:G103)</f>
        <v>84</v>
      </c>
      <c r="C103" s="75">
        <v>998222012</v>
      </c>
      <c r="D103" s="176" t="s">
        <v>252</v>
      </c>
      <c r="E103" s="353" t="s">
        <v>47</v>
      </c>
      <c r="F103" s="402">
        <f>K109</f>
        <v>742.1847</v>
      </c>
      <c r="G103" s="89">
        <v>0</v>
      </c>
      <c r="H103" s="353"/>
      <c r="I103" s="403">
        <f>ROUND(ROUND(G103,2)*ROUND(F103,2),2)</f>
        <v>0</v>
      </c>
      <c r="J103" s="404"/>
      <c r="K103" s="404"/>
      <c r="L103" s="106"/>
      <c r="M103" s="106"/>
      <c r="N103" s="196" t="s">
        <v>271</v>
      </c>
      <c r="P103" s="106"/>
      <c r="Q103" s="106"/>
    </row>
    <row r="104" spans="1:17" s="408" customFormat="1" ht="22.5">
      <c r="A104" s="381"/>
      <c r="B104" s="167">
        <f>SUBTOTAL(102,G$15:G104)</f>
        <v>85</v>
      </c>
      <c r="C104" s="168">
        <v>185851111</v>
      </c>
      <c r="D104" s="405" t="s">
        <v>253</v>
      </c>
      <c r="E104" s="406" t="s">
        <v>100</v>
      </c>
      <c r="F104" s="329">
        <f>F59</f>
        <v>3.7124</v>
      </c>
      <c r="G104" s="330">
        <v>0</v>
      </c>
      <c r="H104" s="167"/>
      <c r="I104" s="380">
        <f>ROUND(ROUND(G104,2)*ROUND(F104,2),2)</f>
        <v>0</v>
      </c>
      <c r="J104" s="407"/>
      <c r="K104" s="407"/>
      <c r="L104" s="106"/>
      <c r="M104" s="381"/>
      <c r="N104" s="381"/>
      <c r="P104" s="106"/>
      <c r="Q104" s="106"/>
    </row>
    <row r="105" spans="1:17" s="408" customFormat="1" ht="12" thickBot="1">
      <c r="A105" s="381"/>
      <c r="B105" s="167">
        <f>SUBTOTAL(102,G$15:G105)</f>
        <v>86</v>
      </c>
      <c r="C105" s="168" t="s">
        <v>205</v>
      </c>
      <c r="D105" s="405" t="s">
        <v>318</v>
      </c>
      <c r="E105" s="409" t="s">
        <v>213</v>
      </c>
      <c r="F105" s="410">
        <v>1</v>
      </c>
      <c r="G105" s="840">
        <v>0</v>
      </c>
      <c r="H105" s="167"/>
      <c r="I105" s="380">
        <f>ROUND(ROUND(G105,2)*ROUND(F105,2),2)</f>
        <v>0</v>
      </c>
      <c r="J105" s="407"/>
      <c r="K105" s="407"/>
      <c r="L105" s="106"/>
      <c r="M105" s="381"/>
      <c r="N105" s="381" t="s">
        <v>319</v>
      </c>
      <c r="P105" s="106"/>
      <c r="Q105" s="106"/>
    </row>
    <row r="106" spans="1:17" s="387" customFormat="1" ht="13.5" thickBot="1">
      <c r="A106" s="381"/>
      <c r="B106" s="177">
        <f>SUBTOTAL(102,G$15:G106)</f>
        <v>87</v>
      </c>
      <c r="C106" s="179" t="s">
        <v>43</v>
      </c>
      <c r="D106" s="364" t="s">
        <v>255</v>
      </c>
      <c r="E106" s="252" t="s">
        <v>213</v>
      </c>
      <c r="F106" s="180">
        <v>1</v>
      </c>
      <c r="G106" s="92">
        <v>0</v>
      </c>
      <c r="H106" s="411">
        <f>ROUND(ROUND(G106,2)*ROUND(F106,2),2)</f>
        <v>0</v>
      </c>
      <c r="I106" s="179"/>
      <c r="J106" s="254"/>
      <c r="K106" s="183"/>
      <c r="L106" s="106"/>
      <c r="M106" s="386"/>
      <c r="N106" s="386"/>
      <c r="P106" s="386"/>
      <c r="Q106" s="386"/>
    </row>
    <row r="107" spans="1:15" s="222" customFormat="1" ht="22.5">
      <c r="A107" s="158"/>
      <c r="B107" s="412"/>
      <c r="C107" s="158"/>
      <c r="D107" s="413" t="s">
        <v>269</v>
      </c>
      <c r="E107" s="414"/>
      <c r="F107" s="415"/>
      <c r="G107" s="416"/>
      <c r="H107" s="415"/>
      <c r="I107" s="415"/>
      <c r="J107" s="415"/>
      <c r="K107" s="417"/>
      <c r="L107" s="165"/>
      <c r="M107" s="165"/>
      <c r="N107" s="418"/>
      <c r="O107" s="111"/>
    </row>
    <row r="108" spans="1:15" ht="10.5" customHeight="1">
      <c r="A108" s="116"/>
      <c r="B108" s="419"/>
      <c r="C108" s="420"/>
      <c r="D108" s="421" t="s">
        <v>113</v>
      </c>
      <c r="E108" s="918">
        <f>SUBTOTAL(109,I36:I107)</f>
        <v>0</v>
      </c>
      <c r="F108" s="918"/>
      <c r="G108" s="918"/>
      <c r="H108" s="918"/>
      <c r="I108" s="918"/>
      <c r="J108" s="422"/>
      <c r="K108" s="423"/>
      <c r="L108" s="164"/>
      <c r="M108" s="164"/>
      <c r="N108" s="114"/>
      <c r="O108" s="111"/>
    </row>
    <row r="109" spans="1:15" ht="10.5" customHeight="1" thickBot="1">
      <c r="A109" s="158"/>
      <c r="B109" s="223"/>
      <c r="C109" s="424"/>
      <c r="D109" s="225" t="s">
        <v>114</v>
      </c>
      <c r="E109" s="919">
        <f>SUBTOTAL(109,H37:H107)</f>
        <v>0</v>
      </c>
      <c r="F109" s="919"/>
      <c r="G109" s="919"/>
      <c r="H109" s="919"/>
      <c r="I109" s="425"/>
      <c r="J109" s="224"/>
      <c r="K109" s="426">
        <f>SUBTOTAL(109,K14:K106)</f>
        <v>742.1847</v>
      </c>
      <c r="L109" s="234"/>
      <c r="M109" s="234"/>
      <c r="N109" s="114"/>
      <c r="O109" s="111"/>
    </row>
    <row r="110" spans="1:15" s="435" customFormat="1" ht="10.5" customHeight="1" thickBot="1">
      <c r="A110" s="158"/>
      <c r="B110" s="427"/>
      <c r="C110" s="428"/>
      <c r="D110" s="429"/>
      <c r="E110" s="430"/>
      <c r="F110" s="430"/>
      <c r="G110" s="431"/>
      <c r="H110" s="430"/>
      <c r="I110" s="432"/>
      <c r="J110" s="234"/>
      <c r="K110" s="431"/>
      <c r="L110" s="234"/>
      <c r="M110" s="234"/>
      <c r="N110" s="433"/>
      <c r="O110" s="434"/>
    </row>
    <row r="111" spans="1:15" s="222" customFormat="1" ht="13.5" thickBot="1">
      <c r="A111" s="158"/>
      <c r="B111" s="215"/>
      <c r="C111" s="436"/>
      <c r="D111" s="437" t="s">
        <v>211</v>
      </c>
      <c r="E111" s="438"/>
      <c r="F111" s="439"/>
      <c r="G111" s="440"/>
      <c r="H111" s="439"/>
      <c r="I111" s="439"/>
      <c r="J111" s="439"/>
      <c r="K111" s="441"/>
      <c r="L111" s="165"/>
      <c r="M111" s="165"/>
      <c r="N111" s="418"/>
      <c r="O111" s="111"/>
    </row>
    <row r="112" spans="1:15" ht="10.5" customHeight="1">
      <c r="A112" s="158"/>
      <c r="B112" s="442"/>
      <c r="C112" s="443"/>
      <c r="D112" s="444" t="s">
        <v>45</v>
      </c>
      <c r="E112" s="936">
        <f>SUBTOTAL(109,I13:I111)</f>
        <v>0</v>
      </c>
      <c r="F112" s="936"/>
      <c r="G112" s="936"/>
      <c r="H112" s="936"/>
      <c r="I112" s="936"/>
      <c r="J112" s="445"/>
      <c r="K112" s="446"/>
      <c r="L112" s="164"/>
      <c r="M112" s="164"/>
      <c r="N112" s="114"/>
      <c r="O112" s="111"/>
    </row>
    <row r="113" spans="1:15" ht="10.5" customHeight="1" thickBot="1">
      <c r="A113" s="158"/>
      <c r="B113" s="447"/>
      <c r="C113" s="448"/>
      <c r="D113" s="449" t="s">
        <v>51</v>
      </c>
      <c r="E113" s="941">
        <f>SUBTOTAL(109,H13:H109)</f>
        <v>0</v>
      </c>
      <c r="F113" s="941"/>
      <c r="G113" s="941"/>
      <c r="H113" s="941"/>
      <c r="I113" s="450"/>
      <c r="J113" s="451"/>
      <c r="K113" s="452"/>
      <c r="L113" s="234"/>
      <c r="M113" s="234"/>
      <c r="N113" s="114"/>
      <c r="O113" s="111"/>
    </row>
    <row r="114" spans="1:15" s="435" customFormat="1" ht="10.5" customHeight="1">
      <c r="A114" s="158"/>
      <c r="B114" s="427"/>
      <c r="C114" s="428"/>
      <c r="D114" s="429"/>
      <c r="E114" s="430"/>
      <c r="F114" s="430"/>
      <c r="G114" s="431"/>
      <c r="H114" s="430"/>
      <c r="I114" s="432"/>
      <c r="J114" s="234"/>
      <c r="K114" s="431"/>
      <c r="L114" s="234"/>
      <c r="M114" s="234"/>
      <c r="N114" s="433"/>
      <c r="O114" s="434"/>
    </row>
    <row r="115" spans="1:15" s="455" customFormat="1" ht="13.5" thickBot="1">
      <c r="A115" s="116"/>
      <c r="B115" s="427"/>
      <c r="C115" s="158"/>
      <c r="D115" s="453" t="s">
        <v>62</v>
      </c>
      <c r="E115" s="454"/>
      <c r="F115" s="454"/>
      <c r="G115" s="128"/>
      <c r="H115" s="454"/>
      <c r="I115" s="454"/>
      <c r="J115" s="454"/>
      <c r="K115" s="454"/>
      <c r="L115" s="107"/>
      <c r="M115" s="107"/>
      <c r="N115" s="105"/>
      <c r="O115" s="111"/>
    </row>
    <row r="116" spans="1:15" s="237" customFormat="1" ht="12.75" hidden="1">
      <c r="A116" s="158"/>
      <c r="B116" s="190"/>
      <c r="C116" s="456"/>
      <c r="D116" s="457" t="s">
        <v>56</v>
      </c>
      <c r="E116" s="456"/>
      <c r="F116" s="458"/>
      <c r="G116" s="459"/>
      <c r="H116" s="456"/>
      <c r="I116" s="456"/>
      <c r="J116" s="456"/>
      <c r="K116" s="456"/>
      <c r="L116" s="164"/>
      <c r="M116" s="460"/>
      <c r="N116" s="165"/>
      <c r="O116" s="166"/>
    </row>
    <row r="117" spans="1:15" s="175" customFormat="1" ht="11.25" customHeight="1" hidden="1">
      <c r="A117" s="105"/>
      <c r="B117" s="190">
        <f>SUBTOTAL(102,G$15:G117)</f>
        <v>87</v>
      </c>
      <c r="C117" s="461" t="s">
        <v>89</v>
      </c>
      <c r="D117" s="462" t="s">
        <v>126</v>
      </c>
      <c r="E117" s="463" t="s">
        <v>36</v>
      </c>
      <c r="F117" s="458">
        <f>F120</f>
        <v>0</v>
      </c>
      <c r="G117" s="464">
        <v>6.08</v>
      </c>
      <c r="H117" s="192"/>
      <c r="I117" s="193">
        <f aca="true" t="shared" si="7" ref="I117:I126">ROUND(ROUND(G117,2)*ROUND(F117,2),2)</f>
        <v>0</v>
      </c>
      <c r="J117" s="192"/>
      <c r="K117" s="192"/>
      <c r="L117" s="107"/>
      <c r="M117" s="465" t="s">
        <v>132</v>
      </c>
      <c r="N117" s="466" t="s">
        <v>128</v>
      </c>
      <c r="O117" s="467">
        <f>F117*0.029</f>
        <v>0</v>
      </c>
    </row>
    <row r="118" spans="1:15" s="175" customFormat="1" ht="11.25" hidden="1">
      <c r="A118" s="105"/>
      <c r="B118" s="190">
        <f>SUBTOTAL(102,G$15:G118)</f>
        <v>87</v>
      </c>
      <c r="C118" s="468">
        <v>183101215</v>
      </c>
      <c r="D118" s="469" t="s">
        <v>102</v>
      </c>
      <c r="E118" s="463" t="s">
        <v>36</v>
      </c>
      <c r="F118" s="458">
        <f>F121</f>
        <v>0</v>
      </c>
      <c r="G118" s="470">
        <v>11.26</v>
      </c>
      <c r="H118" s="192"/>
      <c r="I118" s="193">
        <f t="shared" si="7"/>
        <v>0</v>
      </c>
      <c r="J118" s="192"/>
      <c r="K118" s="192"/>
      <c r="L118" s="107"/>
      <c r="M118" s="471" t="s">
        <v>133</v>
      </c>
      <c r="N118" s="472" t="s">
        <v>129</v>
      </c>
      <c r="O118" s="473">
        <f>F118*0.067</f>
        <v>0</v>
      </c>
    </row>
    <row r="119" spans="1:15" s="175" customFormat="1" ht="11.25" customHeight="1" hidden="1" thickBot="1">
      <c r="A119" s="105"/>
      <c r="B119" s="190">
        <f>SUBTOTAL(102,G$15:G119)</f>
        <v>87</v>
      </c>
      <c r="C119" s="461">
        <v>183101221</v>
      </c>
      <c r="D119" s="474" t="s">
        <v>188</v>
      </c>
      <c r="E119" s="463" t="s">
        <v>36</v>
      </c>
      <c r="F119" s="458">
        <f>F122</f>
        <v>0</v>
      </c>
      <c r="G119" s="470">
        <v>25.73</v>
      </c>
      <c r="H119" s="192"/>
      <c r="I119" s="193">
        <f t="shared" si="7"/>
        <v>0</v>
      </c>
      <c r="J119" s="192"/>
      <c r="K119" s="192"/>
      <c r="L119" s="107"/>
      <c r="M119" s="475" t="s">
        <v>134</v>
      </c>
      <c r="N119" s="405" t="s">
        <v>189</v>
      </c>
      <c r="O119" s="467">
        <f>F119*0.131</f>
        <v>0</v>
      </c>
    </row>
    <row r="120" spans="1:15" s="175" customFormat="1" ht="9.75" hidden="1">
      <c r="A120" s="105"/>
      <c r="B120" s="190">
        <f>SUBTOTAL(102,G$15:G120)</f>
        <v>87</v>
      </c>
      <c r="C120" s="461">
        <v>184102115</v>
      </c>
      <c r="D120" s="462" t="s">
        <v>16</v>
      </c>
      <c r="E120" s="463" t="s">
        <v>36</v>
      </c>
      <c r="F120" s="476">
        <f>SUBTOTAL(109,F135:F136)</f>
        <v>0</v>
      </c>
      <c r="G120" s="470">
        <v>11.32</v>
      </c>
      <c r="H120" s="192"/>
      <c r="I120" s="193">
        <f t="shared" si="7"/>
        <v>0</v>
      </c>
      <c r="J120" s="192"/>
      <c r="K120" s="192"/>
      <c r="L120" s="107"/>
      <c r="M120" s="465" t="s">
        <v>132</v>
      </c>
      <c r="N120" s="931" t="s">
        <v>160</v>
      </c>
      <c r="O120" s="197"/>
    </row>
    <row r="121" spans="1:15" s="175" customFormat="1" ht="12.75" customHeight="1" hidden="1">
      <c r="A121" s="105"/>
      <c r="B121" s="190">
        <f>SUBTOTAL(102,G$15:G121)</f>
        <v>87</v>
      </c>
      <c r="C121" s="468">
        <v>184102116</v>
      </c>
      <c r="D121" s="469" t="s">
        <v>17</v>
      </c>
      <c r="E121" s="463" t="s">
        <v>36</v>
      </c>
      <c r="F121" s="476">
        <f>SUBTOTAL(109,F137:F138)</f>
        <v>0</v>
      </c>
      <c r="G121" s="470">
        <v>24.9</v>
      </c>
      <c r="H121" s="192"/>
      <c r="I121" s="193">
        <f t="shared" si="7"/>
        <v>0</v>
      </c>
      <c r="J121" s="192"/>
      <c r="K121" s="192"/>
      <c r="L121" s="107"/>
      <c r="M121" s="471" t="s">
        <v>133</v>
      </c>
      <c r="N121" s="932"/>
      <c r="O121" s="477"/>
    </row>
    <row r="122" spans="1:15" s="175" customFormat="1" ht="10.5" hidden="1" thickBot="1">
      <c r="A122" s="105"/>
      <c r="B122" s="190">
        <f>SUBTOTAL(102,G$15:G122)</f>
        <v>87</v>
      </c>
      <c r="C122" s="461">
        <v>184102117</v>
      </c>
      <c r="D122" s="474" t="s">
        <v>18</v>
      </c>
      <c r="E122" s="463" t="s">
        <v>36</v>
      </c>
      <c r="F122" s="476">
        <f>SUBTOTAL(109,F139:F140)</f>
        <v>0</v>
      </c>
      <c r="G122" s="470">
        <v>43.49</v>
      </c>
      <c r="H122" s="192"/>
      <c r="I122" s="193">
        <f t="shared" si="7"/>
        <v>0</v>
      </c>
      <c r="J122" s="192"/>
      <c r="K122" s="192"/>
      <c r="L122" s="107"/>
      <c r="M122" s="475" t="s">
        <v>134</v>
      </c>
      <c r="N122" s="933"/>
      <c r="O122" s="197"/>
    </row>
    <row r="123" spans="1:15" s="157" customFormat="1" ht="12.75" hidden="1">
      <c r="A123" s="478"/>
      <c r="B123" s="190">
        <f>SUBTOTAL(102,G$15:G123)</f>
        <v>87</v>
      </c>
      <c r="C123" s="479">
        <v>457979112</v>
      </c>
      <c r="D123" s="480" t="s">
        <v>28</v>
      </c>
      <c r="E123" s="481" t="s">
        <v>36</v>
      </c>
      <c r="F123" s="482">
        <f>SUBTOTAL(109,F134:F141)</f>
        <v>0</v>
      </c>
      <c r="G123" s="483">
        <v>0.78</v>
      </c>
      <c r="H123" s="456"/>
      <c r="I123" s="193">
        <f t="shared" si="7"/>
        <v>0</v>
      </c>
      <c r="J123" s="484"/>
      <c r="K123" s="456"/>
      <c r="L123" s="485"/>
      <c r="M123" s="485"/>
      <c r="N123" s="105"/>
      <c r="O123" s="111"/>
    </row>
    <row r="124" spans="1:15" s="490" customFormat="1" ht="12.75" hidden="1">
      <c r="A124" s="486"/>
      <c r="B124" s="190">
        <f>SUBTOTAL(102,G$15:G124)</f>
        <v>87</v>
      </c>
      <c r="C124" s="468">
        <v>184901111</v>
      </c>
      <c r="D124" s="487" t="s">
        <v>61</v>
      </c>
      <c r="E124" s="488" t="s">
        <v>36</v>
      </c>
      <c r="F124" s="207">
        <f>SUBTOTAL(109,F134:F141)*2</f>
        <v>0</v>
      </c>
      <c r="G124" s="489">
        <v>0.5</v>
      </c>
      <c r="H124" s="207"/>
      <c r="I124" s="193">
        <f t="shared" si="7"/>
        <v>0</v>
      </c>
      <c r="J124" s="484"/>
      <c r="K124" s="456"/>
      <c r="L124" s="164"/>
      <c r="M124" s="164"/>
      <c r="N124" s="114"/>
      <c r="O124" s="111"/>
    </row>
    <row r="125" spans="1:15" s="490" customFormat="1" ht="12.75" hidden="1">
      <c r="A125" s="486"/>
      <c r="B125" s="190">
        <f>SUBTOTAL(102,G$15:G125)</f>
        <v>87</v>
      </c>
      <c r="C125" s="491">
        <v>184911111</v>
      </c>
      <c r="D125" s="492" t="s">
        <v>20</v>
      </c>
      <c r="E125" s="484" t="s">
        <v>36</v>
      </c>
      <c r="F125" s="458">
        <f>SUBTOTAL(109,F134:F141)</f>
        <v>0</v>
      </c>
      <c r="G125" s="493">
        <v>0.83</v>
      </c>
      <c r="H125" s="456"/>
      <c r="I125" s="193">
        <f t="shared" si="7"/>
        <v>0</v>
      </c>
      <c r="J125" s="484"/>
      <c r="K125" s="456"/>
      <c r="L125" s="164"/>
      <c r="M125" s="164"/>
      <c r="N125" s="114"/>
      <c r="O125" s="111"/>
    </row>
    <row r="126" spans="1:15" s="490" customFormat="1" ht="13.5" hidden="1" thickBot="1">
      <c r="A126" s="486"/>
      <c r="B126" s="167">
        <f>SUBTOTAL(102,G$15:G126)</f>
        <v>87</v>
      </c>
      <c r="C126" s="494">
        <v>184921093</v>
      </c>
      <c r="D126" s="495" t="s">
        <v>58</v>
      </c>
      <c r="E126" s="496" t="s">
        <v>48</v>
      </c>
      <c r="F126" s="497">
        <f>SUBTOTAL(109,F134:F141)*1</f>
        <v>0</v>
      </c>
      <c r="G126" s="330">
        <v>0.97</v>
      </c>
      <c r="H126" s="498"/>
      <c r="I126" s="172">
        <f t="shared" si="7"/>
        <v>0</v>
      </c>
      <c r="J126" s="499"/>
      <c r="K126" s="500"/>
      <c r="L126" s="164"/>
      <c r="M126" s="164"/>
      <c r="N126" s="114"/>
      <c r="O126" s="111"/>
    </row>
    <row r="127" spans="1:15" s="222" customFormat="1" ht="12.75" hidden="1">
      <c r="A127" s="116"/>
      <c r="B127" s="267">
        <f>SUBTOTAL(102,G$15:G127)</f>
        <v>87</v>
      </c>
      <c r="C127" s="501" t="s">
        <v>43</v>
      </c>
      <c r="D127" s="269" t="s">
        <v>207</v>
      </c>
      <c r="E127" s="502" t="s">
        <v>47</v>
      </c>
      <c r="F127" s="503">
        <f>SUBTOTAL(109,O117:O119)*1.4</f>
        <v>0</v>
      </c>
      <c r="G127" s="504">
        <v>20.8</v>
      </c>
      <c r="H127" s="272">
        <f aca="true" t="shared" si="8" ref="H127:H132">ROUND(ROUND(G127,2)*ROUND(F127,2),2)</f>
        <v>0</v>
      </c>
      <c r="I127" s="273"/>
      <c r="J127" s="501">
        <v>1</v>
      </c>
      <c r="K127" s="275">
        <f>J127*F127</f>
        <v>0</v>
      </c>
      <c r="L127" s="164"/>
      <c r="M127" s="164"/>
      <c r="N127" s="114"/>
      <c r="O127" s="505"/>
    </row>
    <row r="128" spans="1:15" s="490" customFormat="1" ht="12.75" hidden="1">
      <c r="A128" s="116"/>
      <c r="B128" s="276">
        <f>SUBTOTAL(102,G$15:G128)</f>
        <v>87</v>
      </c>
      <c r="C128" s="506" t="s">
        <v>43</v>
      </c>
      <c r="D128" s="279" t="s">
        <v>97</v>
      </c>
      <c r="E128" s="463" t="s">
        <v>36</v>
      </c>
      <c r="F128" s="207">
        <f>SUBTOTAL(109,F134:F141)*2</f>
        <v>0</v>
      </c>
      <c r="G128" s="483">
        <v>2.7</v>
      </c>
      <c r="H128" s="193">
        <f t="shared" si="8"/>
        <v>0</v>
      </c>
      <c r="I128" s="507"/>
      <c r="J128" s="325">
        <v>0.0035</v>
      </c>
      <c r="K128" s="280">
        <f>J128*F128</f>
        <v>0</v>
      </c>
      <c r="L128" s="164"/>
      <c r="M128" s="164"/>
      <c r="N128" s="114"/>
      <c r="O128" s="111"/>
    </row>
    <row r="129" spans="1:15" s="490" customFormat="1" ht="12.75" hidden="1">
      <c r="A129" s="116"/>
      <c r="B129" s="276">
        <f>SUBTOTAL(102,G$15:G129)</f>
        <v>87</v>
      </c>
      <c r="C129" s="506" t="s">
        <v>43</v>
      </c>
      <c r="D129" s="480" t="s">
        <v>25</v>
      </c>
      <c r="E129" s="463" t="s">
        <v>22</v>
      </c>
      <c r="F129" s="207">
        <f>SUBTOTAL(109,F134:F141)*1.5</f>
        <v>0</v>
      </c>
      <c r="G129" s="483">
        <v>0.46</v>
      </c>
      <c r="H129" s="193">
        <f t="shared" si="8"/>
        <v>0</v>
      </c>
      <c r="I129" s="507"/>
      <c r="J129" s="325"/>
      <c r="K129" s="280"/>
      <c r="L129" s="164"/>
      <c r="M129" s="164"/>
      <c r="N129" s="114"/>
      <c r="O129" s="111"/>
    </row>
    <row r="130" spans="1:15" s="120" customFormat="1" ht="12.75" hidden="1">
      <c r="A130" s="116"/>
      <c r="B130" s="276">
        <f>SUBTOTAL(102,G$15:G130)</f>
        <v>87</v>
      </c>
      <c r="C130" s="506" t="s">
        <v>43</v>
      </c>
      <c r="D130" s="492" t="s">
        <v>78</v>
      </c>
      <c r="E130" s="481" t="s">
        <v>36</v>
      </c>
      <c r="F130" s="207">
        <f>SUBTOTAL(109,F134:F141)*2</f>
        <v>0</v>
      </c>
      <c r="G130" s="508">
        <v>4.2</v>
      </c>
      <c r="H130" s="193">
        <f t="shared" si="8"/>
        <v>0</v>
      </c>
      <c r="I130" s="279"/>
      <c r="J130" s="488">
        <v>0.035</v>
      </c>
      <c r="K130" s="280">
        <f>J130*F130</f>
        <v>0</v>
      </c>
      <c r="L130" s="164"/>
      <c r="M130" s="164"/>
      <c r="N130" s="165"/>
      <c r="O130" s="166"/>
    </row>
    <row r="131" spans="1:15" ht="23.25" customHeight="1" hidden="1">
      <c r="A131" s="158"/>
      <c r="B131" s="276">
        <f>SUBTOTAL(102,G$15:G131)</f>
        <v>87</v>
      </c>
      <c r="C131" s="506" t="s">
        <v>43</v>
      </c>
      <c r="D131" s="492" t="s">
        <v>29</v>
      </c>
      <c r="E131" s="481" t="s">
        <v>36</v>
      </c>
      <c r="F131" s="207">
        <f>SUBTOTAL(109,F134:F141)</f>
        <v>0</v>
      </c>
      <c r="G131" s="508">
        <v>4.4</v>
      </c>
      <c r="H131" s="193">
        <f t="shared" si="8"/>
        <v>0</v>
      </c>
      <c r="I131" s="279"/>
      <c r="J131" s="488">
        <v>0.0002</v>
      </c>
      <c r="K131" s="280">
        <f>J131*F131</f>
        <v>0</v>
      </c>
      <c r="L131" s="164"/>
      <c r="M131" s="164"/>
      <c r="N131" s="114"/>
      <c r="O131" s="111"/>
    </row>
    <row r="132" spans="1:15" ht="12.75" hidden="1">
      <c r="A132" s="158"/>
      <c r="B132" s="276">
        <f>SUBTOTAL(102,G$15:G132)</f>
        <v>87</v>
      </c>
      <c r="C132" s="506" t="s">
        <v>43</v>
      </c>
      <c r="D132" s="492" t="s">
        <v>98</v>
      </c>
      <c r="E132" s="481" t="s">
        <v>36</v>
      </c>
      <c r="F132" s="207">
        <f>F131*2</f>
        <v>0</v>
      </c>
      <c r="G132" s="508">
        <v>1.5</v>
      </c>
      <c r="H132" s="193">
        <f t="shared" si="8"/>
        <v>0</v>
      </c>
      <c r="I132" s="279"/>
      <c r="J132" s="488"/>
      <c r="K132" s="280"/>
      <c r="L132" s="164"/>
      <c r="M132" s="164"/>
      <c r="N132" s="114"/>
      <c r="O132" s="111"/>
    </row>
    <row r="133" spans="1:15" s="120" customFormat="1" ht="12.75" hidden="1">
      <c r="A133" s="116"/>
      <c r="B133" s="276">
        <f>SUBTOTAL(102,G$15:G133)</f>
        <v>87</v>
      </c>
      <c r="C133" s="509" t="s">
        <v>43</v>
      </c>
      <c r="D133" s="510" t="s">
        <v>26</v>
      </c>
      <c r="E133" s="511" t="s">
        <v>100</v>
      </c>
      <c r="F133" s="512">
        <f>SUBTOTAL(109,F134:F141)*0.05</f>
        <v>0</v>
      </c>
      <c r="G133" s="513">
        <v>0</v>
      </c>
      <c r="H133" s="356">
        <v>0</v>
      </c>
      <c r="I133" s="514"/>
      <c r="J133" s="515"/>
      <c r="K133" s="516"/>
      <c r="L133" s="164"/>
      <c r="M133" s="164"/>
      <c r="N133" s="165"/>
      <c r="O133" s="166"/>
    </row>
    <row r="134" spans="1:15" s="524" customFormat="1" ht="13.5" hidden="1" thickBot="1">
      <c r="A134" s="105"/>
      <c r="B134" s="276">
        <f>SUBTOTAL(102,G$15:G134)</f>
        <v>87</v>
      </c>
      <c r="C134" s="517"/>
      <c r="D134" s="518" t="s">
        <v>131</v>
      </c>
      <c r="E134" s="517"/>
      <c r="F134" s="519"/>
      <c r="G134" s="493"/>
      <c r="H134" s="520"/>
      <c r="I134" s="521"/>
      <c r="J134" s="325"/>
      <c r="K134" s="522"/>
      <c r="L134" s="107"/>
      <c r="M134" s="460"/>
      <c r="N134" s="523"/>
      <c r="O134" s="197"/>
    </row>
    <row r="135" spans="1:15" s="524" customFormat="1" ht="12.75" hidden="1">
      <c r="A135" s="165"/>
      <c r="B135" s="276">
        <f>SUBTOTAL(102,G$15:G135)</f>
        <v>87</v>
      </c>
      <c r="C135" s="525" t="s">
        <v>43</v>
      </c>
      <c r="D135" s="526" t="s">
        <v>92</v>
      </c>
      <c r="E135" s="517" t="s">
        <v>36</v>
      </c>
      <c r="F135" s="527">
        <v>0</v>
      </c>
      <c r="G135" s="493">
        <v>1</v>
      </c>
      <c r="H135" s="193">
        <f aca="true" t="shared" si="9" ref="H135:H140">ROUND(ROUND(G135,2)*ROUND(F135,2),2)</f>
        <v>0</v>
      </c>
      <c r="I135" s="521"/>
      <c r="J135" s="528">
        <v>0.05</v>
      </c>
      <c r="K135" s="280">
        <f aca="true" t="shared" si="10" ref="K135:K140">J135*F135</f>
        <v>0</v>
      </c>
      <c r="L135" s="107"/>
      <c r="M135" s="928" t="s">
        <v>132</v>
      </c>
      <c r="N135" s="931" t="s">
        <v>159</v>
      </c>
      <c r="O135" s="197"/>
    </row>
    <row r="136" spans="1:15" s="524" customFormat="1" ht="12.75" hidden="1">
      <c r="A136" s="165"/>
      <c r="B136" s="276">
        <f>SUBTOTAL(102,G$15:G136)</f>
        <v>87</v>
      </c>
      <c r="C136" s="525" t="s">
        <v>43</v>
      </c>
      <c r="D136" s="526" t="s">
        <v>92</v>
      </c>
      <c r="E136" s="517" t="s">
        <v>36</v>
      </c>
      <c r="F136" s="527">
        <v>0</v>
      </c>
      <c r="G136" s="493">
        <v>1</v>
      </c>
      <c r="H136" s="193">
        <f t="shared" si="9"/>
        <v>0</v>
      </c>
      <c r="I136" s="521"/>
      <c r="J136" s="528">
        <v>0.05</v>
      </c>
      <c r="K136" s="280">
        <f t="shared" si="10"/>
        <v>0</v>
      </c>
      <c r="L136" s="107"/>
      <c r="M136" s="928"/>
      <c r="N136" s="934"/>
      <c r="O136" s="197"/>
    </row>
    <row r="137" spans="1:15" s="524" customFormat="1" ht="12.75" hidden="1">
      <c r="A137" s="165"/>
      <c r="B137" s="276">
        <f>SUBTOTAL(102,G$15:G137)</f>
        <v>87</v>
      </c>
      <c r="C137" s="529" t="s">
        <v>43</v>
      </c>
      <c r="D137" s="526" t="s">
        <v>92</v>
      </c>
      <c r="E137" s="517" t="s">
        <v>36</v>
      </c>
      <c r="F137" s="527">
        <v>0</v>
      </c>
      <c r="G137" s="493">
        <v>1</v>
      </c>
      <c r="H137" s="193">
        <f t="shared" si="9"/>
        <v>0</v>
      </c>
      <c r="I137" s="521"/>
      <c r="J137" s="528">
        <v>0.15</v>
      </c>
      <c r="K137" s="280">
        <f t="shared" si="10"/>
        <v>0</v>
      </c>
      <c r="L137" s="107"/>
      <c r="M137" s="929" t="s">
        <v>133</v>
      </c>
      <c r="N137" s="934"/>
      <c r="O137" s="197"/>
    </row>
    <row r="138" spans="1:15" s="524" customFormat="1" ht="12.75" hidden="1">
      <c r="A138" s="165"/>
      <c r="B138" s="276">
        <f>SUBTOTAL(102,G$15:G138)</f>
        <v>87</v>
      </c>
      <c r="C138" s="529" t="s">
        <v>43</v>
      </c>
      <c r="D138" s="526" t="s">
        <v>92</v>
      </c>
      <c r="E138" s="517" t="s">
        <v>36</v>
      </c>
      <c r="F138" s="527">
        <v>0</v>
      </c>
      <c r="G138" s="493">
        <v>1</v>
      </c>
      <c r="H138" s="193">
        <f t="shared" si="9"/>
        <v>0</v>
      </c>
      <c r="I138" s="521"/>
      <c r="J138" s="528">
        <v>0.15</v>
      </c>
      <c r="K138" s="280">
        <f t="shared" si="10"/>
        <v>0</v>
      </c>
      <c r="L138" s="107"/>
      <c r="M138" s="929"/>
      <c r="N138" s="934"/>
      <c r="O138" s="197"/>
    </row>
    <row r="139" spans="1:15" s="524" customFormat="1" ht="12.75" hidden="1">
      <c r="A139" s="165"/>
      <c r="B139" s="530">
        <f>SUBTOTAL(102,G$15:G139)</f>
        <v>87</v>
      </c>
      <c r="C139" s="531" t="s">
        <v>43</v>
      </c>
      <c r="D139" s="526" t="s">
        <v>92</v>
      </c>
      <c r="E139" s="532" t="s">
        <v>36</v>
      </c>
      <c r="F139" s="533">
        <v>0</v>
      </c>
      <c r="G139" s="534">
        <v>1</v>
      </c>
      <c r="H139" s="172">
        <f t="shared" si="9"/>
        <v>0</v>
      </c>
      <c r="I139" s="535"/>
      <c r="J139" s="528">
        <v>0.25</v>
      </c>
      <c r="K139" s="516">
        <f t="shared" si="10"/>
        <v>0</v>
      </c>
      <c r="L139" s="107"/>
      <c r="M139" s="930" t="s">
        <v>134</v>
      </c>
      <c r="N139" s="934"/>
      <c r="O139" s="197"/>
    </row>
    <row r="140" spans="1:15" s="524" customFormat="1" ht="13.5" hidden="1" thickBot="1">
      <c r="A140" s="165"/>
      <c r="B140" s="530">
        <f>SUBTOTAL(102,G$15:G140)</f>
        <v>87</v>
      </c>
      <c r="C140" s="531" t="s">
        <v>43</v>
      </c>
      <c r="D140" s="526" t="s">
        <v>92</v>
      </c>
      <c r="E140" s="532" t="s">
        <v>36</v>
      </c>
      <c r="F140" s="533">
        <v>0</v>
      </c>
      <c r="G140" s="534">
        <v>1</v>
      </c>
      <c r="H140" s="172">
        <f t="shared" si="9"/>
        <v>0</v>
      </c>
      <c r="I140" s="535"/>
      <c r="J140" s="536">
        <v>0.25</v>
      </c>
      <c r="K140" s="516">
        <f t="shared" si="10"/>
        <v>0</v>
      </c>
      <c r="L140" s="107"/>
      <c r="M140" s="930"/>
      <c r="N140" s="935"/>
      <c r="O140" s="197"/>
    </row>
    <row r="141" spans="1:15" s="222" customFormat="1" ht="12.75" hidden="1">
      <c r="A141" s="158"/>
      <c r="B141" s="215"/>
      <c r="C141" s="436"/>
      <c r="D141" s="537" t="s">
        <v>115</v>
      </c>
      <c r="E141" s="538"/>
      <c r="F141" s="538"/>
      <c r="G141" s="539"/>
      <c r="H141" s="538"/>
      <c r="I141" s="538"/>
      <c r="J141" s="538"/>
      <c r="K141" s="540"/>
      <c r="L141" s="165"/>
      <c r="M141" s="165"/>
      <c r="N141" s="418"/>
      <c r="O141" s="111"/>
    </row>
    <row r="142" spans="1:15" ht="10.5" customHeight="1" hidden="1">
      <c r="A142" s="116"/>
      <c r="B142" s="419"/>
      <c r="C142" s="420"/>
      <c r="D142" s="541" t="s">
        <v>113</v>
      </c>
      <c r="E142" s="918">
        <f>SUBTOTAL(109,I115:I141)</f>
        <v>0</v>
      </c>
      <c r="F142" s="918"/>
      <c r="G142" s="918"/>
      <c r="H142" s="918"/>
      <c r="I142" s="918"/>
      <c r="J142" s="422"/>
      <c r="K142" s="423"/>
      <c r="L142" s="164"/>
      <c r="M142" s="164"/>
      <c r="N142" s="114"/>
      <c r="O142" s="111"/>
    </row>
    <row r="143" spans="1:15" ht="10.5" customHeight="1" hidden="1">
      <c r="A143" s="158"/>
      <c r="B143" s="419"/>
      <c r="C143" s="542"/>
      <c r="D143" s="421" t="s">
        <v>114</v>
      </c>
      <c r="E143" s="927">
        <f>SUBTOTAL(109,H125:H134)</f>
        <v>0</v>
      </c>
      <c r="F143" s="927"/>
      <c r="G143" s="927"/>
      <c r="H143" s="927"/>
      <c r="I143" s="543"/>
      <c r="J143" s="420"/>
      <c r="K143" s="544"/>
      <c r="L143" s="234"/>
      <c r="M143" s="234"/>
      <c r="N143" s="114"/>
      <c r="O143" s="111"/>
    </row>
    <row r="144" spans="1:15" ht="10.5" customHeight="1" hidden="1" thickBot="1">
      <c r="A144" s="158"/>
      <c r="B144" s="545"/>
      <c r="C144" s="546"/>
      <c r="D144" s="225" t="s">
        <v>116</v>
      </c>
      <c r="E144" s="964">
        <f>SUBTOTAL(109,H134:H141)</f>
        <v>0</v>
      </c>
      <c r="F144" s="964"/>
      <c r="G144" s="964"/>
      <c r="H144" s="964"/>
      <c r="I144" s="547"/>
      <c r="J144" s="548"/>
      <c r="K144" s="549">
        <f>SUBTOTAL(109,K116:K141)</f>
        <v>0</v>
      </c>
      <c r="L144" s="234"/>
      <c r="M144" s="234"/>
      <c r="N144" s="114"/>
      <c r="O144" s="111"/>
    </row>
    <row r="145" spans="1:15" s="237" customFormat="1" ht="12.75">
      <c r="A145" s="158"/>
      <c r="B145" s="190"/>
      <c r="C145" s="456"/>
      <c r="D145" s="550" t="s">
        <v>75</v>
      </c>
      <c r="E145" s="551"/>
      <c r="F145" s="458"/>
      <c r="G145" s="459"/>
      <c r="H145" s="456"/>
      <c r="I145" s="552"/>
      <c r="J145" s="456"/>
      <c r="K145" s="553"/>
      <c r="L145" s="164"/>
      <c r="M145" s="460"/>
      <c r="N145" s="165"/>
      <c r="O145" s="166"/>
    </row>
    <row r="146" spans="1:15" s="175" customFormat="1" ht="11.25" customHeight="1" hidden="1">
      <c r="A146" s="105"/>
      <c r="B146" s="190">
        <f>SUBTOTAL(102,G$15:G146)</f>
        <v>87</v>
      </c>
      <c r="C146" s="461" t="s">
        <v>89</v>
      </c>
      <c r="D146" s="462" t="s">
        <v>126</v>
      </c>
      <c r="E146" s="463" t="s">
        <v>36</v>
      </c>
      <c r="F146" s="458">
        <f>F149</f>
        <v>0</v>
      </c>
      <c r="G146" s="464">
        <v>6.08</v>
      </c>
      <c r="H146" s="192"/>
      <c r="I146" s="193">
        <f aca="true" t="shared" si="11" ref="I146:I157">ROUND(ROUND(G146,2)*ROUND(F146,2),2)</f>
        <v>0</v>
      </c>
      <c r="J146" s="192"/>
      <c r="K146" s="192"/>
      <c r="L146" s="107"/>
      <c r="M146" s="465" t="s">
        <v>124</v>
      </c>
      <c r="N146" s="466" t="s">
        <v>137</v>
      </c>
      <c r="O146" s="467">
        <f>F146*0.029</f>
        <v>0</v>
      </c>
    </row>
    <row r="147" spans="1:15" s="175" customFormat="1" ht="11.25">
      <c r="A147" s="105"/>
      <c r="B147" s="190">
        <f>SUBTOTAL(102,G$15:G147)</f>
        <v>88</v>
      </c>
      <c r="C147" s="468">
        <v>183101215</v>
      </c>
      <c r="D147" s="469" t="s">
        <v>102</v>
      </c>
      <c r="E147" s="463" t="s">
        <v>36</v>
      </c>
      <c r="F147" s="458">
        <f>F150</f>
        <v>7</v>
      </c>
      <c r="G147" s="470">
        <v>0</v>
      </c>
      <c r="H147" s="192"/>
      <c r="I147" s="193">
        <f t="shared" si="11"/>
        <v>0</v>
      </c>
      <c r="J147" s="192"/>
      <c r="K147" s="192"/>
      <c r="L147" s="107"/>
      <c r="M147" s="471"/>
      <c r="N147" s="472" t="s">
        <v>129</v>
      </c>
      <c r="O147" s="473">
        <f>F147*0.067</f>
        <v>0.46900000000000003</v>
      </c>
    </row>
    <row r="148" spans="1:15" s="175" customFormat="1" ht="11.25" customHeight="1" hidden="1" thickBot="1">
      <c r="A148" s="105"/>
      <c r="B148" s="190">
        <f>SUBTOTAL(102,G$15:G148)</f>
        <v>88</v>
      </c>
      <c r="C148" s="461">
        <v>183101221</v>
      </c>
      <c r="D148" s="474" t="s">
        <v>188</v>
      </c>
      <c r="E148" s="463" t="s">
        <v>36</v>
      </c>
      <c r="F148" s="458">
        <f>F151</f>
        <v>0</v>
      </c>
      <c r="G148" s="470">
        <v>25.73</v>
      </c>
      <c r="H148" s="192"/>
      <c r="I148" s="193">
        <f t="shared" si="11"/>
        <v>0</v>
      </c>
      <c r="J148" s="192"/>
      <c r="K148" s="192"/>
      <c r="L148" s="107"/>
      <c r="M148" s="475" t="s">
        <v>123</v>
      </c>
      <c r="N148" s="466" t="s">
        <v>189</v>
      </c>
      <c r="O148" s="467">
        <f>F148*0.131</f>
        <v>0</v>
      </c>
    </row>
    <row r="149" spans="1:15" s="175" customFormat="1" ht="9.75" hidden="1">
      <c r="A149" s="105"/>
      <c r="B149" s="190">
        <f>SUBTOTAL(102,G$15:G149)</f>
        <v>88</v>
      </c>
      <c r="C149" s="461">
        <v>184102115</v>
      </c>
      <c r="D149" s="462" t="s">
        <v>16</v>
      </c>
      <c r="E149" s="463" t="s">
        <v>36</v>
      </c>
      <c r="F149" s="476">
        <f>SUBTOTAL(109,F169:F170)</f>
        <v>0</v>
      </c>
      <c r="G149" s="470">
        <v>11.32</v>
      </c>
      <c r="H149" s="192"/>
      <c r="I149" s="193">
        <f t="shared" si="11"/>
        <v>0</v>
      </c>
      <c r="J149" s="192"/>
      <c r="K149" s="192"/>
      <c r="L149" s="107"/>
      <c r="M149" s="465" t="s">
        <v>124</v>
      </c>
      <c r="N149" s="931" t="s">
        <v>160</v>
      </c>
      <c r="O149" s="197"/>
    </row>
    <row r="150" spans="1:15" s="175" customFormat="1" ht="12.75" customHeight="1">
      <c r="A150" s="105"/>
      <c r="B150" s="190">
        <f>SUBTOTAL(102,G$15:G150)</f>
        <v>89</v>
      </c>
      <c r="C150" s="468">
        <v>184102116</v>
      </c>
      <c r="D150" s="469" t="s">
        <v>17</v>
      </c>
      <c r="E150" s="463" t="s">
        <v>36</v>
      </c>
      <c r="F150" s="476">
        <f>SUBTOTAL(109,F171:F174)</f>
        <v>7</v>
      </c>
      <c r="G150" s="470">
        <v>0</v>
      </c>
      <c r="H150" s="192"/>
      <c r="I150" s="193">
        <f t="shared" si="11"/>
        <v>0</v>
      </c>
      <c r="J150" s="192"/>
      <c r="K150" s="192"/>
      <c r="L150" s="107"/>
      <c r="M150" s="471"/>
      <c r="N150" s="932"/>
      <c r="O150" s="477"/>
    </row>
    <row r="151" spans="1:15" s="175" customFormat="1" ht="10.5" hidden="1" thickBot="1">
      <c r="A151" s="105"/>
      <c r="B151" s="190">
        <f>SUBTOTAL(102,G$15:G151)</f>
        <v>89</v>
      </c>
      <c r="C151" s="461">
        <v>184102117</v>
      </c>
      <c r="D151" s="474" t="s">
        <v>18</v>
      </c>
      <c r="E151" s="463" t="s">
        <v>36</v>
      </c>
      <c r="F151" s="476">
        <f>SUBTOTAL(109,F175:F176)</f>
        <v>0</v>
      </c>
      <c r="G151" s="470">
        <v>43.49</v>
      </c>
      <c r="H151" s="192"/>
      <c r="I151" s="193">
        <f t="shared" si="11"/>
        <v>0</v>
      </c>
      <c r="J151" s="192"/>
      <c r="K151" s="192"/>
      <c r="L151" s="107"/>
      <c r="M151" s="475" t="s">
        <v>123</v>
      </c>
      <c r="N151" s="933"/>
      <c r="O151" s="197"/>
    </row>
    <row r="152" spans="1:15" s="157" customFormat="1" ht="12.75">
      <c r="A152" s="478"/>
      <c r="B152" s="190">
        <f>SUBTOTAL(102,G$15:G152)</f>
        <v>90</v>
      </c>
      <c r="C152" s="479">
        <v>457979112</v>
      </c>
      <c r="D152" s="279" t="s">
        <v>28</v>
      </c>
      <c r="E152" s="481" t="s">
        <v>36</v>
      </c>
      <c r="F152" s="458">
        <f>SUBTOTAL(109,F168:F177)</f>
        <v>7</v>
      </c>
      <c r="G152" s="373">
        <v>0</v>
      </c>
      <c r="H152" s="456"/>
      <c r="I152" s="193">
        <f t="shared" si="11"/>
        <v>0</v>
      </c>
      <c r="J152" s="484"/>
      <c r="K152" s="456"/>
      <c r="L152" s="485"/>
      <c r="M152" s="485"/>
      <c r="N152" s="105"/>
      <c r="O152" s="111"/>
    </row>
    <row r="153" spans="1:15" s="490" customFormat="1" ht="12.75">
      <c r="A153" s="486"/>
      <c r="B153" s="190">
        <f>SUBTOTAL(102,G$15:G153)</f>
        <v>91</v>
      </c>
      <c r="C153" s="468">
        <v>184901112</v>
      </c>
      <c r="D153" s="492" t="s">
        <v>57</v>
      </c>
      <c r="E153" s="488" t="s">
        <v>36</v>
      </c>
      <c r="F153" s="207">
        <f>SUBTOTAL(109,F168:F177)*3</f>
        <v>21</v>
      </c>
      <c r="G153" s="470">
        <v>0</v>
      </c>
      <c r="H153" s="207"/>
      <c r="I153" s="193">
        <f t="shared" si="11"/>
        <v>0</v>
      </c>
      <c r="J153" s="484"/>
      <c r="K153" s="456"/>
      <c r="L153" s="164"/>
      <c r="M153" s="164"/>
      <c r="N153" s="114"/>
      <c r="O153" s="111"/>
    </row>
    <row r="154" spans="1:15" s="490" customFormat="1" ht="12.75">
      <c r="A154" s="486"/>
      <c r="B154" s="190">
        <f>SUBTOTAL(102,G$15:G154)</f>
        <v>92</v>
      </c>
      <c r="C154" s="554">
        <v>184911111</v>
      </c>
      <c r="D154" s="510" t="s">
        <v>20</v>
      </c>
      <c r="E154" s="555" t="s">
        <v>36</v>
      </c>
      <c r="F154" s="162">
        <f>SUBTOTAL(109,F168:F177)</f>
        <v>7</v>
      </c>
      <c r="G154" s="841">
        <v>0</v>
      </c>
      <c r="H154" s="160"/>
      <c r="I154" s="193">
        <f t="shared" si="11"/>
        <v>0</v>
      </c>
      <c r="J154" s="555"/>
      <c r="K154" s="160"/>
      <c r="L154" s="164"/>
      <c r="M154" s="164"/>
      <c r="N154" s="114"/>
      <c r="O154" s="111"/>
    </row>
    <row r="155" spans="1:15" s="175" customFormat="1" ht="12.75" customHeight="1">
      <c r="A155" s="105"/>
      <c r="B155" s="190">
        <f>SUBTOTAL(102,G$15:G155)</f>
        <v>93</v>
      </c>
      <c r="C155" s="468">
        <v>184804101</v>
      </c>
      <c r="D155" s="192" t="s">
        <v>23</v>
      </c>
      <c r="E155" s="463" t="s">
        <v>36</v>
      </c>
      <c r="F155" s="207">
        <f>SUBTOTAL(109,F168:F177)</f>
        <v>7</v>
      </c>
      <c r="G155" s="842">
        <v>0</v>
      </c>
      <c r="H155" s="192"/>
      <c r="I155" s="193">
        <f t="shared" si="11"/>
        <v>0</v>
      </c>
      <c r="J155" s="192"/>
      <c r="K155" s="192"/>
      <c r="L155" s="107"/>
      <c r="M155" s="107"/>
      <c r="N155" s="105"/>
      <c r="O155" s="111"/>
    </row>
    <row r="156" spans="1:15" s="120" customFormat="1" ht="12.75">
      <c r="A156" s="486"/>
      <c r="B156" s="190">
        <f>SUBTOTAL(102,G$15:G156)</f>
        <v>94</v>
      </c>
      <c r="C156" s="484" t="s">
        <v>63</v>
      </c>
      <c r="D156" s="279" t="s">
        <v>96</v>
      </c>
      <c r="E156" s="484" t="s">
        <v>21</v>
      </c>
      <c r="F156" s="458">
        <f>SUBTOTAL(109,F168:F177)*0.25</f>
        <v>1.75</v>
      </c>
      <c r="G156" s="470">
        <v>0</v>
      </c>
      <c r="H156" s="456"/>
      <c r="I156" s="193">
        <f t="shared" si="11"/>
        <v>0</v>
      </c>
      <c r="J156" s="484"/>
      <c r="K156" s="456"/>
      <c r="L156" s="164"/>
      <c r="M156" s="164"/>
      <c r="N156" s="165"/>
      <c r="O156" s="166"/>
    </row>
    <row r="157" spans="1:15" s="490" customFormat="1" ht="13.5" thickBot="1">
      <c r="A157" s="486"/>
      <c r="B157" s="167">
        <f>SUBTOTAL(102,G$15:G157)</f>
        <v>95</v>
      </c>
      <c r="C157" s="556">
        <v>184921093</v>
      </c>
      <c r="D157" s="514" t="s">
        <v>4</v>
      </c>
      <c r="E157" s="515" t="s">
        <v>48</v>
      </c>
      <c r="F157" s="557">
        <f>SUBTOTAL(109,F168:F177)*1</f>
        <v>7</v>
      </c>
      <c r="G157" s="843">
        <v>0</v>
      </c>
      <c r="H157" s="558"/>
      <c r="I157" s="172">
        <f t="shared" si="11"/>
        <v>0</v>
      </c>
      <c r="J157" s="555"/>
      <c r="K157" s="160"/>
      <c r="L157" s="164"/>
      <c r="M157" s="164"/>
      <c r="N157" s="114"/>
      <c r="O157" s="111"/>
    </row>
    <row r="158" spans="1:15" s="222" customFormat="1" ht="12.75">
      <c r="A158" s="116"/>
      <c r="B158" s="267">
        <f>SUBTOTAL(102,G$15:G158)</f>
        <v>96</v>
      </c>
      <c r="C158" s="501" t="s">
        <v>43</v>
      </c>
      <c r="D158" s="269" t="s">
        <v>207</v>
      </c>
      <c r="E158" s="502" t="s">
        <v>47</v>
      </c>
      <c r="F158" s="503">
        <f>SUBTOTAL(109,O146:O148)*1.4</f>
        <v>0.6566</v>
      </c>
      <c r="G158" s="71">
        <v>0</v>
      </c>
      <c r="H158" s="272">
        <f aca="true" t="shared" si="12" ref="H158:H167">ROUND(ROUND(G158,2)*ROUND(F158,2),2)</f>
        <v>0</v>
      </c>
      <c r="I158" s="273"/>
      <c r="J158" s="501">
        <v>1</v>
      </c>
      <c r="K158" s="275">
        <f>J158*F158</f>
        <v>0.6566</v>
      </c>
      <c r="L158" s="164"/>
      <c r="M158" s="164"/>
      <c r="N158" s="386" t="s">
        <v>81</v>
      </c>
      <c r="O158" s="111"/>
    </row>
    <row r="159" spans="1:15" s="490" customFormat="1" ht="12.75">
      <c r="A159" s="116"/>
      <c r="B159" s="276">
        <f>SUBTOTAL(102,G$15:G159)</f>
        <v>97</v>
      </c>
      <c r="C159" s="506" t="s">
        <v>43</v>
      </c>
      <c r="D159" s="279" t="s">
        <v>97</v>
      </c>
      <c r="E159" s="463" t="s">
        <v>36</v>
      </c>
      <c r="F159" s="559">
        <f>SUBTOTAL(109,F168:F177)*3</f>
        <v>21</v>
      </c>
      <c r="G159" s="373">
        <v>0</v>
      </c>
      <c r="H159" s="193">
        <f t="shared" si="12"/>
        <v>0</v>
      </c>
      <c r="I159" s="507"/>
      <c r="J159" s="325">
        <v>0.0035</v>
      </c>
      <c r="K159" s="280">
        <f>J159*F159</f>
        <v>0.0735</v>
      </c>
      <c r="L159" s="164"/>
      <c r="M159" s="164"/>
      <c r="N159" s="114"/>
      <c r="O159" s="111"/>
    </row>
    <row r="160" spans="1:15" s="490" customFormat="1" ht="22.5">
      <c r="A160" s="116"/>
      <c r="B160" s="276">
        <f>SUBTOTAL(102,G$15:G160)</f>
        <v>98</v>
      </c>
      <c r="C160" s="506" t="s">
        <v>43</v>
      </c>
      <c r="D160" s="239" t="s">
        <v>367</v>
      </c>
      <c r="E160" s="463" t="s">
        <v>36</v>
      </c>
      <c r="F160" s="207">
        <f>ROUNDUP(SUBTOTAL(109,F168:F177)*3,0)</f>
        <v>21</v>
      </c>
      <c r="G160" s="373">
        <v>0</v>
      </c>
      <c r="H160" s="193">
        <f t="shared" si="12"/>
        <v>0</v>
      </c>
      <c r="I160" s="507"/>
      <c r="J160" s="325">
        <v>0.0035</v>
      </c>
      <c r="K160" s="280">
        <f>J160*F160</f>
        <v>0.0735</v>
      </c>
      <c r="L160" s="164"/>
      <c r="M160" s="164"/>
      <c r="N160" s="381" t="s">
        <v>206</v>
      </c>
      <c r="O160" s="111"/>
    </row>
    <row r="161" spans="1:15" s="567" customFormat="1" ht="24" customHeight="1">
      <c r="A161" s="560"/>
      <c r="B161" s="276">
        <f>SUBTOTAL(102,G$15:G161)</f>
        <v>99</v>
      </c>
      <c r="C161" s="506" t="s">
        <v>43</v>
      </c>
      <c r="D161" s="278" t="s">
        <v>135</v>
      </c>
      <c r="E161" s="561" t="s">
        <v>22</v>
      </c>
      <c r="F161" s="559">
        <f>SUBTOTAL(109,F168:F177)*0.1</f>
        <v>0.7000000000000001</v>
      </c>
      <c r="G161" s="72">
        <v>0</v>
      </c>
      <c r="H161" s="562">
        <f t="shared" si="12"/>
        <v>0</v>
      </c>
      <c r="I161" s="480"/>
      <c r="J161" s="506">
        <v>0.0001</v>
      </c>
      <c r="K161" s="563">
        <f>J161*F161</f>
        <v>7.000000000000001E-05</v>
      </c>
      <c r="L161" s="564"/>
      <c r="M161" s="564"/>
      <c r="N161" s="565" t="s">
        <v>125</v>
      </c>
      <c r="O161" s="566"/>
    </row>
    <row r="162" spans="1:15" s="490" customFormat="1" ht="12.75">
      <c r="A162" s="116"/>
      <c r="B162" s="276">
        <f>SUBTOTAL(102,G$15:G162)</f>
        <v>100</v>
      </c>
      <c r="C162" s="506" t="s">
        <v>43</v>
      </c>
      <c r="D162" s="279" t="s">
        <v>25</v>
      </c>
      <c r="E162" s="463" t="s">
        <v>22</v>
      </c>
      <c r="F162" s="207">
        <f>SUBTOTAL(109,F168:F177)*3</f>
        <v>21</v>
      </c>
      <c r="G162" s="373">
        <v>0</v>
      </c>
      <c r="H162" s="193">
        <f t="shared" si="12"/>
        <v>0</v>
      </c>
      <c r="I162" s="507"/>
      <c r="J162" s="325"/>
      <c r="K162" s="280"/>
      <c r="L162" s="164"/>
      <c r="M162" s="164"/>
      <c r="N162" s="114"/>
      <c r="O162" s="111"/>
    </row>
    <row r="163" spans="1:15" s="222" customFormat="1" ht="12.75">
      <c r="A163" s="116"/>
      <c r="B163" s="276">
        <f>SUBTOTAL(102,G$15:G163)</f>
        <v>101</v>
      </c>
      <c r="C163" s="506" t="s">
        <v>43</v>
      </c>
      <c r="D163" s="279" t="s">
        <v>24</v>
      </c>
      <c r="E163" s="481" t="s">
        <v>36</v>
      </c>
      <c r="F163" s="207">
        <f>SUBTOTAL(109,F168:F177)</f>
        <v>7</v>
      </c>
      <c r="G163" s="72">
        <v>0</v>
      </c>
      <c r="H163" s="193">
        <f t="shared" si="12"/>
        <v>0</v>
      </c>
      <c r="I163" s="279"/>
      <c r="J163" s="488"/>
      <c r="K163" s="280"/>
      <c r="L163" s="164"/>
      <c r="M163" s="164"/>
      <c r="N163" s="114"/>
      <c r="O163" s="111"/>
    </row>
    <row r="164" spans="1:15" ht="22.5">
      <c r="A164" s="158"/>
      <c r="B164" s="276">
        <f>SUBTOTAL(102,G$15:G164)</f>
        <v>102</v>
      </c>
      <c r="C164" s="506" t="s">
        <v>43</v>
      </c>
      <c r="D164" s="492" t="s">
        <v>29</v>
      </c>
      <c r="E164" s="481" t="s">
        <v>36</v>
      </c>
      <c r="F164" s="207">
        <f>SUBTOTAL(109,F168:F177)</f>
        <v>7</v>
      </c>
      <c r="G164" s="72">
        <v>0</v>
      </c>
      <c r="H164" s="193">
        <f t="shared" si="12"/>
        <v>0</v>
      </c>
      <c r="I164" s="279"/>
      <c r="J164" s="488">
        <v>0.0002</v>
      </c>
      <c r="K164" s="280">
        <f>J164*F164</f>
        <v>0.0014</v>
      </c>
      <c r="L164" s="164"/>
      <c r="M164" s="164"/>
      <c r="N164" s="114"/>
      <c r="O164" s="111"/>
    </row>
    <row r="165" spans="1:15" ht="12.75">
      <c r="A165" s="158"/>
      <c r="B165" s="276">
        <f>SUBTOTAL(102,G$15:G165)</f>
        <v>103</v>
      </c>
      <c r="C165" s="506" t="s">
        <v>43</v>
      </c>
      <c r="D165" s="492" t="s">
        <v>98</v>
      </c>
      <c r="E165" s="481" t="s">
        <v>36</v>
      </c>
      <c r="F165" s="207">
        <f>F164*2</f>
        <v>14</v>
      </c>
      <c r="G165" s="72">
        <v>0</v>
      </c>
      <c r="H165" s="193">
        <f t="shared" si="12"/>
        <v>0</v>
      </c>
      <c r="I165" s="279"/>
      <c r="J165" s="488"/>
      <c r="K165" s="280"/>
      <c r="L165" s="164"/>
      <c r="M165" s="164"/>
      <c r="N165" s="114"/>
      <c r="O165" s="111"/>
    </row>
    <row r="166" spans="1:15" s="120" customFormat="1" ht="12.75">
      <c r="A166" s="116"/>
      <c r="B166" s="276">
        <f>SUBTOTAL(102,G$15:G166)</f>
        <v>104</v>
      </c>
      <c r="C166" s="506" t="s">
        <v>43</v>
      </c>
      <c r="D166" s="492" t="s">
        <v>78</v>
      </c>
      <c r="E166" s="481" t="s">
        <v>36</v>
      </c>
      <c r="F166" s="207">
        <f>SUBTOTAL(109,F168:F177)*2</f>
        <v>14</v>
      </c>
      <c r="G166" s="72">
        <v>0</v>
      </c>
      <c r="H166" s="193">
        <f t="shared" si="12"/>
        <v>0</v>
      </c>
      <c r="I166" s="279"/>
      <c r="J166" s="488">
        <v>0.035</v>
      </c>
      <c r="K166" s="280">
        <f>J166*F166</f>
        <v>0.49000000000000005</v>
      </c>
      <c r="L166" s="164"/>
      <c r="M166" s="164"/>
      <c r="N166" s="568" t="s">
        <v>136</v>
      </c>
      <c r="O166" s="166"/>
    </row>
    <row r="167" spans="1:15" s="120" customFormat="1" ht="12.75">
      <c r="A167" s="116"/>
      <c r="B167" s="276">
        <f>SUBTOTAL(102,G$15:G167)</f>
        <v>105</v>
      </c>
      <c r="C167" s="506" t="s">
        <v>43</v>
      </c>
      <c r="D167" s="492" t="s">
        <v>26</v>
      </c>
      <c r="E167" s="463" t="s">
        <v>100</v>
      </c>
      <c r="F167" s="569">
        <f>SUBTOTAL(109,F168:F177)*0.05</f>
        <v>0.35000000000000003</v>
      </c>
      <c r="G167" s="72">
        <v>0</v>
      </c>
      <c r="H167" s="193">
        <f t="shared" si="12"/>
        <v>0</v>
      </c>
      <c r="I167" s="279"/>
      <c r="J167" s="488"/>
      <c r="K167" s="280"/>
      <c r="L167" s="164"/>
      <c r="M167" s="164"/>
      <c r="N167" s="570" t="s">
        <v>288</v>
      </c>
      <c r="O167" s="166"/>
    </row>
    <row r="168" spans="1:15" s="524" customFormat="1" ht="13.5" thickBot="1">
      <c r="A168" s="105"/>
      <c r="B168" s="530"/>
      <c r="C168" s="532"/>
      <c r="D168" s="518" t="s">
        <v>130</v>
      </c>
      <c r="E168" s="532"/>
      <c r="F168" s="571"/>
      <c r="G168" s="643"/>
      <c r="H168" s="520"/>
      <c r="I168" s="535"/>
      <c r="J168" s="572"/>
      <c r="K168" s="573"/>
      <c r="L168" s="107"/>
      <c r="M168" s="460"/>
      <c r="N168" s="523"/>
      <c r="O168" s="197"/>
    </row>
    <row r="169" spans="1:15" s="524" customFormat="1" ht="12.75" hidden="1">
      <c r="A169" s="165"/>
      <c r="B169" s="276">
        <f>SUBTOTAL(102,G$15:G169)</f>
        <v>105</v>
      </c>
      <c r="C169" s="525" t="s">
        <v>43</v>
      </c>
      <c r="D169" s="526" t="s">
        <v>127</v>
      </c>
      <c r="E169" s="517" t="s">
        <v>36</v>
      </c>
      <c r="F169" s="527">
        <v>0</v>
      </c>
      <c r="G169" s="842">
        <v>1</v>
      </c>
      <c r="H169" s="193">
        <f aca="true" t="shared" si="13" ref="H169:H176">ROUND(ROUND(G169,2)*ROUND(F169,2),2)</f>
        <v>0</v>
      </c>
      <c r="I169" s="521"/>
      <c r="J169" s="528">
        <v>0.05</v>
      </c>
      <c r="K169" s="280">
        <f aca="true" t="shared" si="14" ref="K169:K176">J169*F169</f>
        <v>0</v>
      </c>
      <c r="L169" s="107"/>
      <c r="M169" s="928" t="s">
        <v>124</v>
      </c>
      <c r="N169" s="931" t="s">
        <v>159</v>
      </c>
      <c r="O169" s="197"/>
    </row>
    <row r="170" spans="1:15" s="524" customFormat="1" ht="12.75" hidden="1">
      <c r="A170" s="165"/>
      <c r="B170" s="276">
        <f>SUBTOTAL(102,G$15:G170)</f>
        <v>105</v>
      </c>
      <c r="C170" s="525" t="s">
        <v>43</v>
      </c>
      <c r="D170" s="526" t="s">
        <v>127</v>
      </c>
      <c r="E170" s="517" t="s">
        <v>36</v>
      </c>
      <c r="F170" s="527">
        <v>0</v>
      </c>
      <c r="G170" s="842">
        <v>1</v>
      </c>
      <c r="H170" s="193">
        <f t="shared" si="13"/>
        <v>0</v>
      </c>
      <c r="I170" s="521"/>
      <c r="J170" s="528">
        <v>0.05</v>
      </c>
      <c r="K170" s="280">
        <f t="shared" si="14"/>
        <v>0</v>
      </c>
      <c r="L170" s="107"/>
      <c r="M170" s="928"/>
      <c r="N170" s="934"/>
      <c r="O170" s="197"/>
    </row>
    <row r="171" spans="1:15" s="524" customFormat="1" ht="12.75">
      <c r="A171" s="165"/>
      <c r="B171" s="276">
        <f>SUBTOTAL(102,G$15:G171)</f>
        <v>106</v>
      </c>
      <c r="C171" s="529" t="s">
        <v>43</v>
      </c>
      <c r="D171" s="526" t="s">
        <v>256</v>
      </c>
      <c r="E171" s="517" t="s">
        <v>36</v>
      </c>
      <c r="F171" s="527">
        <v>2</v>
      </c>
      <c r="G171" s="842">
        <v>0</v>
      </c>
      <c r="H171" s="193">
        <f t="shared" si="13"/>
        <v>0</v>
      </c>
      <c r="I171" s="521"/>
      <c r="J171" s="528">
        <v>0.15</v>
      </c>
      <c r="K171" s="280">
        <f t="shared" si="14"/>
        <v>0.3</v>
      </c>
      <c r="L171" s="107"/>
      <c r="M171" s="929"/>
      <c r="N171" s="934"/>
      <c r="O171" s="197"/>
    </row>
    <row r="172" spans="1:15" s="524" customFormat="1" ht="12.75">
      <c r="A172" s="165"/>
      <c r="B172" s="276">
        <f>SUBTOTAL(102,G$15:G172)</f>
        <v>107</v>
      </c>
      <c r="C172" s="529" t="s">
        <v>43</v>
      </c>
      <c r="D172" s="526" t="s">
        <v>257</v>
      </c>
      <c r="E172" s="517" t="s">
        <v>36</v>
      </c>
      <c r="F172" s="527">
        <v>1</v>
      </c>
      <c r="G172" s="842">
        <v>0</v>
      </c>
      <c r="H172" s="193">
        <f t="shared" si="13"/>
        <v>0</v>
      </c>
      <c r="I172" s="521"/>
      <c r="J172" s="528">
        <v>0.15</v>
      </c>
      <c r="K172" s="280">
        <f t="shared" si="14"/>
        <v>0.15</v>
      </c>
      <c r="L172" s="107"/>
      <c r="M172" s="929"/>
      <c r="N172" s="934"/>
      <c r="O172" s="197"/>
    </row>
    <row r="173" spans="1:15" s="524" customFormat="1" ht="12.75">
      <c r="A173" s="165"/>
      <c r="B173" s="276">
        <f>SUBTOTAL(102,G$15:G173)</f>
        <v>108</v>
      </c>
      <c r="C173" s="529" t="s">
        <v>43</v>
      </c>
      <c r="D173" s="526" t="s">
        <v>293</v>
      </c>
      <c r="E173" s="517" t="s">
        <v>36</v>
      </c>
      <c r="F173" s="527">
        <v>3</v>
      </c>
      <c r="G173" s="842">
        <v>0</v>
      </c>
      <c r="H173" s="193">
        <f>ROUND(ROUND(G173,2)*ROUND(F173,2),2)</f>
        <v>0</v>
      </c>
      <c r="I173" s="521"/>
      <c r="J173" s="528">
        <v>0.15</v>
      </c>
      <c r="K173" s="280">
        <f>J173*F173</f>
        <v>0.44999999999999996</v>
      </c>
      <c r="L173" s="107"/>
      <c r="M173" s="929"/>
      <c r="N173" s="934"/>
      <c r="O173" s="197"/>
    </row>
    <row r="174" spans="1:15" s="524" customFormat="1" ht="12.75">
      <c r="A174" s="165"/>
      <c r="B174" s="276">
        <f>SUBTOTAL(102,G$15:G174)</f>
        <v>109</v>
      </c>
      <c r="C174" s="529" t="s">
        <v>43</v>
      </c>
      <c r="D174" s="526" t="s">
        <v>259</v>
      </c>
      <c r="E174" s="517" t="s">
        <v>36</v>
      </c>
      <c r="F174" s="527">
        <v>1</v>
      </c>
      <c r="G174" s="842">
        <v>0</v>
      </c>
      <c r="H174" s="193">
        <f>ROUND(ROUND(G174,2)*ROUND(F174,2),2)</f>
        <v>0</v>
      </c>
      <c r="I174" s="521"/>
      <c r="J174" s="528">
        <v>0.15</v>
      </c>
      <c r="K174" s="280">
        <f>J174*F174</f>
        <v>0.15</v>
      </c>
      <c r="L174" s="107"/>
      <c r="M174" s="929"/>
      <c r="N174" s="934"/>
      <c r="O174" s="197"/>
    </row>
    <row r="175" spans="1:15" s="524" customFormat="1" ht="12.75" hidden="1">
      <c r="A175" s="165"/>
      <c r="B175" s="276">
        <f>SUBTOTAL(102,G$15:G175)</f>
        <v>109</v>
      </c>
      <c r="C175" s="574" t="s">
        <v>43</v>
      </c>
      <c r="D175" s="526" t="s">
        <v>190</v>
      </c>
      <c r="E175" s="484" t="s">
        <v>36</v>
      </c>
      <c r="F175" s="527">
        <v>0</v>
      </c>
      <c r="G175" s="493">
        <v>1</v>
      </c>
      <c r="H175" s="193">
        <f t="shared" si="13"/>
        <v>0</v>
      </c>
      <c r="I175" s="575"/>
      <c r="J175" s="528">
        <v>0.25</v>
      </c>
      <c r="K175" s="280">
        <f t="shared" si="14"/>
        <v>0</v>
      </c>
      <c r="L175" s="107"/>
      <c r="M175" s="930" t="s">
        <v>123</v>
      </c>
      <c r="N175" s="934"/>
      <c r="O175" s="197"/>
    </row>
    <row r="176" spans="1:15" s="524" customFormat="1" ht="13.5" hidden="1" thickBot="1">
      <c r="A176" s="165"/>
      <c r="B176" s="281">
        <f>SUBTOTAL(102,G$15:G176)</f>
        <v>109</v>
      </c>
      <c r="C176" s="576" t="s">
        <v>43</v>
      </c>
      <c r="D176" s="526" t="s">
        <v>190</v>
      </c>
      <c r="E176" s="577" t="s">
        <v>36</v>
      </c>
      <c r="F176" s="578">
        <v>0</v>
      </c>
      <c r="G176" s="579">
        <v>1</v>
      </c>
      <c r="H176" s="286">
        <f t="shared" si="13"/>
        <v>0</v>
      </c>
      <c r="I176" s="580"/>
      <c r="J176" s="536">
        <v>0.25</v>
      </c>
      <c r="K176" s="289">
        <f t="shared" si="14"/>
        <v>0</v>
      </c>
      <c r="L176" s="107"/>
      <c r="M176" s="930"/>
      <c r="N176" s="935"/>
      <c r="O176" s="197"/>
    </row>
    <row r="177" spans="1:15" s="222" customFormat="1" ht="12.75">
      <c r="A177" s="158"/>
      <c r="B177" s="412"/>
      <c r="C177" s="158"/>
      <c r="D177" s="581" t="s">
        <v>117</v>
      </c>
      <c r="E177" s="582"/>
      <c r="F177" s="582"/>
      <c r="G177" s="583"/>
      <c r="H177" s="582"/>
      <c r="I177" s="582"/>
      <c r="J177" s="582"/>
      <c r="K177" s="584"/>
      <c r="L177" s="165"/>
      <c r="M177" s="165"/>
      <c r="N177" s="418"/>
      <c r="O177" s="111"/>
    </row>
    <row r="178" spans="1:15" ht="10.5" customHeight="1">
      <c r="A178" s="116"/>
      <c r="B178" s="419"/>
      <c r="C178" s="420"/>
      <c r="D178" s="585" t="s">
        <v>113</v>
      </c>
      <c r="E178" s="918">
        <f>SUBTOTAL(109,I145:I174)</f>
        <v>0</v>
      </c>
      <c r="F178" s="918"/>
      <c r="G178" s="918"/>
      <c r="H178" s="918"/>
      <c r="I178" s="918"/>
      <c r="J178" s="422"/>
      <c r="K178" s="423"/>
      <c r="L178" s="164"/>
      <c r="M178" s="164"/>
      <c r="N178" s="114"/>
      <c r="O178" s="111"/>
    </row>
    <row r="179" spans="1:15" ht="10.5" customHeight="1">
      <c r="A179" s="158"/>
      <c r="B179" s="419"/>
      <c r="C179" s="542"/>
      <c r="D179" s="421" t="s">
        <v>114</v>
      </c>
      <c r="E179" s="927">
        <f>SUBTOTAL(109,H158:H168)</f>
        <v>0</v>
      </c>
      <c r="F179" s="927"/>
      <c r="G179" s="927"/>
      <c r="H179" s="927"/>
      <c r="I179" s="543"/>
      <c r="J179" s="420"/>
      <c r="K179" s="544"/>
      <c r="L179" s="234"/>
      <c r="M179" s="234"/>
      <c r="N179" s="114"/>
      <c r="O179" s="111"/>
    </row>
    <row r="180" spans="1:15" ht="10.5" customHeight="1" thickBot="1">
      <c r="A180" s="158"/>
      <c r="B180" s="223"/>
      <c r="C180" s="424"/>
      <c r="D180" s="225" t="s">
        <v>116</v>
      </c>
      <c r="E180" s="945">
        <f>SUBTOTAL(109,H168:H177)</f>
        <v>0</v>
      </c>
      <c r="F180" s="946"/>
      <c r="G180" s="946"/>
      <c r="H180" s="947"/>
      <c r="I180" s="425"/>
      <c r="J180" s="224"/>
      <c r="K180" s="586">
        <f>SUBTOTAL(109,K145:K177)</f>
        <v>2.3450699999999998</v>
      </c>
      <c r="L180" s="234"/>
      <c r="M180" s="234"/>
      <c r="N180" s="114"/>
      <c r="O180" s="111"/>
    </row>
    <row r="181" spans="1:15" s="237" customFormat="1" ht="12.75">
      <c r="A181" s="158"/>
      <c r="B181" s="184"/>
      <c r="C181" s="235"/>
      <c r="D181" s="587" t="s">
        <v>172</v>
      </c>
      <c r="E181" s="154"/>
      <c r="F181" s="236"/>
      <c r="G181" s="21"/>
      <c r="H181" s="235"/>
      <c r="I181" s="154"/>
      <c r="J181" s="235"/>
      <c r="K181" s="152"/>
      <c r="L181" s="164"/>
      <c r="M181" s="164"/>
      <c r="N181" s="165"/>
      <c r="O181" s="166"/>
    </row>
    <row r="182" spans="1:16" s="599" customFormat="1" ht="12.75">
      <c r="A182" s="588"/>
      <c r="B182" s="190">
        <f>SUBTOTAL(102,G$15:G182)</f>
        <v>110</v>
      </c>
      <c r="C182" s="589"/>
      <c r="D182" s="590" t="s">
        <v>8</v>
      </c>
      <c r="E182" s="591" t="s">
        <v>1</v>
      </c>
      <c r="F182" s="592">
        <v>76</v>
      </c>
      <c r="G182" s="844">
        <v>0</v>
      </c>
      <c r="H182" s="593"/>
      <c r="I182" s="193">
        <f aca="true" t="shared" si="15" ref="I182:I197">ROUND(ROUND(G182,2)*ROUND(F182,2),2)</f>
        <v>0</v>
      </c>
      <c r="J182" s="594"/>
      <c r="K182" s="595"/>
      <c r="L182" s="485"/>
      <c r="M182" s="485"/>
      <c r="N182" s="596"/>
      <c r="O182" s="597"/>
      <c r="P182" s="598"/>
    </row>
    <row r="183" spans="1:16" s="175" customFormat="1" ht="11.25">
      <c r="A183" s="105"/>
      <c r="B183" s="190">
        <f>SUBTOTAL(102,G$15:G183)</f>
        <v>111</v>
      </c>
      <c r="C183" s="468">
        <v>457979112</v>
      </c>
      <c r="D183" s="487" t="s">
        <v>27</v>
      </c>
      <c r="E183" s="463" t="s">
        <v>6</v>
      </c>
      <c r="F183" s="458">
        <f>F194</f>
        <v>170</v>
      </c>
      <c r="G183" s="845">
        <v>0</v>
      </c>
      <c r="H183" s="192"/>
      <c r="I183" s="193">
        <f t="shared" si="15"/>
        <v>0</v>
      </c>
      <c r="J183" s="600"/>
      <c r="K183" s="192"/>
      <c r="L183" s="107"/>
      <c r="M183" s="601"/>
      <c r="N183" s="602" t="s">
        <v>59</v>
      </c>
      <c r="O183" s="111"/>
      <c r="P183" s="603"/>
    </row>
    <row r="184" spans="1:16" s="175" customFormat="1" ht="11.25" customHeight="1" hidden="1">
      <c r="A184" s="105"/>
      <c r="B184" s="190">
        <f>SUBTOTAL(102,G$15:G184)</f>
        <v>111</v>
      </c>
      <c r="C184" s="461">
        <v>183101211</v>
      </c>
      <c r="D184" s="604" t="s">
        <v>163</v>
      </c>
      <c r="E184" s="463" t="s">
        <v>36</v>
      </c>
      <c r="F184" s="482">
        <f>+F189</f>
        <v>0</v>
      </c>
      <c r="G184" s="470">
        <v>0.27</v>
      </c>
      <c r="H184" s="192"/>
      <c r="I184" s="193">
        <f t="shared" si="15"/>
        <v>0</v>
      </c>
      <c r="J184" s="192"/>
      <c r="K184" s="192"/>
      <c r="L184" s="107"/>
      <c r="M184" s="460" t="s">
        <v>146</v>
      </c>
      <c r="N184" s="605" t="s">
        <v>150</v>
      </c>
      <c r="O184" s="606">
        <f>F184*0.00013</f>
        <v>0</v>
      </c>
      <c r="P184" s="607"/>
    </row>
    <row r="185" spans="1:16" s="175" customFormat="1" ht="11.25" customHeight="1">
      <c r="A185" s="105"/>
      <c r="B185" s="190">
        <f>SUBTOTAL(102,G$15:G185)</f>
        <v>112</v>
      </c>
      <c r="C185" s="461">
        <v>183101211</v>
      </c>
      <c r="D185" s="462" t="s">
        <v>85</v>
      </c>
      <c r="E185" s="463" t="s">
        <v>36</v>
      </c>
      <c r="F185" s="482">
        <f>F190</f>
        <v>752</v>
      </c>
      <c r="G185" s="470">
        <v>0</v>
      </c>
      <c r="H185" s="192"/>
      <c r="I185" s="193">
        <f t="shared" si="15"/>
        <v>0</v>
      </c>
      <c r="J185" s="192"/>
      <c r="K185" s="192"/>
      <c r="L185" s="107"/>
      <c r="M185" s="465"/>
      <c r="N185" s="605" t="s">
        <v>148</v>
      </c>
      <c r="O185" s="606">
        <f>F185*0.0011</f>
        <v>0.8272</v>
      </c>
      <c r="P185" s="607"/>
    </row>
    <row r="186" spans="1:16" s="175" customFormat="1" ht="11.25" customHeight="1" hidden="1">
      <c r="A186" s="105"/>
      <c r="B186" s="190">
        <f>SUBTOTAL(102,G$15:G186)</f>
        <v>112</v>
      </c>
      <c r="C186" s="461">
        <v>183101212</v>
      </c>
      <c r="D186" s="608" t="s">
        <v>86</v>
      </c>
      <c r="E186" s="463" t="s">
        <v>36</v>
      </c>
      <c r="F186" s="458">
        <f>F191</f>
        <v>0</v>
      </c>
      <c r="G186" s="470">
        <v>0.54</v>
      </c>
      <c r="H186" s="192"/>
      <c r="I186" s="193">
        <f t="shared" si="15"/>
        <v>0</v>
      </c>
      <c r="J186" s="192"/>
      <c r="K186" s="192"/>
      <c r="L186" s="107"/>
      <c r="M186" s="471" t="s">
        <v>139</v>
      </c>
      <c r="N186" s="466" t="s">
        <v>152</v>
      </c>
      <c r="O186" s="606">
        <f>F186*0.0035</f>
        <v>0</v>
      </c>
      <c r="P186" s="603"/>
    </row>
    <row r="187" spans="1:16" s="175" customFormat="1" ht="11.25" customHeight="1" hidden="1">
      <c r="A187" s="105"/>
      <c r="B187" s="190">
        <f>SUBTOTAL(102,G$15:G187)</f>
        <v>112</v>
      </c>
      <c r="C187" s="461">
        <v>183101213</v>
      </c>
      <c r="D187" s="474" t="s">
        <v>87</v>
      </c>
      <c r="E187" s="463" t="s">
        <v>36</v>
      </c>
      <c r="F187" s="458">
        <f>F192</f>
        <v>0</v>
      </c>
      <c r="G187" s="470">
        <v>1.37</v>
      </c>
      <c r="H187" s="192"/>
      <c r="I187" s="193">
        <f t="shared" si="15"/>
        <v>0</v>
      </c>
      <c r="J187" s="192"/>
      <c r="K187" s="192"/>
      <c r="L187" s="107"/>
      <c r="M187" s="475" t="s">
        <v>143</v>
      </c>
      <c r="N187" s="466" t="s">
        <v>151</v>
      </c>
      <c r="O187" s="606">
        <f>F187*0.0085</f>
        <v>0</v>
      </c>
      <c r="P187" s="603"/>
    </row>
    <row r="188" spans="1:16" s="175" customFormat="1" ht="11.25" customHeight="1">
      <c r="A188" s="105"/>
      <c r="B188" s="190">
        <f>SUBTOTAL(102,G$15:G188)</f>
        <v>113</v>
      </c>
      <c r="C188" s="461">
        <v>183101214</v>
      </c>
      <c r="D188" s="609" t="s">
        <v>88</v>
      </c>
      <c r="E188" s="463" t="s">
        <v>36</v>
      </c>
      <c r="F188" s="458">
        <f>F193</f>
        <v>16</v>
      </c>
      <c r="G188" s="470">
        <v>0</v>
      </c>
      <c r="H188" s="192"/>
      <c r="I188" s="193">
        <f t="shared" si="15"/>
        <v>0</v>
      </c>
      <c r="J188" s="192"/>
      <c r="K188" s="192"/>
      <c r="L188" s="107"/>
      <c r="M188" s="610"/>
      <c r="N188" s="466" t="s">
        <v>153</v>
      </c>
      <c r="O188" s="606">
        <f>F188*0.017</f>
        <v>0.272</v>
      </c>
      <c r="P188" s="603"/>
    </row>
    <row r="189" spans="1:16" s="175" customFormat="1" ht="11.25" customHeight="1" hidden="1">
      <c r="A189" s="105"/>
      <c r="B189" s="190">
        <f>SUBTOTAL(102,G$15:G189)</f>
        <v>113</v>
      </c>
      <c r="C189" s="461">
        <v>184102110</v>
      </c>
      <c r="D189" s="611" t="s">
        <v>164</v>
      </c>
      <c r="E189" s="463" t="s">
        <v>36</v>
      </c>
      <c r="F189" s="476">
        <f>SUBTOTAL(109,F220:F223)</f>
        <v>0</v>
      </c>
      <c r="G189" s="470">
        <v>0.67</v>
      </c>
      <c r="H189" s="192"/>
      <c r="I189" s="193">
        <f t="shared" si="15"/>
        <v>0</v>
      </c>
      <c r="J189" s="192"/>
      <c r="K189" s="192"/>
      <c r="L189" s="107"/>
      <c r="M189" s="601" t="s">
        <v>146</v>
      </c>
      <c r="N189" s="612"/>
      <c r="O189" s="613"/>
      <c r="P189" s="603"/>
    </row>
    <row r="190" spans="1:16" s="175" customFormat="1" ht="11.25">
      <c r="A190" s="105"/>
      <c r="B190" s="190">
        <f>SUBTOTAL(102,G$15:G190)</f>
        <v>114</v>
      </c>
      <c r="C190" s="468">
        <v>184102111</v>
      </c>
      <c r="D190" s="614" t="s">
        <v>12</v>
      </c>
      <c r="E190" s="463" t="s">
        <v>36</v>
      </c>
      <c r="F190" s="476">
        <f>SUBTOTAL(109,F206:F217)</f>
        <v>752</v>
      </c>
      <c r="G190" s="470">
        <v>0</v>
      </c>
      <c r="H190" s="192"/>
      <c r="I190" s="193">
        <f t="shared" si="15"/>
        <v>0</v>
      </c>
      <c r="J190" s="192"/>
      <c r="K190" s="192"/>
      <c r="L190" s="107"/>
      <c r="M190" s="465"/>
      <c r="N190" s="523"/>
      <c r="O190" s="615"/>
      <c r="P190" s="603"/>
    </row>
    <row r="191" spans="1:16" s="175" customFormat="1" ht="9.75" hidden="1">
      <c r="A191" s="105"/>
      <c r="B191" s="190">
        <f>SUBTOTAL(102,G$15:G191)</f>
        <v>114</v>
      </c>
      <c r="C191" s="461">
        <v>184102112</v>
      </c>
      <c r="D191" s="608" t="s">
        <v>13</v>
      </c>
      <c r="E191" s="463" t="s">
        <v>36</v>
      </c>
      <c r="F191" s="476">
        <f>SUBTOTAL(109,F214:F215)</f>
        <v>0</v>
      </c>
      <c r="G191" s="470">
        <v>1.75</v>
      </c>
      <c r="H191" s="192"/>
      <c r="I191" s="193">
        <f t="shared" si="15"/>
        <v>0</v>
      </c>
      <c r="J191" s="192"/>
      <c r="K191" s="192"/>
      <c r="L191" s="107"/>
      <c r="M191" s="471" t="s">
        <v>139</v>
      </c>
      <c r="N191" s="523"/>
      <c r="O191" s="615"/>
      <c r="P191" s="603"/>
    </row>
    <row r="192" spans="1:16" s="175" customFormat="1" ht="9.75" hidden="1">
      <c r="A192" s="105"/>
      <c r="B192" s="190">
        <f>SUBTOTAL(102,G$15:G192)</f>
        <v>114</v>
      </c>
      <c r="C192" s="461">
        <v>184102113</v>
      </c>
      <c r="D192" s="474" t="s">
        <v>14</v>
      </c>
      <c r="E192" s="463" t="s">
        <v>36</v>
      </c>
      <c r="F192" s="476">
        <f>SUBTOTAL(109,F216:F217)</f>
        <v>0</v>
      </c>
      <c r="G192" s="470">
        <v>1.75</v>
      </c>
      <c r="H192" s="192"/>
      <c r="I192" s="193">
        <f t="shared" si="15"/>
        <v>0</v>
      </c>
      <c r="J192" s="192"/>
      <c r="K192" s="192"/>
      <c r="L192" s="107"/>
      <c r="M192" s="475" t="s">
        <v>143</v>
      </c>
      <c r="N192" s="523"/>
      <c r="O192" s="615"/>
      <c r="P192" s="603"/>
    </row>
    <row r="193" spans="1:16" s="175" customFormat="1" ht="11.25">
      <c r="A193" s="105"/>
      <c r="B193" s="190">
        <f>SUBTOTAL(102,G$15:G193)</f>
        <v>115</v>
      </c>
      <c r="C193" s="461">
        <v>184102114</v>
      </c>
      <c r="D193" s="609" t="s">
        <v>15</v>
      </c>
      <c r="E193" s="616" t="s">
        <v>36</v>
      </c>
      <c r="F193" s="476">
        <f>SUBTOTAL(109,F218:F219)</f>
        <v>16</v>
      </c>
      <c r="G193" s="470">
        <v>0</v>
      </c>
      <c r="H193" s="192"/>
      <c r="I193" s="193">
        <f t="shared" si="15"/>
        <v>0</v>
      </c>
      <c r="J193" s="192"/>
      <c r="K193" s="192"/>
      <c r="L193" s="107"/>
      <c r="M193" s="610"/>
      <c r="N193" s="523"/>
      <c r="O193" s="615"/>
      <c r="P193" s="603"/>
    </row>
    <row r="194" spans="1:16" s="625" customFormat="1" ht="22.5">
      <c r="A194" s="617"/>
      <c r="B194" s="190">
        <f>SUBTOTAL(102,G$15:G194)</f>
        <v>116</v>
      </c>
      <c r="C194" s="479">
        <v>183205111</v>
      </c>
      <c r="D194" s="487" t="s">
        <v>2</v>
      </c>
      <c r="E194" s="618" t="s">
        <v>101</v>
      </c>
      <c r="F194" s="619">
        <v>170</v>
      </c>
      <c r="G194" s="470">
        <v>0</v>
      </c>
      <c r="H194" s="487"/>
      <c r="I194" s="193">
        <f t="shared" si="15"/>
        <v>0</v>
      </c>
      <c r="J194" s="620"/>
      <c r="K194" s="487"/>
      <c r="L194" s="621"/>
      <c r="M194" s="977"/>
      <c r="N194" s="622"/>
      <c r="O194" s="623"/>
      <c r="P194" s="624"/>
    </row>
    <row r="195" spans="1:16" s="175" customFormat="1" ht="11.25" customHeight="1" hidden="1">
      <c r="A195" s="105"/>
      <c r="B195" s="190">
        <f>SUBTOTAL(102,G$15:G195)</f>
        <v>116</v>
      </c>
      <c r="C195" s="479">
        <v>183101211</v>
      </c>
      <c r="D195" s="626" t="s">
        <v>103</v>
      </c>
      <c r="E195" s="616" t="s">
        <v>36</v>
      </c>
      <c r="F195" s="207">
        <f>F196</f>
        <v>0</v>
      </c>
      <c r="G195" s="470">
        <v>0.27</v>
      </c>
      <c r="H195" s="192"/>
      <c r="I195" s="193">
        <f t="shared" si="15"/>
        <v>0</v>
      </c>
      <c r="J195" s="600"/>
      <c r="K195" s="192"/>
      <c r="L195" s="107"/>
      <c r="M195" s="977"/>
      <c r="N195" s="605" t="s">
        <v>149</v>
      </c>
      <c r="O195" s="627">
        <f>F195*0.00013</f>
        <v>0</v>
      </c>
      <c r="P195" s="603"/>
    </row>
    <row r="196" spans="1:16" s="175" customFormat="1" ht="9.75" hidden="1">
      <c r="A196" s="105"/>
      <c r="B196" s="190">
        <f>SUBTOTAL(102,G$15:G196)</f>
        <v>116</v>
      </c>
      <c r="C196" s="468">
        <v>183204112</v>
      </c>
      <c r="D196" s="239" t="s">
        <v>258</v>
      </c>
      <c r="E196" s="463" t="s">
        <v>36</v>
      </c>
      <c r="F196" s="628">
        <f>SUBTOTAL(109,F223:F226)</f>
        <v>0</v>
      </c>
      <c r="G196" s="470">
        <v>0.11</v>
      </c>
      <c r="H196" s="192"/>
      <c r="I196" s="193">
        <f t="shared" si="15"/>
        <v>0</v>
      </c>
      <c r="J196" s="600"/>
      <c r="K196" s="192"/>
      <c r="L196" s="107"/>
      <c r="M196" s="977"/>
      <c r="N196" s="629"/>
      <c r="O196" s="477"/>
      <c r="P196" s="603"/>
    </row>
    <row r="197" spans="1:16" s="490" customFormat="1" ht="13.5" thickBot="1">
      <c r="A197" s="486"/>
      <c r="B197" s="167">
        <f>SUBTOTAL(102,G$15:G197)</f>
        <v>117</v>
      </c>
      <c r="C197" s="556">
        <v>184921093</v>
      </c>
      <c r="D197" s="514" t="s">
        <v>58</v>
      </c>
      <c r="E197" s="515" t="s">
        <v>48</v>
      </c>
      <c r="F197" s="557">
        <f>F194</f>
        <v>170</v>
      </c>
      <c r="G197" s="843">
        <v>0</v>
      </c>
      <c r="H197" s="558"/>
      <c r="I197" s="172">
        <f t="shared" si="15"/>
        <v>0</v>
      </c>
      <c r="J197" s="555"/>
      <c r="K197" s="160"/>
      <c r="L197" s="164"/>
      <c r="M197" s="164"/>
      <c r="N197" s="114"/>
      <c r="O197" s="111"/>
      <c r="P197" s="630"/>
    </row>
    <row r="198" spans="1:16" s="222" customFormat="1" ht="12.75">
      <c r="A198" s="116"/>
      <c r="B198" s="267">
        <f>SUBTOTAL(102,G$15:G198)</f>
        <v>118</v>
      </c>
      <c r="C198" s="501" t="s">
        <v>43</v>
      </c>
      <c r="D198" s="631" t="s">
        <v>60</v>
      </c>
      <c r="E198" s="502" t="s">
        <v>47</v>
      </c>
      <c r="F198" s="503">
        <f>SUBTOTAL(109,O184:O195)*1.4</f>
        <v>1.5388800000000002</v>
      </c>
      <c r="G198" s="71">
        <v>0</v>
      </c>
      <c r="H198" s="272">
        <f aca="true" t="shared" si="16" ref="H198:H204">ROUND(ROUND(G198,2)*ROUND(F198,2),2)</f>
        <v>0</v>
      </c>
      <c r="I198" s="273"/>
      <c r="J198" s="501">
        <v>1</v>
      </c>
      <c r="K198" s="275">
        <f aca="true" t="shared" si="17" ref="K198:K203">J198*F198</f>
        <v>1.5388800000000002</v>
      </c>
      <c r="L198" s="164"/>
      <c r="M198" s="164"/>
      <c r="N198" s="114"/>
      <c r="O198" s="111"/>
      <c r="P198" s="632"/>
    </row>
    <row r="199" spans="1:16" s="120" customFormat="1" ht="12.75">
      <c r="A199" s="116"/>
      <c r="B199" s="276">
        <f>SUBTOTAL(102,G$15:G199)</f>
        <v>119</v>
      </c>
      <c r="C199" s="488" t="s">
        <v>43</v>
      </c>
      <c r="D199" s="492" t="s">
        <v>78</v>
      </c>
      <c r="E199" s="481" t="s">
        <v>36</v>
      </c>
      <c r="F199" s="207">
        <f>ROUNDUP((0.08*F194)/0.08,0)</f>
        <v>170</v>
      </c>
      <c r="G199" s="72">
        <v>0</v>
      </c>
      <c r="H199" s="193">
        <f t="shared" si="16"/>
        <v>0</v>
      </c>
      <c r="I199" s="279"/>
      <c r="J199" s="488">
        <v>0.035</v>
      </c>
      <c r="K199" s="280">
        <f t="shared" si="17"/>
        <v>5.95</v>
      </c>
      <c r="L199" s="164"/>
      <c r="M199" s="164"/>
      <c r="N199" s="165"/>
      <c r="O199" s="166"/>
      <c r="P199" s="633"/>
    </row>
    <row r="200" spans="1:16" s="636" customFormat="1" ht="12.75">
      <c r="A200" s="116"/>
      <c r="B200" s="276">
        <f>SUBTOTAL(102,G$15:G200)</f>
        <v>120</v>
      </c>
      <c r="C200" s="488" t="s">
        <v>43</v>
      </c>
      <c r="D200" s="634" t="s">
        <v>364</v>
      </c>
      <c r="E200" s="481" t="s">
        <v>1</v>
      </c>
      <c r="F200" s="559">
        <f>ROUNDUP((F182*1.1),0)</f>
        <v>84</v>
      </c>
      <c r="G200" s="72">
        <v>0</v>
      </c>
      <c r="H200" s="193">
        <f t="shared" si="16"/>
        <v>0</v>
      </c>
      <c r="I200" s="279"/>
      <c r="J200" s="488">
        <v>0.0002</v>
      </c>
      <c r="K200" s="280">
        <f t="shared" si="17"/>
        <v>0.016800000000000002</v>
      </c>
      <c r="L200" s="164"/>
      <c r="M200" s="164"/>
      <c r="N200" s="165"/>
      <c r="O200" s="166"/>
      <c r="P200" s="635"/>
    </row>
    <row r="201" spans="1:16" s="636" customFormat="1" ht="12.75">
      <c r="A201" s="116"/>
      <c r="B201" s="276">
        <f>SUBTOTAL(102,G$15:G201)</f>
        <v>121</v>
      </c>
      <c r="C201" s="488" t="s">
        <v>43</v>
      </c>
      <c r="D201" s="634" t="s">
        <v>365</v>
      </c>
      <c r="E201" s="481" t="s">
        <v>36</v>
      </c>
      <c r="F201" s="559">
        <f>F200*5</f>
        <v>420</v>
      </c>
      <c r="G201" s="72">
        <v>0</v>
      </c>
      <c r="H201" s="193">
        <f t="shared" si="16"/>
        <v>0</v>
      </c>
      <c r="I201" s="279"/>
      <c r="J201" s="488">
        <v>0.0002</v>
      </c>
      <c r="K201" s="280">
        <f t="shared" si="17"/>
        <v>0.084</v>
      </c>
      <c r="L201" s="164"/>
      <c r="M201" s="164"/>
      <c r="N201" s="165"/>
      <c r="O201" s="166"/>
      <c r="P201" s="635"/>
    </row>
    <row r="202" spans="1:20" s="120" customFormat="1" ht="12.75">
      <c r="A202" s="116"/>
      <c r="B202" s="276">
        <f>SUBTOTAL(102,G$15:G202)</f>
        <v>122</v>
      </c>
      <c r="C202" s="488" t="s">
        <v>43</v>
      </c>
      <c r="D202" s="480" t="s">
        <v>366</v>
      </c>
      <c r="E202" s="481" t="s">
        <v>6</v>
      </c>
      <c r="F202" s="637">
        <f>F183*1.2</f>
        <v>204</v>
      </c>
      <c r="G202" s="72">
        <v>0</v>
      </c>
      <c r="H202" s="193">
        <f t="shared" si="16"/>
        <v>0</v>
      </c>
      <c r="I202" s="279"/>
      <c r="J202" s="488">
        <v>0.0005</v>
      </c>
      <c r="K202" s="280">
        <f t="shared" si="17"/>
        <v>0.10200000000000001</v>
      </c>
      <c r="L202" s="164"/>
      <c r="M202" s="164"/>
      <c r="N202" s="165"/>
      <c r="O202" s="166"/>
      <c r="P202" s="633"/>
      <c r="T202" s="638" t="s">
        <v>81</v>
      </c>
    </row>
    <row r="203" spans="1:16" s="120" customFormat="1" ht="12.75">
      <c r="A203" s="116"/>
      <c r="B203" s="276">
        <f>SUBTOTAL(102,G$15:G203)</f>
        <v>123</v>
      </c>
      <c r="C203" s="488" t="s">
        <v>43</v>
      </c>
      <c r="D203" s="480" t="s">
        <v>161</v>
      </c>
      <c r="E203" s="481" t="s">
        <v>9</v>
      </c>
      <c r="F203" s="207">
        <f>0.25*F194</f>
        <v>42.5</v>
      </c>
      <c r="G203" s="846">
        <v>0</v>
      </c>
      <c r="H203" s="193">
        <f t="shared" si="16"/>
        <v>0</v>
      </c>
      <c r="I203" s="279"/>
      <c r="J203" s="488">
        <v>0.01</v>
      </c>
      <c r="K203" s="280">
        <f t="shared" si="17"/>
        <v>0.425</v>
      </c>
      <c r="L203" s="164"/>
      <c r="M203" s="164"/>
      <c r="N203" s="639" t="s">
        <v>162</v>
      </c>
      <c r="O203" s="166"/>
      <c r="P203" s="633"/>
    </row>
    <row r="204" spans="1:16" s="120" customFormat="1" ht="12.75">
      <c r="A204" s="116"/>
      <c r="B204" s="276">
        <f>SUBTOTAL(102,G$15:G204)</f>
        <v>124</v>
      </c>
      <c r="C204" s="488" t="s">
        <v>43</v>
      </c>
      <c r="D204" s="278" t="s">
        <v>147</v>
      </c>
      <c r="E204" s="463" t="s">
        <v>100</v>
      </c>
      <c r="F204" s="640">
        <f>SUBTOTAL(109,F205:F223)*0.005+SUBTOTAL(109,F223:F226)*0.002</f>
        <v>3.84</v>
      </c>
      <c r="G204" s="72">
        <v>0</v>
      </c>
      <c r="H204" s="193">
        <f t="shared" si="16"/>
        <v>0</v>
      </c>
      <c r="I204" s="279"/>
      <c r="J204" s="488"/>
      <c r="K204" s="280"/>
      <c r="L204" s="164"/>
      <c r="M204" s="164"/>
      <c r="N204" s="570" t="s">
        <v>288</v>
      </c>
      <c r="O204" s="166"/>
      <c r="P204" s="633"/>
    </row>
    <row r="205" spans="1:16" s="120" customFormat="1" ht="13.5" thickBot="1">
      <c r="A205" s="116"/>
      <c r="B205" s="276"/>
      <c r="C205" s="488"/>
      <c r="D205" s="518" t="s">
        <v>50</v>
      </c>
      <c r="E205" s="463"/>
      <c r="F205" s="207"/>
      <c r="G205" s="72"/>
      <c r="H205" s="193"/>
      <c r="I205" s="279"/>
      <c r="J205" s="488"/>
      <c r="K205" s="280"/>
      <c r="L205" s="164"/>
      <c r="M205" s="601"/>
      <c r="N205" s="641"/>
      <c r="O205" s="166"/>
      <c r="P205" s="633"/>
    </row>
    <row r="206" spans="1:16" s="524" customFormat="1" ht="12.75">
      <c r="A206" s="165"/>
      <c r="B206" s="276">
        <f>SUBTOTAL(102,G$15:G206)</f>
        <v>125</v>
      </c>
      <c r="C206" s="525" t="s">
        <v>43</v>
      </c>
      <c r="D206" s="526" t="s">
        <v>321</v>
      </c>
      <c r="E206" s="517" t="s">
        <v>36</v>
      </c>
      <c r="F206" s="527">
        <v>27</v>
      </c>
      <c r="G206" s="842">
        <v>0</v>
      </c>
      <c r="H206" s="193">
        <f aca="true" t="shared" si="18" ref="H206:H219">ROUND(ROUND(G206,2)*ROUND(F206,2),2)</f>
        <v>0</v>
      </c>
      <c r="I206" s="521"/>
      <c r="J206" s="488">
        <v>0.0025</v>
      </c>
      <c r="K206" s="280">
        <f aca="true" t="shared" si="19" ref="K206:K219">J206*F206</f>
        <v>0.0675</v>
      </c>
      <c r="L206" s="107"/>
      <c r="M206" s="978"/>
      <c r="N206" s="920" t="s">
        <v>159</v>
      </c>
      <c r="O206" s="642"/>
      <c r="P206" s="505"/>
    </row>
    <row r="207" spans="1:16" s="524" customFormat="1" ht="12.75">
      <c r="A207" s="165"/>
      <c r="B207" s="276">
        <f>SUBTOTAL(102,G$15:G207)</f>
        <v>126</v>
      </c>
      <c r="C207" s="525" t="s">
        <v>43</v>
      </c>
      <c r="D207" s="526" t="s">
        <v>322</v>
      </c>
      <c r="E207" s="517" t="s">
        <v>36</v>
      </c>
      <c r="F207" s="527">
        <v>154</v>
      </c>
      <c r="G207" s="643">
        <v>0</v>
      </c>
      <c r="H207" s="193">
        <f t="shared" si="18"/>
        <v>0</v>
      </c>
      <c r="I207" s="521"/>
      <c r="J207" s="488">
        <v>0.0025</v>
      </c>
      <c r="K207" s="280">
        <f t="shared" si="19"/>
        <v>0.385</v>
      </c>
      <c r="L207" s="107"/>
      <c r="M207" s="978"/>
      <c r="N207" s="921"/>
      <c r="O207" s="644"/>
      <c r="P207" s="505"/>
    </row>
    <row r="208" spans="1:16" s="524" customFormat="1" ht="12.75">
      <c r="A208" s="165"/>
      <c r="B208" s="276">
        <f>SUBTOTAL(102,G$15:G208)</f>
        <v>127</v>
      </c>
      <c r="C208" s="525" t="s">
        <v>43</v>
      </c>
      <c r="D208" s="526" t="s">
        <v>323</v>
      </c>
      <c r="E208" s="517" t="s">
        <v>36</v>
      </c>
      <c r="F208" s="527">
        <v>199</v>
      </c>
      <c r="G208" s="643">
        <v>0</v>
      </c>
      <c r="H208" s="193">
        <f aca="true" t="shared" si="20" ref="H208:H213">ROUND(ROUND(G208,2)*ROUND(F208,2),2)</f>
        <v>0</v>
      </c>
      <c r="I208" s="521"/>
      <c r="J208" s="488">
        <v>0.0025</v>
      </c>
      <c r="K208" s="280">
        <f aca="true" t="shared" si="21" ref="K208:K213">J208*F208</f>
        <v>0.4975</v>
      </c>
      <c r="L208" s="107"/>
      <c r="M208" s="645"/>
      <c r="N208" s="921"/>
      <c r="O208" s="644"/>
      <c r="P208" s="505"/>
    </row>
    <row r="209" spans="1:16" s="524" customFormat="1" ht="12.75">
      <c r="A209" s="165"/>
      <c r="B209" s="276">
        <f>SUBTOTAL(102,G$15:G209)</f>
        <v>128</v>
      </c>
      <c r="C209" s="525" t="s">
        <v>43</v>
      </c>
      <c r="D209" s="646" t="s">
        <v>324</v>
      </c>
      <c r="E209" s="517" t="s">
        <v>36</v>
      </c>
      <c r="F209" s="527">
        <v>88</v>
      </c>
      <c r="G209" s="643">
        <v>0</v>
      </c>
      <c r="H209" s="193">
        <f t="shared" si="20"/>
        <v>0</v>
      </c>
      <c r="I209" s="521"/>
      <c r="J209" s="488">
        <v>0.0025</v>
      </c>
      <c r="K209" s="280">
        <f t="shared" si="21"/>
        <v>0.22</v>
      </c>
      <c r="L209" s="107"/>
      <c r="M209" s="645"/>
      <c r="N209" s="921"/>
      <c r="O209" s="644"/>
      <c r="P209" s="505"/>
    </row>
    <row r="210" spans="1:16" s="524" customFormat="1" ht="12.75">
      <c r="A210" s="165"/>
      <c r="B210" s="276">
        <f>SUBTOTAL(102,G$15:G210)</f>
        <v>129</v>
      </c>
      <c r="C210" s="525" t="s">
        <v>43</v>
      </c>
      <c r="D210" s="647" t="s">
        <v>325</v>
      </c>
      <c r="E210" s="517" t="s">
        <v>36</v>
      </c>
      <c r="F210" s="527">
        <v>22</v>
      </c>
      <c r="G210" s="643">
        <v>0</v>
      </c>
      <c r="H210" s="193">
        <f t="shared" si="20"/>
        <v>0</v>
      </c>
      <c r="I210" s="521"/>
      <c r="J210" s="488">
        <v>0.0025</v>
      </c>
      <c r="K210" s="280">
        <f t="shared" si="21"/>
        <v>0.055</v>
      </c>
      <c r="L210" s="107"/>
      <c r="M210" s="645"/>
      <c r="N210" s="921"/>
      <c r="O210" s="644"/>
      <c r="P210" s="505"/>
    </row>
    <row r="211" spans="1:16" s="524" customFormat="1" ht="12.75">
      <c r="A211" s="165"/>
      <c r="B211" s="276">
        <f>SUBTOTAL(102,G$15:G211)</f>
        <v>130</v>
      </c>
      <c r="C211" s="525" t="s">
        <v>43</v>
      </c>
      <c r="D211" s="646" t="s">
        <v>326</v>
      </c>
      <c r="E211" s="517" t="s">
        <v>36</v>
      </c>
      <c r="F211" s="527">
        <v>40</v>
      </c>
      <c r="G211" s="643">
        <v>0</v>
      </c>
      <c r="H211" s="193">
        <f t="shared" si="20"/>
        <v>0</v>
      </c>
      <c r="I211" s="521"/>
      <c r="J211" s="488">
        <v>0.0025</v>
      </c>
      <c r="K211" s="280">
        <f t="shared" si="21"/>
        <v>0.1</v>
      </c>
      <c r="L211" s="107"/>
      <c r="M211" s="645"/>
      <c r="N211" s="921"/>
      <c r="O211" s="644"/>
      <c r="P211" s="505"/>
    </row>
    <row r="212" spans="1:16" s="524" customFormat="1" ht="12.75">
      <c r="A212" s="165"/>
      <c r="B212" s="276">
        <f>SUBTOTAL(102,G$15:G212)</f>
        <v>131</v>
      </c>
      <c r="C212" s="525" t="s">
        <v>43</v>
      </c>
      <c r="D212" s="646" t="s">
        <v>327</v>
      </c>
      <c r="E212" s="517" t="s">
        <v>36</v>
      </c>
      <c r="F212" s="527">
        <v>159</v>
      </c>
      <c r="G212" s="643">
        <v>0</v>
      </c>
      <c r="H212" s="193">
        <f t="shared" si="20"/>
        <v>0</v>
      </c>
      <c r="I212" s="521"/>
      <c r="J212" s="488">
        <v>0.0025</v>
      </c>
      <c r="K212" s="280">
        <f t="shared" si="21"/>
        <v>0.3975</v>
      </c>
      <c r="L212" s="107"/>
      <c r="M212" s="645"/>
      <c r="N212" s="921"/>
      <c r="O212" s="644"/>
      <c r="P212" s="505"/>
    </row>
    <row r="213" spans="1:16" s="524" customFormat="1" ht="12.75">
      <c r="A213" s="165"/>
      <c r="B213" s="276">
        <f>SUBTOTAL(102,G$15:G213)</f>
        <v>132</v>
      </c>
      <c r="C213" s="525" t="s">
        <v>43</v>
      </c>
      <c r="D213" s="646" t="s">
        <v>328</v>
      </c>
      <c r="E213" s="517" t="s">
        <v>36</v>
      </c>
      <c r="F213" s="527">
        <v>63</v>
      </c>
      <c r="G213" s="643">
        <v>0</v>
      </c>
      <c r="H213" s="193">
        <f t="shared" si="20"/>
        <v>0</v>
      </c>
      <c r="I213" s="521"/>
      <c r="J213" s="488">
        <v>0.0025</v>
      </c>
      <c r="K213" s="280">
        <f t="shared" si="21"/>
        <v>0.1575</v>
      </c>
      <c r="L213" s="107"/>
      <c r="M213" s="645"/>
      <c r="N213" s="921"/>
      <c r="O213" s="644"/>
      <c r="P213" s="505"/>
    </row>
    <row r="214" spans="1:16" s="524" customFormat="1" ht="12.75" hidden="1">
      <c r="A214" s="165"/>
      <c r="B214" s="276">
        <f>SUBTOTAL(102,G$15:G214)</f>
        <v>132</v>
      </c>
      <c r="C214" s="529" t="s">
        <v>43</v>
      </c>
      <c r="D214" s="526" t="s">
        <v>138</v>
      </c>
      <c r="E214" s="517" t="s">
        <v>36</v>
      </c>
      <c r="F214" s="527">
        <v>63</v>
      </c>
      <c r="G214" s="842">
        <v>1</v>
      </c>
      <c r="H214" s="193">
        <f t="shared" si="18"/>
        <v>63</v>
      </c>
      <c r="I214" s="521"/>
      <c r="J214" s="488">
        <v>0.0025</v>
      </c>
      <c r="K214" s="280">
        <f t="shared" si="19"/>
        <v>0.1575</v>
      </c>
      <c r="L214" s="107"/>
      <c r="M214" s="923" t="s">
        <v>139</v>
      </c>
      <c r="N214" s="921"/>
      <c r="O214" s="644"/>
      <c r="P214" s="505"/>
    </row>
    <row r="215" spans="1:16" s="524" customFormat="1" ht="12.75" hidden="1">
      <c r="A215" s="165"/>
      <c r="B215" s="276">
        <f>SUBTOTAL(102,G$15:G215)</f>
        <v>132</v>
      </c>
      <c r="C215" s="529" t="s">
        <v>43</v>
      </c>
      <c r="D215" s="526" t="s">
        <v>138</v>
      </c>
      <c r="E215" s="517" t="s">
        <v>36</v>
      </c>
      <c r="F215" s="527">
        <v>0</v>
      </c>
      <c r="G215" s="842">
        <v>1</v>
      </c>
      <c r="H215" s="193">
        <f t="shared" si="18"/>
        <v>0</v>
      </c>
      <c r="I215" s="521"/>
      <c r="J215" s="488">
        <v>0.0025</v>
      </c>
      <c r="K215" s="280">
        <f t="shared" si="19"/>
        <v>0</v>
      </c>
      <c r="L215" s="107"/>
      <c r="M215" s="923"/>
      <c r="N215" s="921"/>
      <c r="O215" s="644"/>
      <c r="P215" s="505"/>
    </row>
    <row r="216" spans="1:16" s="524" customFormat="1" ht="12.75" customHeight="1" hidden="1">
      <c r="A216" s="165"/>
      <c r="B216" s="276">
        <f>SUBTOTAL(102,G$15:G216)</f>
        <v>132</v>
      </c>
      <c r="C216" s="574" t="s">
        <v>43</v>
      </c>
      <c r="D216" s="526" t="s">
        <v>140</v>
      </c>
      <c r="E216" s="517" t="s">
        <v>36</v>
      </c>
      <c r="F216" s="527">
        <v>0</v>
      </c>
      <c r="G216" s="842">
        <v>1</v>
      </c>
      <c r="H216" s="193">
        <f t="shared" si="18"/>
        <v>0</v>
      </c>
      <c r="I216" s="521"/>
      <c r="J216" s="488">
        <v>0.0025</v>
      </c>
      <c r="K216" s="280">
        <f t="shared" si="19"/>
        <v>0</v>
      </c>
      <c r="L216" s="107"/>
      <c r="M216" s="924" t="s">
        <v>143</v>
      </c>
      <c r="N216" s="921"/>
      <c r="O216" s="644"/>
      <c r="P216" s="505"/>
    </row>
    <row r="217" spans="1:16" s="524" customFormat="1" ht="12.75" hidden="1">
      <c r="A217" s="165"/>
      <c r="B217" s="276">
        <f>SUBTOTAL(102,G$15:G217)</f>
        <v>132</v>
      </c>
      <c r="C217" s="574" t="s">
        <v>43</v>
      </c>
      <c r="D217" s="526" t="s">
        <v>142</v>
      </c>
      <c r="E217" s="517" t="s">
        <v>36</v>
      </c>
      <c r="F217" s="527">
        <v>0</v>
      </c>
      <c r="G217" s="842">
        <v>1</v>
      </c>
      <c r="H217" s="193">
        <f t="shared" si="18"/>
        <v>0</v>
      </c>
      <c r="I217" s="521"/>
      <c r="J217" s="488">
        <v>0.0025</v>
      </c>
      <c r="K217" s="280">
        <f t="shared" si="19"/>
        <v>0</v>
      </c>
      <c r="L217" s="107"/>
      <c r="M217" s="924"/>
      <c r="N217" s="921"/>
      <c r="O217" s="644"/>
      <c r="P217" s="505"/>
    </row>
    <row r="218" spans="1:16" s="524" customFormat="1" ht="13.5" thickBot="1">
      <c r="A218" s="165"/>
      <c r="B218" s="276">
        <f>SUBTOTAL(102,G$15:G218)</f>
        <v>133</v>
      </c>
      <c r="C218" s="648" t="s">
        <v>43</v>
      </c>
      <c r="D218" s="526" t="s">
        <v>329</v>
      </c>
      <c r="E218" s="517" t="s">
        <v>36</v>
      </c>
      <c r="F218" s="527">
        <v>16</v>
      </c>
      <c r="G218" s="842">
        <v>0</v>
      </c>
      <c r="H218" s="193">
        <f t="shared" si="18"/>
        <v>0</v>
      </c>
      <c r="I218" s="521"/>
      <c r="J218" s="488">
        <v>0.0025</v>
      </c>
      <c r="K218" s="280">
        <f t="shared" si="19"/>
        <v>0.04</v>
      </c>
      <c r="L218" s="107"/>
      <c r="M218" s="925"/>
      <c r="N218" s="921"/>
      <c r="O218" s="644"/>
      <c r="P218" s="505"/>
    </row>
    <row r="219" spans="1:16" s="524" customFormat="1" ht="13.5" hidden="1" thickBot="1">
      <c r="A219" s="165"/>
      <c r="B219" s="276">
        <f>SUBTOTAL(102,G$15:G219)</f>
        <v>133</v>
      </c>
      <c r="C219" s="648" t="s">
        <v>43</v>
      </c>
      <c r="D219" s="526" t="s">
        <v>187</v>
      </c>
      <c r="E219" s="517" t="s">
        <v>36</v>
      </c>
      <c r="F219" s="527">
        <v>0</v>
      </c>
      <c r="G219" s="493">
        <v>1</v>
      </c>
      <c r="H219" s="193">
        <f t="shared" si="18"/>
        <v>0</v>
      </c>
      <c r="I219" s="521"/>
      <c r="J219" s="488">
        <v>0.0025</v>
      </c>
      <c r="K219" s="280">
        <f t="shared" si="19"/>
        <v>0</v>
      </c>
      <c r="L219" s="107"/>
      <c r="M219" s="926"/>
      <c r="N219" s="922"/>
      <c r="O219" s="644"/>
      <c r="P219" s="505"/>
    </row>
    <row r="220" spans="1:16" s="524" customFormat="1" ht="13.5" hidden="1" thickBot="1">
      <c r="A220" s="165"/>
      <c r="B220" s="276"/>
      <c r="C220" s="517"/>
      <c r="D220" s="649" t="s">
        <v>82</v>
      </c>
      <c r="E220" s="517"/>
      <c r="F220" s="650"/>
      <c r="G220" s="493"/>
      <c r="H220" s="651"/>
      <c r="I220" s="521"/>
      <c r="J220" s="325"/>
      <c r="K220" s="522"/>
      <c r="L220" s="107"/>
      <c r="M220" s="107"/>
      <c r="N220" s="652"/>
      <c r="O220" s="644"/>
      <c r="P220" s="653"/>
    </row>
    <row r="221" spans="1:16" s="524" customFormat="1" ht="12.75" hidden="1">
      <c r="A221" s="165"/>
      <c r="B221" s="276">
        <f>SUBTOTAL(102,G$15:G221)</f>
        <v>133</v>
      </c>
      <c r="C221" s="532" t="s">
        <v>43</v>
      </c>
      <c r="D221" s="646" t="s">
        <v>93</v>
      </c>
      <c r="E221" s="532" t="s">
        <v>36</v>
      </c>
      <c r="F221" s="533">
        <v>0</v>
      </c>
      <c r="G221" s="534">
        <v>1</v>
      </c>
      <c r="H221" s="193">
        <f>ROUND(ROUND(G221,2)*ROUND(F221,2),2)</f>
        <v>0</v>
      </c>
      <c r="I221" s="535"/>
      <c r="J221" s="515">
        <v>0.0025</v>
      </c>
      <c r="K221" s="516">
        <f>J221*F221</f>
        <v>0</v>
      </c>
      <c r="L221" s="107"/>
      <c r="M221" s="107"/>
      <c r="N221" s="652"/>
      <c r="O221" s="644"/>
      <c r="P221" s="505"/>
    </row>
    <row r="222" spans="1:16" s="654" customFormat="1" ht="12.75" hidden="1">
      <c r="A222" s="165"/>
      <c r="B222" s="276">
        <f>SUBTOTAL(102,G$15:G222)</f>
        <v>133</v>
      </c>
      <c r="C222" s="532" t="s">
        <v>43</v>
      </c>
      <c r="D222" s="646" t="s">
        <v>93</v>
      </c>
      <c r="E222" s="532" t="s">
        <v>36</v>
      </c>
      <c r="F222" s="533">
        <v>0</v>
      </c>
      <c r="G222" s="534">
        <v>1</v>
      </c>
      <c r="H222" s="193">
        <f>ROUND(ROUND(G222,2)*ROUND(F222,2),2)</f>
        <v>0</v>
      </c>
      <c r="I222" s="535"/>
      <c r="J222" s="515">
        <v>0.0025</v>
      </c>
      <c r="K222" s="516">
        <f>J222*F222</f>
        <v>0</v>
      </c>
      <c r="L222" s="105"/>
      <c r="M222" s="105"/>
      <c r="N222" s="652"/>
      <c r="O222" s="197"/>
      <c r="P222" s="505"/>
    </row>
    <row r="223" spans="1:16" s="524" customFormat="1" ht="13.5" hidden="1" thickBot="1">
      <c r="A223" s="165"/>
      <c r="B223" s="276"/>
      <c r="C223" s="517"/>
      <c r="D223" s="649" t="s">
        <v>5</v>
      </c>
      <c r="E223" s="517"/>
      <c r="F223" s="650"/>
      <c r="G223" s="493"/>
      <c r="H223" s="651"/>
      <c r="I223" s="521"/>
      <c r="J223" s="325"/>
      <c r="K223" s="522"/>
      <c r="L223" s="107"/>
      <c r="M223" s="107"/>
      <c r="N223" s="652"/>
      <c r="O223" s="644"/>
      <c r="P223" s="653"/>
    </row>
    <row r="224" spans="1:16" s="524" customFormat="1" ht="12.75" hidden="1">
      <c r="A224" s="165"/>
      <c r="B224" s="276">
        <f>SUBTOTAL(102,G$15:G224)</f>
        <v>133</v>
      </c>
      <c r="C224" s="532" t="s">
        <v>43</v>
      </c>
      <c r="D224" s="646" t="s">
        <v>94</v>
      </c>
      <c r="E224" s="532" t="s">
        <v>36</v>
      </c>
      <c r="F224" s="533">
        <v>0</v>
      </c>
      <c r="G224" s="534">
        <v>1</v>
      </c>
      <c r="H224" s="193">
        <f>ROUND(ROUND(G224,2)*ROUND(F224,2),2)</f>
        <v>0</v>
      </c>
      <c r="I224" s="535"/>
      <c r="J224" s="515">
        <v>0.0025</v>
      </c>
      <c r="K224" s="516">
        <f>J224*F224</f>
        <v>0</v>
      </c>
      <c r="L224" s="107"/>
      <c r="M224" s="107"/>
      <c r="N224" s="652"/>
      <c r="O224" s="644"/>
      <c r="P224" s="505"/>
    </row>
    <row r="225" spans="1:16" s="524" customFormat="1" ht="13.5" hidden="1" thickBot="1">
      <c r="A225" s="165"/>
      <c r="B225" s="530">
        <f>SUBTOTAL(102,G$15:G225)</f>
        <v>133</v>
      </c>
      <c r="C225" s="532" t="s">
        <v>43</v>
      </c>
      <c r="D225" s="646" t="s">
        <v>94</v>
      </c>
      <c r="E225" s="532" t="s">
        <v>36</v>
      </c>
      <c r="F225" s="533">
        <v>0</v>
      </c>
      <c r="G225" s="534">
        <v>1</v>
      </c>
      <c r="H225" s="172">
        <f>ROUND(ROUND(G225,2)*ROUND(F225,2),2)</f>
        <v>0</v>
      </c>
      <c r="I225" s="535"/>
      <c r="J225" s="515">
        <v>0.0025</v>
      </c>
      <c r="K225" s="516">
        <f>J225*F225</f>
        <v>0</v>
      </c>
      <c r="L225" s="107"/>
      <c r="M225" s="107"/>
      <c r="N225" s="652"/>
      <c r="O225" s="644"/>
      <c r="P225" s="632"/>
    </row>
    <row r="226" spans="1:16" s="222" customFormat="1" ht="12.75">
      <c r="A226" s="158"/>
      <c r="B226" s="215"/>
      <c r="C226" s="436"/>
      <c r="D226" s="655" t="s">
        <v>191</v>
      </c>
      <c r="E226" s="538"/>
      <c r="F226" s="538"/>
      <c r="G226" s="539"/>
      <c r="H226" s="538"/>
      <c r="I226" s="538"/>
      <c r="J226" s="538"/>
      <c r="K226" s="540"/>
      <c r="L226" s="165"/>
      <c r="M226" s="165"/>
      <c r="N226" s="418"/>
      <c r="O226" s="111"/>
      <c r="P226" s="632"/>
    </row>
    <row r="227" spans="1:15" ht="10.5" customHeight="1">
      <c r="A227" s="116"/>
      <c r="B227" s="419"/>
      <c r="C227" s="420"/>
      <c r="D227" s="585" t="s">
        <v>113</v>
      </c>
      <c r="E227" s="918">
        <f>SUBTOTAL(109,I181:I226)</f>
        <v>0</v>
      </c>
      <c r="F227" s="918"/>
      <c r="G227" s="918"/>
      <c r="H227" s="918"/>
      <c r="I227" s="918"/>
      <c r="J227" s="422"/>
      <c r="K227" s="423"/>
      <c r="L227" s="164"/>
      <c r="M227" s="164"/>
      <c r="N227" s="114"/>
      <c r="O227" s="111"/>
    </row>
    <row r="228" spans="1:15" ht="10.5" customHeight="1">
      <c r="A228" s="158"/>
      <c r="B228" s="419"/>
      <c r="C228" s="542"/>
      <c r="D228" s="421" t="s">
        <v>114</v>
      </c>
      <c r="E228" s="927">
        <f>SUBTOTAL(109,H198:H205)</f>
        <v>0</v>
      </c>
      <c r="F228" s="927"/>
      <c r="G228" s="927"/>
      <c r="H228" s="927"/>
      <c r="I228" s="543"/>
      <c r="J228" s="420"/>
      <c r="K228" s="544"/>
      <c r="L228" s="234"/>
      <c r="M228" s="234"/>
      <c r="N228" s="114"/>
      <c r="O228" s="111"/>
    </row>
    <row r="229" spans="1:15" ht="10.5" customHeight="1" thickBot="1">
      <c r="A229" s="158"/>
      <c r="B229" s="223"/>
      <c r="C229" s="424"/>
      <c r="D229" s="225" t="s">
        <v>116</v>
      </c>
      <c r="E229" s="919">
        <f>SUBTOTAL(109,H205:H226)</f>
        <v>0</v>
      </c>
      <c r="F229" s="919"/>
      <c r="G229" s="919"/>
      <c r="H229" s="919"/>
      <c r="I229" s="425"/>
      <c r="J229" s="224"/>
      <c r="K229" s="586">
        <f>SUBTOTAL(109,K181:K226)</f>
        <v>10.036680000000002</v>
      </c>
      <c r="L229" s="234"/>
      <c r="M229" s="234"/>
      <c r="N229" s="114"/>
      <c r="O229" s="111"/>
    </row>
    <row r="230" spans="1:15" s="237" customFormat="1" ht="12.75" hidden="1">
      <c r="A230" s="158"/>
      <c r="B230" s="184"/>
      <c r="C230" s="235"/>
      <c r="D230" s="656" t="s">
        <v>178</v>
      </c>
      <c r="E230" s="154"/>
      <c r="F230" s="236"/>
      <c r="G230" s="21"/>
      <c r="H230" s="235"/>
      <c r="I230" s="154"/>
      <c r="J230" s="235"/>
      <c r="K230" s="152"/>
      <c r="L230" s="164"/>
      <c r="M230" s="164"/>
      <c r="N230" s="165"/>
      <c r="O230" s="166"/>
    </row>
    <row r="231" spans="1:16" s="175" customFormat="1" ht="11.25" hidden="1">
      <c r="A231" s="105"/>
      <c r="B231" s="190">
        <f>SUBTOTAL(102,G$15:G231)</f>
        <v>133</v>
      </c>
      <c r="C231" s="468">
        <v>457979112</v>
      </c>
      <c r="D231" s="487" t="s">
        <v>27</v>
      </c>
      <c r="E231" s="463" t="s">
        <v>6</v>
      </c>
      <c r="F231" s="458">
        <v>0</v>
      </c>
      <c r="G231" s="483">
        <v>0.78</v>
      </c>
      <c r="H231" s="192"/>
      <c r="I231" s="193">
        <f aca="true" t="shared" si="22" ref="I231:I248">ROUND(ROUND(G231,2)*ROUND(F231,2),2)</f>
        <v>0</v>
      </c>
      <c r="J231" s="600"/>
      <c r="K231" s="192"/>
      <c r="L231" s="107"/>
      <c r="M231" s="601"/>
      <c r="N231" s="602"/>
      <c r="O231" s="111"/>
      <c r="P231" s="657"/>
    </row>
    <row r="232" spans="1:16" s="175" customFormat="1" ht="30" hidden="1">
      <c r="A232" s="105"/>
      <c r="B232" s="190">
        <f>SUBTOTAL(102,G$15:G232)</f>
        <v>133</v>
      </c>
      <c r="C232" s="658">
        <v>183901114</v>
      </c>
      <c r="D232" s="611" t="s">
        <v>167</v>
      </c>
      <c r="E232" s="616" t="s">
        <v>36</v>
      </c>
      <c r="F232" s="458">
        <v>0</v>
      </c>
      <c r="G232" s="470">
        <v>51.79</v>
      </c>
      <c r="H232" s="192"/>
      <c r="I232" s="193">
        <f>ROUND(ROUND(G232,2)*ROUND(F232,2),2)</f>
        <v>0</v>
      </c>
      <c r="J232" s="600"/>
      <c r="K232" s="192"/>
      <c r="L232" s="107"/>
      <c r="M232" s="601"/>
      <c r="N232" s="602"/>
      <c r="O232" s="111"/>
      <c r="P232" s="657"/>
    </row>
    <row r="233" spans="1:16" s="175" customFormat="1" ht="30" hidden="1">
      <c r="A233" s="105"/>
      <c r="B233" s="190">
        <f>SUBTOTAL(102,G$15:G233)</f>
        <v>133</v>
      </c>
      <c r="C233" s="658">
        <v>183901113</v>
      </c>
      <c r="D233" s="611" t="s">
        <v>168</v>
      </c>
      <c r="E233" s="616" t="s">
        <v>36</v>
      </c>
      <c r="F233" s="458">
        <v>0</v>
      </c>
      <c r="G233" s="470">
        <v>31.54</v>
      </c>
      <c r="H233" s="192"/>
      <c r="I233" s="193">
        <f>ROUND(ROUND(G233,2)*ROUND(F233,2),2)</f>
        <v>0</v>
      </c>
      <c r="J233" s="600"/>
      <c r="K233" s="192"/>
      <c r="L233" s="107"/>
      <c r="M233" s="601"/>
      <c r="N233" s="602"/>
      <c r="O233" s="111"/>
      <c r="P233" s="657"/>
    </row>
    <row r="234" spans="1:16" s="175" customFormat="1" ht="30" hidden="1">
      <c r="A234" s="105"/>
      <c r="B234" s="190">
        <f>SUBTOTAL(102,G$15:G234)</f>
        <v>133</v>
      </c>
      <c r="C234" s="658">
        <v>183901112</v>
      </c>
      <c r="D234" s="611" t="s">
        <v>169</v>
      </c>
      <c r="E234" s="616" t="s">
        <v>36</v>
      </c>
      <c r="F234" s="458">
        <v>0</v>
      </c>
      <c r="G234" s="470">
        <v>14.51</v>
      </c>
      <c r="H234" s="192"/>
      <c r="I234" s="193">
        <f>ROUND(ROUND(G234,2)*ROUND(F234,2),2)</f>
        <v>0</v>
      </c>
      <c r="J234" s="600"/>
      <c r="K234" s="192"/>
      <c r="L234" s="107"/>
      <c r="M234" s="601"/>
      <c r="N234" s="602"/>
      <c r="O234" s="111"/>
      <c r="P234" s="657"/>
    </row>
    <row r="235" spans="1:16" s="175" customFormat="1" ht="11.25" customHeight="1" hidden="1">
      <c r="A235" s="105"/>
      <c r="B235" s="190">
        <f>SUBTOTAL(102,G$15:G235)</f>
        <v>133</v>
      </c>
      <c r="C235" s="461">
        <v>183101211</v>
      </c>
      <c r="D235" s="604" t="s">
        <v>163</v>
      </c>
      <c r="E235" s="463" t="s">
        <v>36</v>
      </c>
      <c r="F235" s="482">
        <f>+F240</f>
        <v>0</v>
      </c>
      <c r="G235" s="470">
        <v>0.27</v>
      </c>
      <c r="H235" s="192"/>
      <c r="I235" s="193">
        <f t="shared" si="22"/>
        <v>0</v>
      </c>
      <c r="J235" s="192"/>
      <c r="K235" s="192"/>
      <c r="L235" s="107"/>
      <c r="M235" s="460" t="s">
        <v>146</v>
      </c>
      <c r="N235" s="605" t="s">
        <v>150</v>
      </c>
      <c r="O235" s="606">
        <f>F235*0.00013</f>
        <v>0</v>
      </c>
      <c r="P235" s="659" t="s">
        <v>90</v>
      </c>
    </row>
    <row r="236" spans="1:16" s="175" customFormat="1" ht="11.25" customHeight="1" hidden="1">
      <c r="A236" s="105"/>
      <c r="B236" s="190">
        <f>SUBTOTAL(102,G$15:G236)</f>
        <v>133</v>
      </c>
      <c r="C236" s="461">
        <v>183101211</v>
      </c>
      <c r="D236" s="462" t="s">
        <v>85</v>
      </c>
      <c r="E236" s="463" t="s">
        <v>36</v>
      </c>
      <c r="F236" s="482">
        <f>F241</f>
        <v>0</v>
      </c>
      <c r="G236" s="470">
        <v>0.27</v>
      </c>
      <c r="H236" s="192"/>
      <c r="I236" s="193">
        <f t="shared" si="22"/>
        <v>0</v>
      </c>
      <c r="J236" s="192"/>
      <c r="K236" s="192"/>
      <c r="L236" s="107"/>
      <c r="M236" s="465" t="s">
        <v>141</v>
      </c>
      <c r="N236" s="605" t="s">
        <v>148</v>
      </c>
      <c r="O236" s="606">
        <f>F236*0.0011</f>
        <v>0</v>
      </c>
      <c r="P236" s="659" t="s">
        <v>90</v>
      </c>
    </row>
    <row r="237" spans="1:16" s="175" customFormat="1" ht="11.25" customHeight="1" hidden="1">
      <c r="A237" s="105"/>
      <c r="B237" s="190">
        <f>SUBTOTAL(102,G$15:G237)</f>
        <v>133</v>
      </c>
      <c r="C237" s="461">
        <v>183101212</v>
      </c>
      <c r="D237" s="608" t="s">
        <v>86</v>
      </c>
      <c r="E237" s="463" t="s">
        <v>36</v>
      </c>
      <c r="F237" s="458">
        <f>F242</f>
        <v>0</v>
      </c>
      <c r="G237" s="470">
        <v>0.54</v>
      </c>
      <c r="H237" s="192"/>
      <c r="I237" s="193">
        <f t="shared" si="22"/>
        <v>0</v>
      </c>
      <c r="J237" s="192"/>
      <c r="K237" s="192"/>
      <c r="L237" s="107"/>
      <c r="M237" s="471" t="s">
        <v>139</v>
      </c>
      <c r="N237" s="466" t="s">
        <v>152</v>
      </c>
      <c r="O237" s="606">
        <f>F237*0.0035</f>
        <v>0</v>
      </c>
      <c r="P237" s="659" t="s">
        <v>90</v>
      </c>
    </row>
    <row r="238" spans="1:16" s="175" customFormat="1" ht="11.25" customHeight="1" hidden="1">
      <c r="A238" s="105"/>
      <c r="B238" s="190">
        <f>SUBTOTAL(102,G$15:G238)</f>
        <v>133</v>
      </c>
      <c r="C238" s="461">
        <v>183101113</v>
      </c>
      <c r="D238" s="474" t="s">
        <v>84</v>
      </c>
      <c r="E238" s="463" t="s">
        <v>36</v>
      </c>
      <c r="F238" s="458">
        <f>F243</f>
        <v>0</v>
      </c>
      <c r="G238" s="470">
        <v>0.68</v>
      </c>
      <c r="H238" s="192"/>
      <c r="I238" s="193">
        <f t="shared" si="22"/>
        <v>0</v>
      </c>
      <c r="J238" s="192"/>
      <c r="K238" s="192"/>
      <c r="L238" s="107"/>
      <c r="M238" s="475" t="s">
        <v>143</v>
      </c>
      <c r="N238" s="466" t="s">
        <v>151</v>
      </c>
      <c r="O238" s="606">
        <f>F238*0.0085</f>
        <v>0</v>
      </c>
      <c r="P238" s="659" t="s">
        <v>90</v>
      </c>
    </row>
    <row r="239" spans="1:16" s="175" customFormat="1" ht="11.25" customHeight="1" hidden="1">
      <c r="A239" s="105"/>
      <c r="B239" s="190">
        <f>SUBTOTAL(102,G$15:G239)</f>
        <v>133</v>
      </c>
      <c r="C239" s="461">
        <v>183101214</v>
      </c>
      <c r="D239" s="609" t="s">
        <v>88</v>
      </c>
      <c r="E239" s="463" t="s">
        <v>36</v>
      </c>
      <c r="F239" s="458">
        <f>F244</f>
        <v>0</v>
      </c>
      <c r="G239" s="470">
        <v>3.04</v>
      </c>
      <c r="H239" s="192"/>
      <c r="I239" s="193">
        <f t="shared" si="22"/>
        <v>0</v>
      </c>
      <c r="J239" s="192"/>
      <c r="K239" s="192"/>
      <c r="L239" s="107"/>
      <c r="M239" s="610" t="s">
        <v>145</v>
      </c>
      <c r="N239" s="466" t="s">
        <v>153</v>
      </c>
      <c r="O239" s="606">
        <f>F239*0.017</f>
        <v>0</v>
      </c>
      <c r="P239" s="659" t="s">
        <v>90</v>
      </c>
    </row>
    <row r="240" spans="1:16" s="175" customFormat="1" ht="20.25" hidden="1">
      <c r="A240" s="105"/>
      <c r="B240" s="190">
        <f>SUBTOTAL(102,G$15:G240)</f>
        <v>133</v>
      </c>
      <c r="C240" s="461">
        <v>184102110</v>
      </c>
      <c r="D240" s="611" t="s">
        <v>192</v>
      </c>
      <c r="E240" s="463" t="s">
        <v>36</v>
      </c>
      <c r="F240" s="476">
        <f>SUBTOTAL(109,F265:F268)</f>
        <v>0</v>
      </c>
      <c r="G240" s="470">
        <v>1.29</v>
      </c>
      <c r="H240" s="192"/>
      <c r="I240" s="193">
        <f t="shared" si="22"/>
        <v>0</v>
      </c>
      <c r="J240" s="192"/>
      <c r="K240" s="192"/>
      <c r="L240" s="107"/>
      <c r="M240" s="601" t="s">
        <v>146</v>
      </c>
      <c r="N240" s="612"/>
      <c r="O240" s="613"/>
      <c r="P240" s="657"/>
    </row>
    <row r="241" spans="1:16" s="175" customFormat="1" ht="9.75" hidden="1">
      <c r="A241" s="105"/>
      <c r="B241" s="190">
        <f>SUBTOTAL(102,G$15:G241)</f>
        <v>133</v>
      </c>
      <c r="C241" s="468">
        <v>184102111</v>
      </c>
      <c r="D241" s="660" t="s">
        <v>195</v>
      </c>
      <c r="E241" s="463" t="s">
        <v>36</v>
      </c>
      <c r="F241" s="476">
        <f>SUBTOTAL(109,F257:F258)</f>
        <v>0</v>
      </c>
      <c r="G241" s="470">
        <v>1.65</v>
      </c>
      <c r="H241" s="192"/>
      <c r="I241" s="193">
        <f t="shared" si="22"/>
        <v>0</v>
      </c>
      <c r="J241" s="192"/>
      <c r="K241" s="192"/>
      <c r="L241" s="107"/>
      <c r="M241" s="465" t="s">
        <v>141</v>
      </c>
      <c r="N241" s="523"/>
      <c r="O241" s="615"/>
      <c r="P241" s="657"/>
    </row>
    <row r="242" spans="1:16" s="175" customFormat="1" ht="9.75" hidden="1">
      <c r="A242" s="105"/>
      <c r="B242" s="190">
        <f>SUBTOTAL(102,G$15:G242)</f>
        <v>133</v>
      </c>
      <c r="C242" s="461">
        <v>184102112</v>
      </c>
      <c r="D242" s="608" t="s">
        <v>194</v>
      </c>
      <c r="E242" s="463" t="s">
        <v>36</v>
      </c>
      <c r="F242" s="476">
        <f>SUBTOTAL(109,F259:F260)</f>
        <v>0</v>
      </c>
      <c r="G242" s="470">
        <v>2.8</v>
      </c>
      <c r="H242" s="192"/>
      <c r="I242" s="193">
        <f t="shared" si="22"/>
        <v>0</v>
      </c>
      <c r="J242" s="192"/>
      <c r="K242" s="192"/>
      <c r="L242" s="107"/>
      <c r="M242" s="471" t="s">
        <v>139</v>
      </c>
      <c r="N242" s="523"/>
      <c r="O242" s="615"/>
      <c r="P242" s="657"/>
    </row>
    <row r="243" spans="1:16" s="175" customFormat="1" ht="9.75" hidden="1">
      <c r="A243" s="105"/>
      <c r="B243" s="190">
        <f>SUBTOTAL(102,G$15:G243)</f>
        <v>133</v>
      </c>
      <c r="C243" s="461">
        <v>184102113</v>
      </c>
      <c r="D243" s="474" t="s">
        <v>166</v>
      </c>
      <c r="E243" s="463" t="s">
        <v>36</v>
      </c>
      <c r="F243" s="476">
        <f>SUBTOTAL(109,F261:F262)</f>
        <v>0</v>
      </c>
      <c r="G243" s="470">
        <v>4.32</v>
      </c>
      <c r="H243" s="192"/>
      <c r="I243" s="193">
        <f t="shared" si="22"/>
        <v>0</v>
      </c>
      <c r="J243" s="192"/>
      <c r="K243" s="192"/>
      <c r="L243" s="107"/>
      <c r="M243" s="475" t="s">
        <v>143</v>
      </c>
      <c r="N243" s="523"/>
      <c r="O243" s="615"/>
      <c r="P243" s="657"/>
    </row>
    <row r="244" spans="1:16" s="175" customFormat="1" ht="9.75" hidden="1">
      <c r="A244" s="105"/>
      <c r="B244" s="190">
        <f>SUBTOTAL(102,G$15:G244)</f>
        <v>133</v>
      </c>
      <c r="C244" s="461">
        <v>184102114</v>
      </c>
      <c r="D244" s="609" t="s">
        <v>193</v>
      </c>
      <c r="E244" s="616" t="s">
        <v>36</v>
      </c>
      <c r="F244" s="476">
        <f>SUBTOTAL(109,F263:F264)</f>
        <v>0</v>
      </c>
      <c r="G244" s="470">
        <v>10.92</v>
      </c>
      <c r="H244" s="192"/>
      <c r="I244" s="193">
        <f t="shared" si="22"/>
        <v>0</v>
      </c>
      <c r="J244" s="192"/>
      <c r="K244" s="192"/>
      <c r="L244" s="107"/>
      <c r="M244" s="610" t="s">
        <v>145</v>
      </c>
      <c r="N244" s="523"/>
      <c r="O244" s="615"/>
      <c r="P244" s="657"/>
    </row>
    <row r="245" spans="1:16" s="625" customFormat="1" ht="20.25" hidden="1">
      <c r="A245" s="617"/>
      <c r="B245" s="190">
        <f>SUBTOTAL(102,G$15:G245)</f>
        <v>133</v>
      </c>
      <c r="C245" s="479">
        <v>183205111</v>
      </c>
      <c r="D245" s="487" t="s">
        <v>2</v>
      </c>
      <c r="E245" s="618" t="s">
        <v>101</v>
      </c>
      <c r="F245" s="619">
        <v>0</v>
      </c>
      <c r="G245" s="470">
        <v>0.3</v>
      </c>
      <c r="H245" s="487"/>
      <c r="I245" s="193">
        <f t="shared" si="22"/>
        <v>0</v>
      </c>
      <c r="J245" s="620"/>
      <c r="K245" s="487"/>
      <c r="L245" s="621"/>
      <c r="M245" s="977" t="s">
        <v>158</v>
      </c>
      <c r="N245" s="622"/>
      <c r="O245" s="623"/>
      <c r="P245" s="659" t="s">
        <v>90</v>
      </c>
    </row>
    <row r="246" spans="1:16" s="175" customFormat="1" ht="11.25" customHeight="1" hidden="1">
      <c r="A246" s="105"/>
      <c r="B246" s="190">
        <f>SUBTOTAL(102,G$15:G246)</f>
        <v>133</v>
      </c>
      <c r="C246" s="479">
        <v>183101211</v>
      </c>
      <c r="D246" s="626" t="s">
        <v>103</v>
      </c>
      <c r="E246" s="616" t="s">
        <v>36</v>
      </c>
      <c r="F246" s="207">
        <f>F247</f>
        <v>0</v>
      </c>
      <c r="G246" s="470">
        <v>0.27</v>
      </c>
      <c r="H246" s="192"/>
      <c r="I246" s="193">
        <f t="shared" si="22"/>
        <v>0</v>
      </c>
      <c r="J246" s="600"/>
      <c r="K246" s="192"/>
      <c r="L246" s="107"/>
      <c r="M246" s="977"/>
      <c r="N246" s="605" t="s">
        <v>149</v>
      </c>
      <c r="O246" s="627">
        <f>F246*0.00013</f>
        <v>0</v>
      </c>
      <c r="P246" s="659" t="s">
        <v>90</v>
      </c>
    </row>
    <row r="247" spans="1:16" s="175" customFormat="1" ht="9.75" hidden="1">
      <c r="A247" s="105"/>
      <c r="B247" s="190">
        <f>SUBTOTAL(102,G$15:G247)</f>
        <v>133</v>
      </c>
      <c r="C247" s="468">
        <v>183204112</v>
      </c>
      <c r="D247" s="239" t="s">
        <v>196</v>
      </c>
      <c r="E247" s="463" t="s">
        <v>36</v>
      </c>
      <c r="F247" s="628">
        <f>SUBTOTAL(109,F268:F271)</f>
        <v>0</v>
      </c>
      <c r="G247" s="470">
        <v>0.13</v>
      </c>
      <c r="H247" s="192"/>
      <c r="I247" s="193">
        <f t="shared" si="22"/>
        <v>0</v>
      </c>
      <c r="J247" s="600"/>
      <c r="K247" s="192"/>
      <c r="L247" s="107"/>
      <c r="M247" s="977"/>
      <c r="N247" s="629"/>
      <c r="O247" s="477"/>
      <c r="P247" s="657"/>
    </row>
    <row r="248" spans="1:16" s="490" customFormat="1" ht="13.5" hidden="1" thickBot="1">
      <c r="A248" s="486"/>
      <c r="B248" s="167">
        <f>SUBTOTAL(102,G$15:G248)</f>
        <v>133</v>
      </c>
      <c r="C248" s="556">
        <v>184921093</v>
      </c>
      <c r="D248" s="514" t="s">
        <v>58</v>
      </c>
      <c r="E248" s="515" t="s">
        <v>48</v>
      </c>
      <c r="F248" s="557">
        <f>F245</f>
        <v>0</v>
      </c>
      <c r="G248" s="330">
        <v>0.97</v>
      </c>
      <c r="H248" s="558"/>
      <c r="I248" s="172">
        <f t="shared" si="22"/>
        <v>0</v>
      </c>
      <c r="J248" s="555"/>
      <c r="K248" s="160"/>
      <c r="L248" s="164"/>
      <c r="M248" s="164"/>
      <c r="N248" s="114"/>
      <c r="O248" s="111"/>
      <c r="P248" s="661"/>
    </row>
    <row r="249" spans="1:16" s="222" customFormat="1" ht="12.75" hidden="1">
      <c r="A249" s="116"/>
      <c r="B249" s="267">
        <f>SUBTOTAL(102,G$15:G249)</f>
        <v>133</v>
      </c>
      <c r="C249" s="501" t="s">
        <v>43</v>
      </c>
      <c r="D249" s="631" t="s">
        <v>60</v>
      </c>
      <c r="E249" s="502" t="s">
        <v>47</v>
      </c>
      <c r="F249" s="503">
        <f>SUBTOTAL(109,O235:O246)*1.4</f>
        <v>0</v>
      </c>
      <c r="G249" s="504">
        <v>20.8</v>
      </c>
      <c r="H249" s="272">
        <f aca="true" t="shared" si="23" ref="H249:H255">ROUND(ROUND(G249,2)*ROUND(F249,2),2)</f>
        <v>0</v>
      </c>
      <c r="I249" s="273"/>
      <c r="J249" s="501">
        <v>1</v>
      </c>
      <c r="K249" s="275">
        <f aca="true" t="shared" si="24" ref="K249:K254">J249*F249</f>
        <v>0</v>
      </c>
      <c r="L249" s="164"/>
      <c r="M249" s="164"/>
      <c r="N249" s="114"/>
      <c r="O249" s="111"/>
      <c r="P249" s="662"/>
    </row>
    <row r="250" spans="1:16" s="222" customFormat="1" ht="12.75" hidden="1">
      <c r="A250" s="116"/>
      <c r="B250" s="276">
        <f>SUBTOTAL(102,G$15:G250)</f>
        <v>133</v>
      </c>
      <c r="C250" s="488" t="s">
        <v>43</v>
      </c>
      <c r="D250" s="278" t="s">
        <v>171</v>
      </c>
      <c r="E250" s="561" t="s">
        <v>36</v>
      </c>
      <c r="F250" s="207">
        <v>0</v>
      </c>
      <c r="G250" s="508">
        <v>5.5</v>
      </c>
      <c r="H250" s="193">
        <f>ROUND(ROUND(G250,2)*ROUND(F250,2),2)</f>
        <v>0</v>
      </c>
      <c r="I250" s="279"/>
      <c r="J250" s="488">
        <v>0.015</v>
      </c>
      <c r="K250" s="280">
        <f>J250*F250</f>
        <v>0</v>
      </c>
      <c r="L250" s="164"/>
      <c r="M250" s="164"/>
      <c r="N250" s="114"/>
      <c r="O250" s="111"/>
      <c r="P250" s="662"/>
    </row>
    <row r="251" spans="1:16" s="222" customFormat="1" ht="12.75" hidden="1">
      <c r="A251" s="116"/>
      <c r="B251" s="276">
        <f>SUBTOTAL(102,G$15:G251)</f>
        <v>133</v>
      </c>
      <c r="C251" s="488" t="s">
        <v>43</v>
      </c>
      <c r="D251" s="278" t="s">
        <v>170</v>
      </c>
      <c r="E251" s="561" t="s">
        <v>36</v>
      </c>
      <c r="F251" s="207">
        <v>0</v>
      </c>
      <c r="G251" s="508">
        <v>5.21</v>
      </c>
      <c r="H251" s="193">
        <f>ROUND(ROUND(G251,2)*ROUND(F251,2),2)</f>
        <v>0</v>
      </c>
      <c r="I251" s="279"/>
      <c r="J251" s="488">
        <v>0.02</v>
      </c>
      <c r="K251" s="280">
        <f>J251*F251</f>
        <v>0</v>
      </c>
      <c r="L251" s="164"/>
      <c r="M251" s="164"/>
      <c r="N251" s="114"/>
      <c r="O251" s="111"/>
      <c r="P251" s="662"/>
    </row>
    <row r="252" spans="1:15" s="120" customFormat="1" ht="12.75" hidden="1">
      <c r="A252" s="116"/>
      <c r="B252" s="276">
        <f>SUBTOTAL(102,G$15:G252)</f>
        <v>133</v>
      </c>
      <c r="C252" s="488" t="s">
        <v>43</v>
      </c>
      <c r="D252" s="492" t="s">
        <v>78</v>
      </c>
      <c r="E252" s="481" t="s">
        <v>36</v>
      </c>
      <c r="F252" s="207">
        <f>ROUNDUP((0.08*F245)/0.08,0)</f>
        <v>0</v>
      </c>
      <c r="G252" s="508">
        <v>4.2</v>
      </c>
      <c r="H252" s="193">
        <f t="shared" si="23"/>
        <v>0</v>
      </c>
      <c r="I252" s="279"/>
      <c r="J252" s="488">
        <v>0.035</v>
      </c>
      <c r="K252" s="280">
        <f t="shared" si="24"/>
        <v>0</v>
      </c>
      <c r="L252" s="164"/>
      <c r="M252" s="164"/>
      <c r="N252" s="165"/>
      <c r="O252" s="166"/>
    </row>
    <row r="253" spans="1:20" s="120" customFormat="1" ht="12.75" hidden="1">
      <c r="A253" s="116"/>
      <c r="B253" s="276">
        <f>SUBTOTAL(102,G$15:G253)</f>
        <v>133</v>
      </c>
      <c r="C253" s="488" t="s">
        <v>43</v>
      </c>
      <c r="D253" s="480" t="s">
        <v>209</v>
      </c>
      <c r="E253" s="481" t="s">
        <v>6</v>
      </c>
      <c r="F253" s="637">
        <f>F231*1.2</f>
        <v>0</v>
      </c>
      <c r="G253" s="508">
        <v>0.26</v>
      </c>
      <c r="H253" s="193">
        <f t="shared" si="23"/>
        <v>0</v>
      </c>
      <c r="I253" s="279"/>
      <c r="J253" s="488">
        <v>0.0005</v>
      </c>
      <c r="K253" s="280">
        <f t="shared" si="24"/>
        <v>0</v>
      </c>
      <c r="L253" s="164"/>
      <c r="M253" s="164"/>
      <c r="N253" s="165"/>
      <c r="O253" s="166"/>
      <c r="T253" s="638" t="s">
        <v>81</v>
      </c>
    </row>
    <row r="254" spans="1:15" s="120" customFormat="1" ht="12.75" hidden="1">
      <c r="A254" s="116"/>
      <c r="B254" s="276">
        <f>SUBTOTAL(102,G$15:G254)</f>
        <v>133</v>
      </c>
      <c r="C254" s="488" t="s">
        <v>43</v>
      </c>
      <c r="D254" s="480" t="s">
        <v>161</v>
      </c>
      <c r="E254" s="481" t="s">
        <v>9</v>
      </c>
      <c r="F254" s="207">
        <f>0.126*F245</f>
        <v>0</v>
      </c>
      <c r="G254" s="508">
        <v>1.42</v>
      </c>
      <c r="H254" s="193">
        <f t="shared" si="23"/>
        <v>0</v>
      </c>
      <c r="I254" s="279"/>
      <c r="J254" s="488">
        <v>0.01</v>
      </c>
      <c r="K254" s="280">
        <f t="shared" si="24"/>
        <v>0</v>
      </c>
      <c r="L254" s="164"/>
      <c r="M254" s="164"/>
      <c r="N254" s="639" t="s">
        <v>162</v>
      </c>
      <c r="O254" s="166"/>
    </row>
    <row r="255" spans="1:15" s="120" customFormat="1" ht="12.75" hidden="1">
      <c r="A255" s="116"/>
      <c r="B255" s="276">
        <f>SUBTOTAL(102,G$15:G255)</f>
        <v>133</v>
      </c>
      <c r="C255" s="488" t="s">
        <v>43</v>
      </c>
      <c r="D255" s="278" t="s">
        <v>147</v>
      </c>
      <c r="E255" s="463" t="s">
        <v>100</v>
      </c>
      <c r="F255" s="640">
        <f>SUBTOTAL(109,F256:F268)*0.005+SUBTOTAL(109,F268:F271)*0.002</f>
        <v>0</v>
      </c>
      <c r="G255" s="508">
        <v>0</v>
      </c>
      <c r="H255" s="193">
        <f t="shared" si="23"/>
        <v>0</v>
      </c>
      <c r="I255" s="279"/>
      <c r="J255" s="488"/>
      <c r="K255" s="280"/>
      <c r="L255" s="164"/>
      <c r="M255" s="164"/>
      <c r="N255" s="641"/>
      <c r="O255" s="166"/>
    </row>
    <row r="256" spans="1:15" s="120" customFormat="1" ht="13.5" hidden="1" thickBot="1">
      <c r="A256" s="116"/>
      <c r="B256" s="276"/>
      <c r="C256" s="488"/>
      <c r="D256" s="518" t="s">
        <v>50</v>
      </c>
      <c r="E256" s="463"/>
      <c r="F256" s="207"/>
      <c r="G256" s="508"/>
      <c r="H256" s="193"/>
      <c r="I256" s="279"/>
      <c r="J256" s="488"/>
      <c r="K256" s="280"/>
      <c r="L256" s="164"/>
      <c r="M256" s="601" t="s">
        <v>154</v>
      </c>
      <c r="N256" s="641"/>
      <c r="O256" s="166"/>
    </row>
    <row r="257" spans="1:16" s="524" customFormat="1" ht="12.75" hidden="1">
      <c r="A257" s="165"/>
      <c r="B257" s="276">
        <f>SUBTOTAL(102,G$15:G257)</f>
        <v>133</v>
      </c>
      <c r="C257" s="525" t="s">
        <v>43</v>
      </c>
      <c r="D257" s="663" t="s">
        <v>165</v>
      </c>
      <c r="E257" s="517" t="s">
        <v>36</v>
      </c>
      <c r="F257" s="527">
        <v>0</v>
      </c>
      <c r="G257" s="493">
        <v>1</v>
      </c>
      <c r="H257" s="193">
        <f aca="true" t="shared" si="25" ref="H257:H264">ROUND(ROUND(G257,2)*ROUND(F257,2),2)</f>
        <v>0</v>
      </c>
      <c r="I257" s="521"/>
      <c r="J257" s="664">
        <v>0.0025</v>
      </c>
      <c r="K257" s="280">
        <f aca="true" t="shared" si="26" ref="K257:K264">J257*F257</f>
        <v>0</v>
      </c>
      <c r="L257" s="107"/>
      <c r="M257" s="978" t="s">
        <v>141</v>
      </c>
      <c r="N257" s="920" t="s">
        <v>159</v>
      </c>
      <c r="O257" s="642"/>
      <c r="P257" s="632"/>
    </row>
    <row r="258" spans="1:16" s="524" customFormat="1" ht="12.75" hidden="1">
      <c r="A258" s="165"/>
      <c r="B258" s="276">
        <f>SUBTOTAL(102,G$15:G258)</f>
        <v>133</v>
      </c>
      <c r="C258" s="525" t="s">
        <v>43</v>
      </c>
      <c r="D258" s="526" t="s">
        <v>165</v>
      </c>
      <c r="E258" s="517" t="s">
        <v>36</v>
      </c>
      <c r="F258" s="527">
        <v>0</v>
      </c>
      <c r="G258" s="493">
        <v>1</v>
      </c>
      <c r="H258" s="193">
        <f t="shared" si="25"/>
        <v>0</v>
      </c>
      <c r="I258" s="521"/>
      <c r="J258" s="664">
        <v>0.0025</v>
      </c>
      <c r="K258" s="280">
        <f t="shared" si="26"/>
        <v>0</v>
      </c>
      <c r="L258" s="107"/>
      <c r="M258" s="978"/>
      <c r="N258" s="921"/>
      <c r="O258" s="642"/>
      <c r="P258" s="632"/>
    </row>
    <row r="259" spans="1:16" s="524" customFormat="1" ht="12.75" hidden="1">
      <c r="A259" s="165"/>
      <c r="B259" s="276">
        <f>SUBTOTAL(102,G$15:G259)</f>
        <v>133</v>
      </c>
      <c r="C259" s="529" t="s">
        <v>43</v>
      </c>
      <c r="D259" s="526" t="s">
        <v>138</v>
      </c>
      <c r="E259" s="517" t="s">
        <v>36</v>
      </c>
      <c r="F259" s="527">
        <v>0</v>
      </c>
      <c r="G259" s="493">
        <v>1</v>
      </c>
      <c r="H259" s="193">
        <f t="shared" si="25"/>
        <v>0</v>
      </c>
      <c r="I259" s="521"/>
      <c r="J259" s="664">
        <v>0.005</v>
      </c>
      <c r="K259" s="280">
        <f t="shared" si="26"/>
        <v>0</v>
      </c>
      <c r="L259" s="107"/>
      <c r="M259" s="923" t="s">
        <v>139</v>
      </c>
      <c r="N259" s="921"/>
      <c r="O259" s="644"/>
      <c r="P259" s="632"/>
    </row>
    <row r="260" spans="1:16" s="524" customFormat="1" ht="12.75" hidden="1">
      <c r="A260" s="165"/>
      <c r="B260" s="276">
        <f>SUBTOTAL(102,G$15:G260)</f>
        <v>133</v>
      </c>
      <c r="C260" s="529" t="s">
        <v>43</v>
      </c>
      <c r="D260" s="526" t="s">
        <v>138</v>
      </c>
      <c r="E260" s="517" t="s">
        <v>36</v>
      </c>
      <c r="F260" s="527">
        <v>0</v>
      </c>
      <c r="G260" s="493">
        <v>1</v>
      </c>
      <c r="H260" s="193">
        <f t="shared" si="25"/>
        <v>0</v>
      </c>
      <c r="I260" s="521"/>
      <c r="J260" s="664">
        <v>0.005</v>
      </c>
      <c r="K260" s="280">
        <f t="shared" si="26"/>
        <v>0</v>
      </c>
      <c r="L260" s="107"/>
      <c r="M260" s="923"/>
      <c r="N260" s="921"/>
      <c r="O260" s="644"/>
      <c r="P260" s="632"/>
    </row>
    <row r="261" spans="1:16" s="524" customFormat="1" ht="12.75" customHeight="1" hidden="1">
      <c r="A261" s="165"/>
      <c r="B261" s="276">
        <f>SUBTOTAL(102,G$15:G261)</f>
        <v>133</v>
      </c>
      <c r="C261" s="574" t="s">
        <v>43</v>
      </c>
      <c r="D261" s="526" t="s">
        <v>142</v>
      </c>
      <c r="E261" s="517" t="s">
        <v>36</v>
      </c>
      <c r="F261" s="527">
        <v>0</v>
      </c>
      <c r="G261" s="493">
        <v>1</v>
      </c>
      <c r="H261" s="193">
        <f t="shared" si="25"/>
        <v>0</v>
      </c>
      <c r="I261" s="521"/>
      <c r="J261" s="664">
        <v>0.01</v>
      </c>
      <c r="K261" s="280">
        <f t="shared" si="26"/>
        <v>0</v>
      </c>
      <c r="L261" s="107"/>
      <c r="M261" s="924" t="s">
        <v>143</v>
      </c>
      <c r="N261" s="921"/>
      <c r="O261" s="644"/>
      <c r="P261" s="632"/>
    </row>
    <row r="262" spans="1:16" s="524" customFormat="1" ht="12.75" hidden="1">
      <c r="A262" s="165"/>
      <c r="B262" s="276">
        <f>SUBTOTAL(102,G$15:G262)</f>
        <v>133</v>
      </c>
      <c r="C262" s="574" t="s">
        <v>43</v>
      </c>
      <c r="D262" s="526" t="s">
        <v>142</v>
      </c>
      <c r="E262" s="517" t="s">
        <v>36</v>
      </c>
      <c r="F262" s="527">
        <v>0</v>
      </c>
      <c r="G262" s="493">
        <v>1</v>
      </c>
      <c r="H262" s="193">
        <f t="shared" si="25"/>
        <v>0</v>
      </c>
      <c r="I262" s="521"/>
      <c r="J262" s="664">
        <v>0.01</v>
      </c>
      <c r="K262" s="280">
        <f t="shared" si="26"/>
        <v>0</v>
      </c>
      <c r="L262" s="107"/>
      <c r="M262" s="924"/>
      <c r="N262" s="921"/>
      <c r="O262" s="644"/>
      <c r="P262" s="632"/>
    </row>
    <row r="263" spans="1:16" s="524" customFormat="1" ht="12.75" hidden="1">
      <c r="A263" s="165"/>
      <c r="B263" s="276">
        <f>SUBTOTAL(102,G$15:G263)</f>
        <v>133</v>
      </c>
      <c r="C263" s="648" t="s">
        <v>43</v>
      </c>
      <c r="D263" s="526" t="s">
        <v>187</v>
      </c>
      <c r="E263" s="517" t="s">
        <v>36</v>
      </c>
      <c r="F263" s="527">
        <v>0</v>
      </c>
      <c r="G263" s="493">
        <v>1</v>
      </c>
      <c r="H263" s="193">
        <f t="shared" si="25"/>
        <v>0</v>
      </c>
      <c r="I263" s="521"/>
      <c r="J263" s="664">
        <v>0.02</v>
      </c>
      <c r="K263" s="280">
        <f t="shared" si="26"/>
        <v>0</v>
      </c>
      <c r="L263" s="107"/>
      <c r="M263" s="925" t="s">
        <v>144</v>
      </c>
      <c r="N263" s="921"/>
      <c r="O263" s="644"/>
      <c r="P263" s="632"/>
    </row>
    <row r="264" spans="1:16" s="524" customFormat="1" ht="13.5" hidden="1" thickBot="1">
      <c r="A264" s="165"/>
      <c r="B264" s="276">
        <f>SUBTOTAL(102,G$15:G264)</f>
        <v>133</v>
      </c>
      <c r="C264" s="648" t="s">
        <v>43</v>
      </c>
      <c r="D264" s="526" t="s">
        <v>187</v>
      </c>
      <c r="E264" s="517" t="s">
        <v>36</v>
      </c>
      <c r="F264" s="527">
        <v>0</v>
      </c>
      <c r="G264" s="493">
        <v>1</v>
      </c>
      <c r="H264" s="193">
        <f t="shared" si="25"/>
        <v>0</v>
      </c>
      <c r="I264" s="521"/>
      <c r="J264" s="664">
        <v>0.02</v>
      </c>
      <c r="K264" s="280">
        <f t="shared" si="26"/>
        <v>0</v>
      </c>
      <c r="L264" s="107"/>
      <c r="M264" s="926"/>
      <c r="N264" s="922"/>
      <c r="O264" s="644"/>
      <c r="P264" s="632"/>
    </row>
    <row r="265" spans="1:16" s="524" customFormat="1" ht="13.5" hidden="1" thickBot="1">
      <c r="A265" s="165"/>
      <c r="B265" s="276"/>
      <c r="C265" s="517"/>
      <c r="D265" s="649" t="s">
        <v>82</v>
      </c>
      <c r="E265" s="517"/>
      <c r="F265" s="650"/>
      <c r="G265" s="493"/>
      <c r="H265" s="651"/>
      <c r="I265" s="521"/>
      <c r="J265" s="665"/>
      <c r="K265" s="522"/>
      <c r="L265" s="107"/>
      <c r="M265" s="107"/>
      <c r="N265" s="652"/>
      <c r="O265" s="644"/>
      <c r="P265" s="632"/>
    </row>
    <row r="266" spans="1:16" s="524" customFormat="1" ht="12.75" hidden="1">
      <c r="A266" s="165"/>
      <c r="B266" s="276">
        <f>SUBTOTAL(102,G$15:G266)</f>
        <v>133</v>
      </c>
      <c r="C266" s="517" t="s">
        <v>43</v>
      </c>
      <c r="D266" s="646" t="s">
        <v>93</v>
      </c>
      <c r="E266" s="517" t="s">
        <v>36</v>
      </c>
      <c r="F266" s="527">
        <v>0</v>
      </c>
      <c r="G266" s="493">
        <v>1</v>
      </c>
      <c r="H266" s="193">
        <f>ROUND(ROUND(G266,2)*ROUND(F266,2),2)</f>
        <v>0</v>
      </c>
      <c r="I266" s="521"/>
      <c r="J266" s="664">
        <v>0.0025</v>
      </c>
      <c r="K266" s="280">
        <f>J266*F266</f>
        <v>0</v>
      </c>
      <c r="L266" s="107"/>
      <c r="M266" s="107"/>
      <c r="N266" s="652"/>
      <c r="O266" s="644"/>
      <c r="P266" s="632"/>
    </row>
    <row r="267" spans="1:16" s="654" customFormat="1" ht="12.75" hidden="1">
      <c r="A267" s="165"/>
      <c r="B267" s="276">
        <f>SUBTOTAL(102,G$15:G267)</f>
        <v>133</v>
      </c>
      <c r="C267" s="517" t="s">
        <v>43</v>
      </c>
      <c r="D267" s="646" t="s">
        <v>93</v>
      </c>
      <c r="E267" s="517" t="s">
        <v>36</v>
      </c>
      <c r="F267" s="527">
        <v>0</v>
      </c>
      <c r="G267" s="493">
        <v>1</v>
      </c>
      <c r="H267" s="193">
        <f>ROUND(ROUND(G267,2)*ROUND(F267,2),2)</f>
        <v>0</v>
      </c>
      <c r="I267" s="521"/>
      <c r="J267" s="664">
        <v>0.0025</v>
      </c>
      <c r="K267" s="280">
        <f>J267*F267</f>
        <v>0</v>
      </c>
      <c r="L267" s="105"/>
      <c r="M267" s="105"/>
      <c r="N267" s="652"/>
      <c r="O267" s="197"/>
      <c r="P267" s="630"/>
    </row>
    <row r="268" spans="1:16" s="524" customFormat="1" ht="13.5" hidden="1" thickBot="1">
      <c r="A268" s="165"/>
      <c r="B268" s="276"/>
      <c r="C268" s="517"/>
      <c r="D268" s="649" t="s">
        <v>5</v>
      </c>
      <c r="E268" s="517"/>
      <c r="F268" s="650"/>
      <c r="G268" s="493"/>
      <c r="H268" s="651"/>
      <c r="I268" s="521"/>
      <c r="J268" s="665"/>
      <c r="K268" s="522"/>
      <c r="L268" s="107"/>
      <c r="M268" s="107"/>
      <c r="N268" s="652"/>
      <c r="O268" s="644"/>
      <c r="P268" s="632"/>
    </row>
    <row r="269" spans="1:16" s="524" customFormat="1" ht="12.75" hidden="1">
      <c r="A269" s="165"/>
      <c r="B269" s="276">
        <f>SUBTOTAL(102,G$15:G269)</f>
        <v>133</v>
      </c>
      <c r="C269" s="517" t="s">
        <v>43</v>
      </c>
      <c r="D269" s="646" t="s">
        <v>94</v>
      </c>
      <c r="E269" s="517" t="s">
        <v>36</v>
      </c>
      <c r="F269" s="527">
        <v>0</v>
      </c>
      <c r="G269" s="493">
        <v>1</v>
      </c>
      <c r="H269" s="193">
        <f>ROUND(ROUND(G269,2)*ROUND(F269,2),2)</f>
        <v>0</v>
      </c>
      <c r="I269" s="521"/>
      <c r="J269" s="664">
        <v>0.0005</v>
      </c>
      <c r="K269" s="280">
        <f>J269*F269</f>
        <v>0</v>
      </c>
      <c r="L269" s="107"/>
      <c r="M269" s="107"/>
      <c r="N269" s="652"/>
      <c r="O269" s="644"/>
      <c r="P269" s="632"/>
    </row>
    <row r="270" spans="1:16" s="524" customFormat="1" ht="13.5" hidden="1" thickBot="1">
      <c r="A270" s="165"/>
      <c r="B270" s="281">
        <f>SUBTOTAL(102,G$15:G270)</f>
        <v>133</v>
      </c>
      <c r="C270" s="666" t="s">
        <v>43</v>
      </c>
      <c r="D270" s="667" t="s">
        <v>94</v>
      </c>
      <c r="E270" s="666" t="s">
        <v>36</v>
      </c>
      <c r="F270" s="578">
        <v>0</v>
      </c>
      <c r="G270" s="579">
        <v>1</v>
      </c>
      <c r="H270" s="286">
        <f>ROUND(ROUND(G270,2)*ROUND(F270,2),2)</f>
        <v>0</v>
      </c>
      <c r="I270" s="668"/>
      <c r="J270" s="669">
        <v>0.0005</v>
      </c>
      <c r="K270" s="289">
        <f>J270*F270</f>
        <v>0</v>
      </c>
      <c r="L270" s="107"/>
      <c r="M270" s="107"/>
      <c r="N270" s="652"/>
      <c r="O270" s="644"/>
      <c r="P270" s="632"/>
    </row>
    <row r="271" spans="1:15" s="222" customFormat="1" ht="12.75" hidden="1">
      <c r="A271" s="158"/>
      <c r="B271" s="412"/>
      <c r="C271" s="158"/>
      <c r="D271" s="670" t="s">
        <v>179</v>
      </c>
      <c r="E271" s="582"/>
      <c r="F271" s="582"/>
      <c r="G271" s="583"/>
      <c r="H271" s="582"/>
      <c r="I271" s="582"/>
      <c r="J271" s="582"/>
      <c r="K271" s="584"/>
      <c r="L271" s="165"/>
      <c r="M271" s="165"/>
      <c r="N271" s="418"/>
      <c r="O271" s="111"/>
    </row>
    <row r="272" spans="1:15" ht="10.5" customHeight="1" hidden="1">
      <c r="A272" s="116"/>
      <c r="B272" s="419"/>
      <c r="C272" s="420"/>
      <c r="D272" s="585" t="s">
        <v>113</v>
      </c>
      <c r="E272" s="918">
        <f>SUBTOTAL(109,I230:I271)</f>
        <v>0</v>
      </c>
      <c r="F272" s="918"/>
      <c r="G272" s="918"/>
      <c r="H272" s="918"/>
      <c r="I272" s="918"/>
      <c r="J272" s="422"/>
      <c r="K272" s="423"/>
      <c r="L272" s="164"/>
      <c r="M272" s="164"/>
      <c r="N272" s="114"/>
      <c r="O272" s="111"/>
    </row>
    <row r="273" spans="1:15" ht="10.5" customHeight="1" hidden="1">
      <c r="A273" s="158"/>
      <c r="B273" s="419"/>
      <c r="C273" s="542"/>
      <c r="D273" s="421" t="s">
        <v>114</v>
      </c>
      <c r="E273" s="927">
        <f>SUBTOTAL(109,H249:H256)</f>
        <v>0</v>
      </c>
      <c r="F273" s="927"/>
      <c r="G273" s="927"/>
      <c r="H273" s="927"/>
      <c r="I273" s="543"/>
      <c r="J273" s="420"/>
      <c r="K273" s="544"/>
      <c r="L273" s="234"/>
      <c r="M273" s="234"/>
      <c r="N273" s="114"/>
      <c r="O273" s="111"/>
    </row>
    <row r="274" spans="1:15" ht="10.5" customHeight="1" hidden="1" thickBot="1">
      <c r="A274" s="158"/>
      <c r="B274" s="223"/>
      <c r="C274" s="424"/>
      <c r="D274" s="225" t="s">
        <v>116</v>
      </c>
      <c r="E274" s="919">
        <f>SUBTOTAL(109,H256:H271)</f>
        <v>0</v>
      </c>
      <c r="F274" s="919"/>
      <c r="G274" s="919"/>
      <c r="H274" s="919"/>
      <c r="I274" s="425"/>
      <c r="J274" s="224"/>
      <c r="K274" s="586">
        <f>SUBTOTAL(109,K230:K271)</f>
        <v>0</v>
      </c>
      <c r="L274" s="234"/>
      <c r="M274" s="234"/>
      <c r="N274" s="114"/>
      <c r="O274" s="111"/>
    </row>
    <row r="275" spans="1:15" s="237" customFormat="1" ht="13.5" customHeight="1" hidden="1">
      <c r="A275" s="158"/>
      <c r="B275" s="184"/>
      <c r="C275" s="235"/>
      <c r="D275" s="671" t="s">
        <v>111</v>
      </c>
      <c r="E275" s="154"/>
      <c r="F275" s="236"/>
      <c r="G275" s="21"/>
      <c r="H275" s="235"/>
      <c r="I275" s="154"/>
      <c r="J275" s="235"/>
      <c r="K275" s="152"/>
      <c r="L275" s="164"/>
      <c r="M275" s="164"/>
      <c r="N275" s="165"/>
      <c r="O275" s="166"/>
    </row>
    <row r="276" spans="1:15" s="175" customFormat="1" ht="11.25" customHeight="1" hidden="1">
      <c r="A276" s="105"/>
      <c r="B276" s="190">
        <f>SUBTOTAL(102,G$15:G276)</f>
        <v>133</v>
      </c>
      <c r="C276" s="468">
        <v>184802111</v>
      </c>
      <c r="D276" s="672" t="s">
        <v>19</v>
      </c>
      <c r="E276" s="463" t="s">
        <v>101</v>
      </c>
      <c r="F276" s="619">
        <v>0</v>
      </c>
      <c r="G276" s="470">
        <v>0.06</v>
      </c>
      <c r="H276" s="192"/>
      <c r="I276" s="193">
        <f aca="true" t="shared" si="27" ref="I276:I284">ROUND(ROUND(G276,2)*ROUND(F276,2),2)</f>
        <v>0</v>
      </c>
      <c r="J276" s="192"/>
      <c r="K276" s="192"/>
      <c r="L276" s="105"/>
      <c r="M276" s="105"/>
      <c r="N276" s="105"/>
      <c r="O276" s="111"/>
    </row>
    <row r="277" spans="1:15" s="175" customFormat="1" ht="22.5" customHeight="1" hidden="1">
      <c r="A277" s="105"/>
      <c r="B277" s="190">
        <f>SUBTOTAL(102,G$15:G277)</f>
        <v>133</v>
      </c>
      <c r="C277" s="468">
        <v>111104211</v>
      </c>
      <c r="D277" s="673" t="s">
        <v>52</v>
      </c>
      <c r="E277" s="463" t="s">
        <v>101</v>
      </c>
      <c r="F277" s="207">
        <f>F276</f>
        <v>0</v>
      </c>
      <c r="G277" s="470">
        <v>0.04</v>
      </c>
      <c r="H277" s="192"/>
      <c r="I277" s="193">
        <f t="shared" si="27"/>
        <v>0</v>
      </c>
      <c r="J277" s="192"/>
      <c r="K277" s="192"/>
      <c r="L277" s="105"/>
      <c r="M277" s="105"/>
      <c r="N277" s="105"/>
      <c r="O277" s="111"/>
    </row>
    <row r="278" spans="1:15" s="175" customFormat="1" ht="11.25" customHeight="1" hidden="1">
      <c r="A278" s="105"/>
      <c r="B278" s="190">
        <f>SUBTOTAL(102,G$15:G278)</f>
        <v>133</v>
      </c>
      <c r="C278" s="468">
        <v>183405311</v>
      </c>
      <c r="D278" s="674" t="s">
        <v>11</v>
      </c>
      <c r="E278" s="463" t="s">
        <v>101</v>
      </c>
      <c r="F278" s="207">
        <f>F276</f>
        <v>0</v>
      </c>
      <c r="G278" s="470">
        <v>0.38</v>
      </c>
      <c r="H278" s="192"/>
      <c r="I278" s="193">
        <f t="shared" si="27"/>
        <v>0</v>
      </c>
      <c r="J278" s="192"/>
      <c r="K278" s="192"/>
      <c r="L278" s="105"/>
      <c r="M278" s="105"/>
      <c r="N278" s="105"/>
      <c r="O278" s="111"/>
    </row>
    <row r="279" spans="1:15" s="175" customFormat="1" ht="11.25" customHeight="1" hidden="1">
      <c r="A279" s="105"/>
      <c r="B279" s="190">
        <f>SUBTOTAL(102,G$15:G279)</f>
        <v>133</v>
      </c>
      <c r="C279" s="675" t="s">
        <v>63</v>
      </c>
      <c r="D279" s="674" t="s">
        <v>67</v>
      </c>
      <c r="E279" s="463" t="s">
        <v>49</v>
      </c>
      <c r="F279" s="207">
        <f>ROUNDUP((F276*0.033),0)</f>
        <v>0</v>
      </c>
      <c r="G279" s="464">
        <v>8.38</v>
      </c>
      <c r="H279" s="192"/>
      <c r="I279" s="193">
        <f t="shared" si="27"/>
        <v>0</v>
      </c>
      <c r="J279" s="192"/>
      <c r="K279" s="192"/>
      <c r="L279" s="105"/>
      <c r="M279" s="105"/>
      <c r="N279" s="105"/>
      <c r="O279" s="111"/>
    </row>
    <row r="280" spans="1:15" s="175" customFormat="1" ht="11.25" customHeight="1" hidden="1">
      <c r="A280" s="105"/>
      <c r="B280" s="190">
        <f>SUBTOTAL(102,G$15:G280)</f>
        <v>133</v>
      </c>
      <c r="C280" s="468">
        <v>183403153</v>
      </c>
      <c r="D280" s="674" t="s">
        <v>65</v>
      </c>
      <c r="E280" s="463" t="s">
        <v>101</v>
      </c>
      <c r="F280" s="207">
        <f>F276</f>
        <v>0</v>
      </c>
      <c r="G280" s="470">
        <v>0.08</v>
      </c>
      <c r="H280" s="192"/>
      <c r="I280" s="193">
        <f t="shared" si="27"/>
        <v>0</v>
      </c>
      <c r="J280" s="192"/>
      <c r="K280" s="192"/>
      <c r="L280" s="105"/>
      <c r="M280" s="105"/>
      <c r="N280" s="105"/>
      <c r="O280" s="111"/>
    </row>
    <row r="281" spans="1:15" s="175" customFormat="1" ht="22.5" customHeight="1" hidden="1">
      <c r="A281" s="105"/>
      <c r="B281" s="190">
        <f>SUBTOTAL(102,G$15:G281)</f>
        <v>133</v>
      </c>
      <c r="C281" s="468">
        <v>180402111</v>
      </c>
      <c r="D281" s="674" t="s">
        <v>76</v>
      </c>
      <c r="E281" s="463" t="s">
        <v>101</v>
      </c>
      <c r="F281" s="207">
        <f>F276+21-21</f>
        <v>0</v>
      </c>
      <c r="G281" s="470">
        <v>0.44</v>
      </c>
      <c r="H281" s="192"/>
      <c r="I281" s="193">
        <f t="shared" si="27"/>
        <v>0</v>
      </c>
      <c r="J281" s="192"/>
      <c r="K281" s="192"/>
      <c r="L281" s="105"/>
      <c r="M281" s="105"/>
      <c r="N281" s="105"/>
      <c r="O281" s="111"/>
    </row>
    <row r="282" spans="1:15" ht="12.75" customHeight="1" hidden="1">
      <c r="A282" s="114"/>
      <c r="B282" s="190">
        <f>SUBTOTAL(102,G$15:G282)</f>
        <v>133</v>
      </c>
      <c r="C282" s="676">
        <v>183403161</v>
      </c>
      <c r="D282" s="677" t="s">
        <v>77</v>
      </c>
      <c r="E282" s="678" t="s">
        <v>99</v>
      </c>
      <c r="F282" s="207">
        <f>F276</f>
        <v>0</v>
      </c>
      <c r="G282" s="679">
        <v>0.04</v>
      </c>
      <c r="H282" s="321"/>
      <c r="I282" s="193">
        <f t="shared" si="27"/>
        <v>0</v>
      </c>
      <c r="J282" s="322"/>
      <c r="K282" s="322"/>
      <c r="L282" s="197"/>
      <c r="M282" s="197"/>
      <c r="N282" s="114"/>
      <c r="O282" s="111"/>
    </row>
    <row r="283" spans="1:15" ht="12.75" customHeight="1" hidden="1">
      <c r="A283" s="114"/>
      <c r="B283" s="190">
        <f>SUBTOTAL(102,G$15:G283)</f>
        <v>133</v>
      </c>
      <c r="C283" s="676">
        <v>185851111</v>
      </c>
      <c r="D283" s="680" t="s">
        <v>104</v>
      </c>
      <c r="E283" s="678" t="s">
        <v>99</v>
      </c>
      <c r="F283" s="207">
        <f>F281</f>
        <v>0</v>
      </c>
      <c r="G283" s="679">
        <v>0.11</v>
      </c>
      <c r="H283" s="321"/>
      <c r="I283" s="193">
        <f t="shared" si="27"/>
        <v>0</v>
      </c>
      <c r="J283" s="322"/>
      <c r="K283" s="322"/>
      <c r="L283" s="197"/>
      <c r="M283" s="197"/>
      <c r="N283" s="114"/>
      <c r="O283" s="111"/>
    </row>
    <row r="284" spans="1:15" ht="13.5" customHeight="1" hidden="1" thickBot="1">
      <c r="A284" s="114"/>
      <c r="B284" s="167">
        <f>SUBTOTAL(102,G$15:G284)</f>
        <v>133</v>
      </c>
      <c r="C284" s="681" t="s">
        <v>3</v>
      </c>
      <c r="D284" s="682" t="s">
        <v>105</v>
      </c>
      <c r="E284" s="683" t="s">
        <v>99</v>
      </c>
      <c r="F284" s="558">
        <f>F281</f>
        <v>0</v>
      </c>
      <c r="G284" s="684">
        <v>0.02</v>
      </c>
      <c r="H284" s="685"/>
      <c r="I284" s="172">
        <f t="shared" si="27"/>
        <v>0</v>
      </c>
      <c r="J284" s="686"/>
      <c r="K284" s="686"/>
      <c r="L284" s="197"/>
      <c r="M284" s="197"/>
      <c r="N284" s="114"/>
      <c r="O284" s="111"/>
    </row>
    <row r="285" spans="1:15" ht="12.75" customHeight="1" hidden="1">
      <c r="A285" s="114"/>
      <c r="B285" s="267">
        <f>SUBTOTAL(102,G$15:G285)</f>
        <v>133</v>
      </c>
      <c r="C285" s="501" t="s">
        <v>43</v>
      </c>
      <c r="D285" s="687" t="s">
        <v>68</v>
      </c>
      <c r="E285" s="688" t="s">
        <v>47</v>
      </c>
      <c r="F285" s="503">
        <f>(F276*0.01)*1.5</f>
        <v>0</v>
      </c>
      <c r="G285" s="689">
        <v>20</v>
      </c>
      <c r="H285" s="272">
        <f>ROUND(ROUND(G285,2)*ROUND(F285,2),2)</f>
        <v>0</v>
      </c>
      <c r="I285" s="690"/>
      <c r="J285" s="691">
        <v>1</v>
      </c>
      <c r="K285" s="275">
        <f>J285*F285</f>
        <v>0</v>
      </c>
      <c r="L285" s="197"/>
      <c r="M285" s="197"/>
      <c r="N285" s="114"/>
      <c r="O285" s="111"/>
    </row>
    <row r="286" spans="1:15" ht="12.75" customHeight="1" hidden="1">
      <c r="A286" s="114"/>
      <c r="B286" s="276">
        <f>SUBTOTAL(102,G$15:G286)</f>
        <v>133</v>
      </c>
      <c r="C286" s="488" t="s">
        <v>43</v>
      </c>
      <c r="D286" s="677" t="s">
        <v>69</v>
      </c>
      <c r="E286" s="678" t="s">
        <v>66</v>
      </c>
      <c r="F286" s="207">
        <f>ROUNDUP(F276/10000,2)</f>
        <v>0</v>
      </c>
      <c r="G286" s="493">
        <v>61.87</v>
      </c>
      <c r="H286" s="193">
        <f>ROUND(ROUND(G286,2)*ROUND(F286,2),2)</f>
        <v>0</v>
      </c>
      <c r="I286" s="692"/>
      <c r="J286" s="325"/>
      <c r="K286" s="280"/>
      <c r="L286" s="197"/>
      <c r="M286" s="197"/>
      <c r="N286" s="114"/>
      <c r="O286" s="111"/>
    </row>
    <row r="287" spans="1:15" ht="12.75" customHeight="1" hidden="1">
      <c r="A287" s="114"/>
      <c r="B287" s="276">
        <f>SUBTOTAL(102,G$15:G287)</f>
        <v>133</v>
      </c>
      <c r="C287" s="488" t="s">
        <v>43</v>
      </c>
      <c r="D287" s="677" t="s">
        <v>70</v>
      </c>
      <c r="E287" s="678" t="s">
        <v>66</v>
      </c>
      <c r="F287" s="207">
        <f>ROUNDUP(F276/10000,2)</f>
        <v>0</v>
      </c>
      <c r="G287" s="493">
        <v>182.56</v>
      </c>
      <c r="H287" s="193">
        <f>ROUND(ROUND(G287,2)*ROUND(F287,2),2)</f>
        <v>0</v>
      </c>
      <c r="I287" s="692"/>
      <c r="J287" s="325"/>
      <c r="K287" s="280"/>
      <c r="L287" s="197"/>
      <c r="M287" s="197"/>
      <c r="N287" s="114"/>
      <c r="O287" s="111"/>
    </row>
    <row r="288" spans="1:15" ht="12.75" customHeight="1" hidden="1">
      <c r="A288" s="114"/>
      <c r="B288" s="276">
        <f>SUBTOTAL(102,G$15:G288)</f>
        <v>133</v>
      </c>
      <c r="C288" s="488" t="s">
        <v>43</v>
      </c>
      <c r="D288" s="677" t="s">
        <v>71</v>
      </c>
      <c r="E288" s="678" t="s">
        <v>9</v>
      </c>
      <c r="F288" s="207">
        <f>F281*0.015</f>
        <v>0</v>
      </c>
      <c r="G288" s="493">
        <f>4.46+N("cena zo smernice 2012")</f>
        <v>4.46</v>
      </c>
      <c r="H288" s="193">
        <f>ROUND(ROUND(G288,2)*ROUND(F288,2),2)</f>
        <v>0</v>
      </c>
      <c r="I288" s="692"/>
      <c r="J288" s="325">
        <v>0.001</v>
      </c>
      <c r="K288" s="280">
        <f>J288*F288</f>
        <v>0</v>
      </c>
      <c r="L288" s="197"/>
      <c r="M288" s="197"/>
      <c r="N288" s="114"/>
      <c r="O288" s="111"/>
    </row>
    <row r="289" spans="1:15" s="120" customFormat="1" ht="13.5" customHeight="1" hidden="1" thickBot="1">
      <c r="A289" s="116"/>
      <c r="B289" s="530">
        <f>SUBTOTAL(102,G$15:G289)</f>
        <v>133</v>
      </c>
      <c r="C289" s="515" t="s">
        <v>43</v>
      </c>
      <c r="D289" s="510" t="s">
        <v>72</v>
      </c>
      <c r="E289" s="511" t="s">
        <v>100</v>
      </c>
      <c r="F289" s="512">
        <f>F283*0.01</f>
        <v>0</v>
      </c>
      <c r="G289" s="513">
        <v>0</v>
      </c>
      <c r="H289" s="172"/>
      <c r="I289" s="172"/>
      <c r="J289" s="515"/>
      <c r="K289" s="516"/>
      <c r="L289" s="164"/>
      <c r="M289" s="164"/>
      <c r="N289" s="641"/>
      <c r="O289" s="166"/>
    </row>
    <row r="290" spans="1:15" s="222" customFormat="1" ht="12.75" hidden="1">
      <c r="A290" s="158"/>
      <c r="B290" s="215"/>
      <c r="C290" s="436"/>
      <c r="D290" s="693" t="s">
        <v>118</v>
      </c>
      <c r="E290" s="538"/>
      <c r="F290" s="538"/>
      <c r="G290" s="539"/>
      <c r="H290" s="538"/>
      <c r="I290" s="538"/>
      <c r="J290" s="538"/>
      <c r="K290" s="540"/>
      <c r="L290" s="165"/>
      <c r="M290" s="165"/>
      <c r="N290" s="418"/>
      <c r="O290" s="111"/>
    </row>
    <row r="291" spans="1:15" ht="10.5" customHeight="1" hidden="1">
      <c r="A291" s="116"/>
      <c r="B291" s="419"/>
      <c r="C291" s="420"/>
      <c r="D291" s="585" t="s">
        <v>113</v>
      </c>
      <c r="E291" s="918">
        <f>SUBTOTAL(109,I276:I284)</f>
        <v>0</v>
      </c>
      <c r="F291" s="918"/>
      <c r="G291" s="918"/>
      <c r="H291" s="918"/>
      <c r="I291" s="918"/>
      <c r="J291" s="422"/>
      <c r="K291" s="423"/>
      <c r="L291" s="164"/>
      <c r="M291" s="164"/>
      <c r="N291" s="114"/>
      <c r="O291" s="111"/>
    </row>
    <row r="292" spans="1:15" ht="10.5" customHeight="1" hidden="1" thickBot="1">
      <c r="A292" s="158"/>
      <c r="B292" s="223"/>
      <c r="C292" s="424"/>
      <c r="D292" s="225" t="s">
        <v>114</v>
      </c>
      <c r="E292" s="919">
        <f>SUBTOTAL(109,H285:H289)</f>
        <v>0</v>
      </c>
      <c r="F292" s="919"/>
      <c r="G292" s="919"/>
      <c r="H292" s="919"/>
      <c r="I292" s="425"/>
      <c r="J292" s="224"/>
      <c r="K292" s="586">
        <f>SUBTOTAL(109,K276:K290)</f>
        <v>0</v>
      </c>
      <c r="L292" s="234"/>
      <c r="M292" s="234"/>
      <c r="N292" s="114"/>
      <c r="O292" s="111"/>
    </row>
    <row r="293" spans="1:15" s="237" customFormat="1" ht="12.75">
      <c r="A293" s="158"/>
      <c r="B293" s="184"/>
      <c r="C293" s="235"/>
      <c r="D293" s="693" t="s">
        <v>260</v>
      </c>
      <c r="E293" s="154"/>
      <c r="F293" s="236"/>
      <c r="G293" s="21"/>
      <c r="H293" s="235"/>
      <c r="I293" s="694"/>
      <c r="J293" s="235"/>
      <c r="K293" s="152"/>
      <c r="L293" s="164"/>
      <c r="M293" s="164"/>
      <c r="N293" s="165"/>
      <c r="O293" s="166"/>
    </row>
    <row r="294" spans="1:15" s="175" customFormat="1" ht="11.25">
      <c r="A294" s="165"/>
      <c r="B294" s="190">
        <f>SUBTOTAL(102,G$15:G294)</f>
        <v>134</v>
      </c>
      <c r="C294" s="468">
        <v>182001111</v>
      </c>
      <c r="D294" s="695" t="s">
        <v>0</v>
      </c>
      <c r="E294" s="463" t="s">
        <v>101</v>
      </c>
      <c r="F294" s="619">
        <v>959</v>
      </c>
      <c r="G294" s="470">
        <v>0</v>
      </c>
      <c r="H294" s="192"/>
      <c r="I294" s="193">
        <f aca="true" t="shared" si="28" ref="I294:I305">ROUND(ROUND(G294,2)*ROUND(F294,2),2)</f>
        <v>0</v>
      </c>
      <c r="J294" s="192"/>
      <c r="K294" s="192"/>
      <c r="L294" s="105"/>
      <c r="M294" s="105"/>
      <c r="N294" s="105"/>
      <c r="O294" s="111"/>
    </row>
    <row r="295" spans="1:15" ht="12.75">
      <c r="A295" s="315"/>
      <c r="B295" s="190">
        <f>SUBTOTAL(102,G$15:G295)</f>
        <v>135</v>
      </c>
      <c r="C295" s="696">
        <v>183403111</v>
      </c>
      <c r="D295" s="697" t="s">
        <v>91</v>
      </c>
      <c r="E295" s="517" t="s">
        <v>99</v>
      </c>
      <c r="F295" s="207">
        <f>F298</f>
        <v>959</v>
      </c>
      <c r="G295" s="470">
        <v>0</v>
      </c>
      <c r="H295" s="321"/>
      <c r="I295" s="193">
        <f t="shared" si="28"/>
        <v>0</v>
      </c>
      <c r="J295" s="322"/>
      <c r="K295" s="322"/>
      <c r="L295" s="197"/>
      <c r="M295" s="197"/>
      <c r="N295" s="114"/>
      <c r="O295" s="111"/>
    </row>
    <row r="296" spans="1:15" s="175" customFormat="1" ht="9.75">
      <c r="A296" s="165"/>
      <c r="B296" s="190">
        <f>SUBTOTAL(102,G$15:G296)</f>
        <v>136</v>
      </c>
      <c r="C296" s="696">
        <v>162701105</v>
      </c>
      <c r="D296" s="697" t="s">
        <v>267</v>
      </c>
      <c r="E296" s="698" t="s">
        <v>266</v>
      </c>
      <c r="F296" s="207">
        <f>F294*0.1</f>
        <v>95.9</v>
      </c>
      <c r="G296" s="470">
        <v>0</v>
      </c>
      <c r="H296" s="192"/>
      <c r="I296" s="193">
        <f t="shared" si="28"/>
        <v>0</v>
      </c>
      <c r="J296" s="192"/>
      <c r="K296" s="192"/>
      <c r="L296" s="105"/>
      <c r="M296" s="105"/>
      <c r="N296" s="105"/>
      <c r="O296" s="916" t="s">
        <v>200</v>
      </c>
    </row>
    <row r="297" spans="1:15" s="175" customFormat="1" ht="11.25" customHeight="1">
      <c r="A297" s="165"/>
      <c r="B297" s="190">
        <f>SUBTOTAL(102,G$15:G297)</f>
        <v>137</v>
      </c>
      <c r="C297" s="696"/>
      <c r="D297" s="697" t="s">
        <v>265</v>
      </c>
      <c r="E297" s="698" t="s">
        <v>46</v>
      </c>
      <c r="F297" s="207">
        <f>(F296)*(L297-10)</f>
        <v>-959</v>
      </c>
      <c r="G297" s="470">
        <v>0</v>
      </c>
      <c r="H297" s="192"/>
      <c r="I297" s="193">
        <f t="shared" si="28"/>
        <v>0</v>
      </c>
      <c r="J297" s="192"/>
      <c r="K297" s="192"/>
      <c r="L297" s="699"/>
      <c r="M297" s="105"/>
      <c r="N297" s="700"/>
      <c r="O297" s="917"/>
    </row>
    <row r="298" spans="1:15" s="175" customFormat="1" ht="11.25" customHeight="1">
      <c r="A298" s="165"/>
      <c r="B298" s="190">
        <f>SUBTOTAL(102,G$15:G298)</f>
        <v>138</v>
      </c>
      <c r="C298" s="701">
        <v>181301111</v>
      </c>
      <c r="D298" s="466" t="s">
        <v>285</v>
      </c>
      <c r="E298" s="463" t="s">
        <v>101</v>
      </c>
      <c r="F298" s="207">
        <f>F294+21-21</f>
        <v>959</v>
      </c>
      <c r="G298" s="86">
        <v>0</v>
      </c>
      <c r="H298" s="192"/>
      <c r="I298" s="193">
        <f t="shared" si="28"/>
        <v>0</v>
      </c>
      <c r="J298" s="192"/>
      <c r="K298" s="192"/>
      <c r="L298" s="105"/>
      <c r="M298" s="105"/>
      <c r="N298" s="700" t="s">
        <v>283</v>
      </c>
      <c r="O298" s="917"/>
    </row>
    <row r="299" spans="1:15" ht="12.75" customHeight="1">
      <c r="A299" s="315"/>
      <c r="B299" s="190">
        <f>SUBTOTAL(102,G$15:G299)</f>
        <v>139</v>
      </c>
      <c r="C299" s="702">
        <v>183403113</v>
      </c>
      <c r="D299" s="487" t="s">
        <v>10</v>
      </c>
      <c r="E299" s="517" t="s">
        <v>99</v>
      </c>
      <c r="F299" s="207">
        <f>F294</f>
        <v>959</v>
      </c>
      <c r="G299" s="470">
        <v>0</v>
      </c>
      <c r="H299" s="321"/>
      <c r="I299" s="193">
        <f t="shared" si="28"/>
        <v>0</v>
      </c>
      <c r="J299" s="322"/>
      <c r="K299" s="322"/>
      <c r="L299" s="197"/>
      <c r="M299" s="197"/>
      <c r="N299" s="111"/>
      <c r="O299" s="111"/>
    </row>
    <row r="300" spans="1:15" ht="12.75">
      <c r="A300" s="315"/>
      <c r="B300" s="190">
        <f>SUBTOTAL(102,G$15:G300)</f>
        <v>140</v>
      </c>
      <c r="C300" s="702">
        <v>183403153</v>
      </c>
      <c r="D300" s="487" t="s">
        <v>73</v>
      </c>
      <c r="E300" s="517" t="s">
        <v>99</v>
      </c>
      <c r="F300" s="207">
        <f>F294</f>
        <v>959</v>
      </c>
      <c r="G300" s="847">
        <v>0</v>
      </c>
      <c r="H300" s="321"/>
      <c r="I300" s="193">
        <f t="shared" si="28"/>
        <v>0</v>
      </c>
      <c r="J300" s="322"/>
      <c r="K300" s="322"/>
      <c r="L300" s="197"/>
      <c r="M300" s="197"/>
      <c r="N300" s="111"/>
      <c r="O300" s="111"/>
    </row>
    <row r="301" spans="1:15" ht="20.25">
      <c r="A301" s="315"/>
      <c r="B301" s="190">
        <f>SUBTOTAL(102,G$15:G301)</f>
        <v>141</v>
      </c>
      <c r="C301" s="703">
        <v>180402111</v>
      </c>
      <c r="D301" s="704" t="s">
        <v>54</v>
      </c>
      <c r="E301" s="517" t="s">
        <v>99</v>
      </c>
      <c r="F301" s="207">
        <f>F294</f>
        <v>959</v>
      </c>
      <c r="G301" s="470">
        <v>0</v>
      </c>
      <c r="H301" s="321"/>
      <c r="I301" s="193">
        <f t="shared" si="28"/>
        <v>0</v>
      </c>
      <c r="J301" s="322"/>
      <c r="K301" s="322"/>
      <c r="L301" s="197"/>
      <c r="M301" s="197"/>
      <c r="N301" s="915" t="s">
        <v>112</v>
      </c>
      <c r="O301" s="111"/>
    </row>
    <row r="302" spans="1:15" s="710" customFormat="1" ht="12.75" hidden="1">
      <c r="A302" s="386"/>
      <c r="B302" s="190">
        <f>SUBTOTAL(102,G$15:G302)</f>
        <v>141</v>
      </c>
      <c r="C302" s="705">
        <v>180406111</v>
      </c>
      <c r="D302" s="462" t="s">
        <v>55</v>
      </c>
      <c r="E302" s="698" t="s">
        <v>99</v>
      </c>
      <c r="F302" s="199">
        <f>F294</f>
        <v>959</v>
      </c>
      <c r="G302" s="470">
        <v>1.45</v>
      </c>
      <c r="H302" s="706"/>
      <c r="I302" s="707">
        <f>ROUND(ROUND(G302,2)*ROUND(F302,2),2)</f>
        <v>1390.55</v>
      </c>
      <c r="J302" s="708"/>
      <c r="K302" s="708"/>
      <c r="L302" s="709"/>
      <c r="M302" s="709"/>
      <c r="N302" s="915"/>
      <c r="O302" s="709"/>
    </row>
    <row r="303" spans="1:15" ht="12.75">
      <c r="A303" s="315"/>
      <c r="B303" s="190">
        <f>SUBTOTAL(102,G$15:G303)</f>
        <v>142</v>
      </c>
      <c r="C303" s="702">
        <v>183403161</v>
      </c>
      <c r="D303" s="674" t="s">
        <v>74</v>
      </c>
      <c r="E303" s="517" t="s">
        <v>99</v>
      </c>
      <c r="F303" s="207">
        <f>F294</f>
        <v>959</v>
      </c>
      <c r="G303" s="470">
        <v>0</v>
      </c>
      <c r="H303" s="321"/>
      <c r="I303" s="193">
        <f t="shared" si="28"/>
        <v>0</v>
      </c>
      <c r="J303" s="322"/>
      <c r="K303" s="322"/>
      <c r="L303" s="197"/>
      <c r="M303" s="197"/>
      <c r="N303" s="114"/>
      <c r="O303" s="111"/>
    </row>
    <row r="304" spans="1:15" ht="12.75">
      <c r="A304" s="315"/>
      <c r="B304" s="190">
        <f>SUBTOTAL(102,G$15:G304)</f>
        <v>143</v>
      </c>
      <c r="C304" s="702">
        <v>185851111</v>
      </c>
      <c r="D304" s="674" t="s">
        <v>106</v>
      </c>
      <c r="E304" s="517" t="s">
        <v>99</v>
      </c>
      <c r="F304" s="207">
        <f>F294</f>
        <v>959</v>
      </c>
      <c r="G304" s="847">
        <v>0</v>
      </c>
      <c r="H304" s="321"/>
      <c r="I304" s="193">
        <f t="shared" si="28"/>
        <v>0</v>
      </c>
      <c r="J304" s="322"/>
      <c r="K304" s="322"/>
      <c r="L304" s="197"/>
      <c r="M304" s="197"/>
      <c r="N304" s="114"/>
      <c r="O304" s="111"/>
    </row>
    <row r="305" spans="1:15" ht="13.5" thickBot="1">
      <c r="A305" s="315"/>
      <c r="B305" s="167">
        <f>SUBTOTAL(102,G$15:G305)</f>
        <v>144</v>
      </c>
      <c r="C305" s="711">
        <v>185804312</v>
      </c>
      <c r="D305" s="712" t="s">
        <v>107</v>
      </c>
      <c r="E305" s="532" t="s">
        <v>99</v>
      </c>
      <c r="F305" s="558">
        <f>F294</f>
        <v>959</v>
      </c>
      <c r="G305" s="848">
        <v>0</v>
      </c>
      <c r="H305" s="685"/>
      <c r="I305" s="172">
        <f t="shared" si="28"/>
        <v>0</v>
      </c>
      <c r="J305" s="686"/>
      <c r="K305" s="686"/>
      <c r="L305" s="197"/>
      <c r="M305" s="197"/>
      <c r="N305" s="114"/>
      <c r="O305" s="111"/>
    </row>
    <row r="306" spans="1:15" s="222" customFormat="1" ht="12.75">
      <c r="A306" s="116"/>
      <c r="B306" s="267">
        <f>SUBTOTAL(102,G$15:G306)</f>
        <v>145</v>
      </c>
      <c r="C306" s="501" t="s">
        <v>43</v>
      </c>
      <c r="D306" s="631" t="s">
        <v>79</v>
      </c>
      <c r="E306" s="502" t="s">
        <v>47</v>
      </c>
      <c r="F306" s="503">
        <f>(F298*0.1)*1.4</f>
        <v>134.26</v>
      </c>
      <c r="G306" s="71">
        <v>0</v>
      </c>
      <c r="H306" s="272">
        <f>ROUND(ROUND(G306,2)*ROUND(F306,2),2)</f>
        <v>0</v>
      </c>
      <c r="I306" s="272"/>
      <c r="J306" s="501">
        <v>1</v>
      </c>
      <c r="K306" s="275">
        <f>J306*F306</f>
        <v>134.26</v>
      </c>
      <c r="L306" s="164"/>
      <c r="M306" s="164"/>
      <c r="N306" s="114"/>
      <c r="O306" s="111"/>
    </row>
    <row r="307" spans="1:15" ht="12.75">
      <c r="A307" s="315"/>
      <c r="B307" s="276">
        <f>SUBTOTAL(102,G$15:G307)</f>
        <v>146</v>
      </c>
      <c r="C307" s="488" t="s">
        <v>43</v>
      </c>
      <c r="D307" s="713" t="s">
        <v>80</v>
      </c>
      <c r="E307" s="517" t="s">
        <v>9</v>
      </c>
      <c r="F307" s="207">
        <f>F294*0.03</f>
        <v>28.77</v>
      </c>
      <c r="G307" s="842">
        <v>0</v>
      </c>
      <c r="H307" s="193">
        <f>ROUND(ROUND(G307,2)*ROUND(F307,2),2)</f>
        <v>0</v>
      </c>
      <c r="I307" s="692"/>
      <c r="J307" s="325">
        <v>0.001</v>
      </c>
      <c r="K307" s="280">
        <f>J307*F307</f>
        <v>0.02877</v>
      </c>
      <c r="L307" s="197"/>
      <c r="M307" s="197"/>
      <c r="N307" s="114"/>
      <c r="O307" s="111"/>
    </row>
    <row r="308" spans="1:15" s="710" customFormat="1" ht="12.75" hidden="1">
      <c r="A308" s="386"/>
      <c r="B308" s="276">
        <f>SUBTOTAL(102,G$15:G308)</f>
        <v>146</v>
      </c>
      <c r="C308" s="190" t="s">
        <v>43</v>
      </c>
      <c r="D308" s="714" t="s">
        <v>198</v>
      </c>
      <c r="E308" s="698" t="s">
        <v>99</v>
      </c>
      <c r="F308" s="715">
        <f>ROUNDUP(F304*1.05+N("polozka zalozenie Trávnika"),0)</f>
        <v>1007</v>
      </c>
      <c r="G308" s="716">
        <f>2.9*1.2+N("zisk")+G309+N("doprava")</f>
        <v>4.16</v>
      </c>
      <c r="H308" s="707">
        <f>ROUND(ROUND(G308,2)*ROUND(F308,2),2)</f>
        <v>4189.12</v>
      </c>
      <c r="I308" s="717"/>
      <c r="J308" s="718">
        <v>0.001</v>
      </c>
      <c r="K308" s="719">
        <f>J308*F308</f>
        <v>1.0070000000000001</v>
      </c>
      <c r="L308" s="709"/>
      <c r="M308" s="709"/>
      <c r="N308" s="386"/>
      <c r="O308" s="709"/>
    </row>
    <row r="309" spans="1:15" s="710" customFormat="1" ht="30" hidden="1">
      <c r="A309" s="386"/>
      <c r="B309" s="276">
        <f>SUBTOTAL(102,G$15:G309)</f>
        <v>146</v>
      </c>
      <c r="C309" s="720"/>
      <c r="D309" s="721" t="s">
        <v>199</v>
      </c>
      <c r="E309" s="722" t="s">
        <v>83</v>
      </c>
      <c r="F309" s="723">
        <v>40</v>
      </c>
      <c r="G309" s="724">
        <f>IF(F308=0,"0 €",ROUNDUP(0.95*(ROUNDUP(F308/120,0)+N("pocet aut"))*((F309*2)+N("km*2"))/(F308+N("mnozstvo celkom")),2))</f>
        <v>0.68</v>
      </c>
      <c r="H309" s="707"/>
      <c r="I309" s="717"/>
      <c r="J309" s="718"/>
      <c r="K309" s="719"/>
      <c r="L309" s="709"/>
      <c r="M309" s="709"/>
      <c r="N309" s="725">
        <f>ROUNDUP(F308/120,0)+N("pocet aut; hranicna hodnota pre 1 auto je 120m2 materialu alebo 115m2 zalozenia")</f>
        <v>9</v>
      </c>
      <c r="O309" s="709"/>
    </row>
    <row r="310" spans="1:15" s="120" customFormat="1" ht="13.5" thickBot="1">
      <c r="A310" s="158"/>
      <c r="B310" s="530">
        <f>SUBTOTAL(102,G$15:G310)</f>
        <v>147</v>
      </c>
      <c r="C310" s="515" t="s">
        <v>43</v>
      </c>
      <c r="D310" s="510" t="s">
        <v>72</v>
      </c>
      <c r="E310" s="511" t="s">
        <v>100</v>
      </c>
      <c r="F310" s="512">
        <f>F294*0.01</f>
        <v>9.59</v>
      </c>
      <c r="G310" s="727">
        <v>0</v>
      </c>
      <c r="H310" s="193">
        <f>ROUND(ROUND(G310,2)*ROUND(F310,2),2)</f>
        <v>0</v>
      </c>
      <c r="I310" s="172"/>
      <c r="J310" s="515"/>
      <c r="K310" s="516"/>
      <c r="L310" s="164"/>
      <c r="M310" s="164"/>
      <c r="N310" s="570" t="s">
        <v>288</v>
      </c>
      <c r="O310" s="166"/>
    </row>
    <row r="311" spans="1:15" s="222" customFormat="1" ht="12.75">
      <c r="A311" s="158"/>
      <c r="B311" s="215"/>
      <c r="C311" s="436"/>
      <c r="D311" s="693" t="s">
        <v>261</v>
      </c>
      <c r="E311" s="538"/>
      <c r="F311" s="538"/>
      <c r="G311" s="539"/>
      <c r="H311" s="538"/>
      <c r="I311" s="538"/>
      <c r="J311" s="538"/>
      <c r="K311" s="540"/>
      <c r="L311" s="165"/>
      <c r="M311" s="165"/>
      <c r="N311" s="418"/>
      <c r="O311" s="111"/>
    </row>
    <row r="312" spans="1:15" ht="10.5" customHeight="1">
      <c r="A312" s="116"/>
      <c r="B312" s="419"/>
      <c r="C312" s="420"/>
      <c r="D312" s="585" t="s">
        <v>113</v>
      </c>
      <c r="E312" s="918">
        <f>SUBTOTAL(109,I294:I305)</f>
        <v>0</v>
      </c>
      <c r="F312" s="918"/>
      <c r="G312" s="918"/>
      <c r="H312" s="918"/>
      <c r="I312" s="918"/>
      <c r="J312" s="422"/>
      <c r="K312" s="423"/>
      <c r="L312" s="164"/>
      <c r="M312" s="164"/>
      <c r="N312" s="114"/>
      <c r="O312" s="111"/>
    </row>
    <row r="313" spans="1:15" ht="10.5" customHeight="1" thickBot="1">
      <c r="A313" s="158"/>
      <c r="B313" s="223"/>
      <c r="C313" s="424"/>
      <c r="D313" s="225" t="s">
        <v>114</v>
      </c>
      <c r="E313" s="919">
        <f>SUBTOTAL(109,H306:H310)</f>
        <v>0</v>
      </c>
      <c r="F313" s="919"/>
      <c r="G313" s="919"/>
      <c r="H313" s="919"/>
      <c r="I313" s="425"/>
      <c r="J313" s="224"/>
      <c r="K313" s="586">
        <f>SUBTOTAL(109,K294:K311)</f>
        <v>134.28877</v>
      </c>
      <c r="L313" s="234"/>
      <c r="M313" s="234"/>
      <c r="N313" s="114"/>
      <c r="O313" s="111"/>
    </row>
    <row r="314" spans="1:15" s="237" customFormat="1" ht="12.75">
      <c r="A314" s="158"/>
      <c r="B314" s="184"/>
      <c r="C314" s="235"/>
      <c r="D314" s="693" t="s">
        <v>262</v>
      </c>
      <c r="E314" s="154"/>
      <c r="F314" s="236"/>
      <c r="G314" s="21"/>
      <c r="H314" s="235"/>
      <c r="I314" s="694"/>
      <c r="J314" s="235"/>
      <c r="K314" s="152"/>
      <c r="L314" s="164"/>
      <c r="M314" s="164"/>
      <c r="N314" s="165"/>
      <c r="O314" s="166"/>
    </row>
    <row r="315" spans="1:15" s="175" customFormat="1" ht="11.25">
      <c r="A315" s="165"/>
      <c r="B315" s="190">
        <f>SUBTOTAL(102,G$15:G315)</f>
        <v>148</v>
      </c>
      <c r="C315" s="468">
        <v>182001112</v>
      </c>
      <c r="D315" s="695" t="s">
        <v>0</v>
      </c>
      <c r="E315" s="463" t="s">
        <v>101</v>
      </c>
      <c r="F315" s="619">
        <v>272.5</v>
      </c>
      <c r="G315" s="849">
        <v>0</v>
      </c>
      <c r="H315" s="192"/>
      <c r="I315" s="193">
        <f aca="true" t="shared" si="29" ref="I315:I326">ROUND(ROUND(G315,2)*ROUND(F315,2),2)</f>
        <v>0</v>
      </c>
      <c r="J315" s="192"/>
      <c r="K315" s="192"/>
      <c r="L315" s="105"/>
      <c r="M315" s="105"/>
      <c r="N315" s="105"/>
      <c r="O315" s="111"/>
    </row>
    <row r="316" spans="1:15" ht="12.75">
      <c r="A316" s="315"/>
      <c r="B316" s="190">
        <f>SUBTOTAL(102,G$15:G316)</f>
        <v>149</v>
      </c>
      <c r="C316" s="696">
        <v>183403231</v>
      </c>
      <c r="D316" s="697" t="s">
        <v>91</v>
      </c>
      <c r="E316" s="517" t="s">
        <v>99</v>
      </c>
      <c r="F316" s="207">
        <f>F319</f>
        <v>272.5</v>
      </c>
      <c r="G316" s="86">
        <v>0</v>
      </c>
      <c r="H316" s="321"/>
      <c r="I316" s="193">
        <f t="shared" si="29"/>
        <v>0</v>
      </c>
      <c r="J316" s="322"/>
      <c r="K316" s="322"/>
      <c r="L316" s="197"/>
      <c r="M316" s="197"/>
      <c r="N316" s="114"/>
      <c r="O316" s="111"/>
    </row>
    <row r="317" spans="1:15" s="175" customFormat="1" ht="9.75">
      <c r="A317" s="165"/>
      <c r="B317" s="190">
        <f>SUBTOTAL(102,G$15:G317)</f>
        <v>150</v>
      </c>
      <c r="C317" s="696">
        <v>162701105</v>
      </c>
      <c r="D317" s="697" t="s">
        <v>264</v>
      </c>
      <c r="E317" s="698" t="s">
        <v>266</v>
      </c>
      <c r="F317" s="207">
        <f>F315*0.1</f>
        <v>27.25</v>
      </c>
      <c r="G317" s="470">
        <v>0</v>
      </c>
      <c r="H317" s="192"/>
      <c r="I317" s="193">
        <f t="shared" si="29"/>
        <v>0</v>
      </c>
      <c r="J317" s="192"/>
      <c r="K317" s="192"/>
      <c r="L317" s="105"/>
      <c r="M317" s="105"/>
      <c r="N317" s="105"/>
      <c r="O317" s="916" t="s">
        <v>200</v>
      </c>
    </row>
    <row r="318" spans="1:15" s="175" customFormat="1" ht="11.25" customHeight="1">
      <c r="A318" s="165"/>
      <c r="B318" s="190">
        <f>SUBTOTAL(102,G$15:G318)</f>
        <v>151</v>
      </c>
      <c r="C318" s="696"/>
      <c r="D318" s="697" t="s">
        <v>265</v>
      </c>
      <c r="E318" s="698" t="s">
        <v>46</v>
      </c>
      <c r="F318" s="207">
        <f>(F317)*(L318-10)</f>
        <v>-272.5</v>
      </c>
      <c r="G318" s="470">
        <v>0</v>
      </c>
      <c r="H318" s="192"/>
      <c r="I318" s="193">
        <f t="shared" si="29"/>
        <v>0</v>
      </c>
      <c r="J318" s="192"/>
      <c r="K318" s="192"/>
      <c r="L318" s="699"/>
      <c r="M318" s="105"/>
      <c r="N318" s="700"/>
      <c r="O318" s="917"/>
    </row>
    <row r="319" spans="1:15" s="175" customFormat="1" ht="11.25" customHeight="1">
      <c r="A319" s="165"/>
      <c r="B319" s="190">
        <f>SUBTOTAL(102,G$15:G319)</f>
        <v>152</v>
      </c>
      <c r="C319" s="701">
        <v>182301121</v>
      </c>
      <c r="D319" s="466" t="s">
        <v>285</v>
      </c>
      <c r="E319" s="463" t="s">
        <v>101</v>
      </c>
      <c r="F319" s="207">
        <f>F315</f>
        <v>272.5</v>
      </c>
      <c r="G319" s="86">
        <v>0</v>
      </c>
      <c r="H319" s="192"/>
      <c r="I319" s="193">
        <f t="shared" si="29"/>
        <v>0</v>
      </c>
      <c r="J319" s="192"/>
      <c r="K319" s="192"/>
      <c r="L319" s="105"/>
      <c r="M319" s="105"/>
      <c r="N319" s="700" t="s">
        <v>284</v>
      </c>
      <c r="O319" s="917"/>
    </row>
    <row r="320" spans="1:15" ht="12.75" customHeight="1">
      <c r="A320" s="315"/>
      <c r="B320" s="190">
        <f>SUBTOTAL(102,G$15:G320)</f>
        <v>153</v>
      </c>
      <c r="C320" s="702">
        <v>183403213</v>
      </c>
      <c r="D320" s="487" t="s">
        <v>10</v>
      </c>
      <c r="E320" s="517" t="s">
        <v>99</v>
      </c>
      <c r="F320" s="207">
        <f>F315</f>
        <v>272.5</v>
      </c>
      <c r="G320" s="86">
        <v>0</v>
      </c>
      <c r="H320" s="321"/>
      <c r="I320" s="193">
        <f t="shared" si="29"/>
        <v>0</v>
      </c>
      <c r="J320" s="322"/>
      <c r="K320" s="322"/>
      <c r="L320" s="197"/>
      <c r="M320" s="197"/>
      <c r="N320" s="114"/>
      <c r="O320" s="111"/>
    </row>
    <row r="321" spans="1:15" ht="12.75">
      <c r="A321" s="315"/>
      <c r="B321" s="190">
        <f>SUBTOTAL(102,G$15:G321)</f>
        <v>154</v>
      </c>
      <c r="C321" s="702">
        <v>183403253</v>
      </c>
      <c r="D321" s="487" t="s">
        <v>73</v>
      </c>
      <c r="E321" s="517" t="s">
        <v>99</v>
      </c>
      <c r="F321" s="207">
        <f>F315</f>
        <v>272.5</v>
      </c>
      <c r="G321" s="86">
        <v>0</v>
      </c>
      <c r="H321" s="321"/>
      <c r="I321" s="193">
        <f t="shared" si="29"/>
        <v>0</v>
      </c>
      <c r="J321" s="322"/>
      <c r="K321" s="322"/>
      <c r="L321" s="197"/>
      <c r="M321" s="197"/>
      <c r="N321" s="114"/>
      <c r="O321" s="111"/>
    </row>
    <row r="322" spans="1:15" ht="20.25">
      <c r="A322" s="315"/>
      <c r="B322" s="190">
        <f>SUBTOTAL(102,G$15:G322)</f>
        <v>155</v>
      </c>
      <c r="C322" s="703">
        <v>180402112</v>
      </c>
      <c r="D322" s="704" t="s">
        <v>54</v>
      </c>
      <c r="E322" s="698" t="s">
        <v>99</v>
      </c>
      <c r="F322" s="207">
        <f>F315</f>
        <v>272.5</v>
      </c>
      <c r="G322" s="86">
        <v>0</v>
      </c>
      <c r="H322" s="321"/>
      <c r="I322" s="193">
        <f t="shared" si="29"/>
        <v>0</v>
      </c>
      <c r="J322" s="322"/>
      <c r="K322" s="322"/>
      <c r="L322" s="197"/>
      <c r="M322" s="197"/>
      <c r="N322" s="915" t="s">
        <v>112</v>
      </c>
      <c r="O322" s="111"/>
    </row>
    <row r="323" spans="1:15" s="710" customFormat="1" ht="12.75" hidden="1">
      <c r="A323" s="386"/>
      <c r="B323" s="190">
        <f>SUBTOTAL(102,G$15:G323)</f>
        <v>155</v>
      </c>
      <c r="C323" s="705">
        <v>180406111</v>
      </c>
      <c r="D323" s="462" t="s">
        <v>55</v>
      </c>
      <c r="E323" s="698" t="s">
        <v>99</v>
      </c>
      <c r="F323" s="199">
        <f>F315</f>
        <v>272.5</v>
      </c>
      <c r="G323" s="470">
        <v>1.45</v>
      </c>
      <c r="H323" s="706"/>
      <c r="I323" s="707">
        <f>ROUND(ROUND(G323,2)*ROUND(F323,2),2)</f>
        <v>395.13</v>
      </c>
      <c r="J323" s="708"/>
      <c r="K323" s="708"/>
      <c r="L323" s="709"/>
      <c r="M323" s="709"/>
      <c r="N323" s="915"/>
      <c r="O323" s="709"/>
    </row>
    <row r="324" spans="1:15" ht="12.75">
      <c r="A324" s="315"/>
      <c r="B324" s="190">
        <f>SUBTOTAL(102,G$15:G324)</f>
        <v>156</v>
      </c>
      <c r="C324" s="702">
        <v>183403161</v>
      </c>
      <c r="D324" s="674" t="s">
        <v>74</v>
      </c>
      <c r="E324" s="517" t="s">
        <v>99</v>
      </c>
      <c r="F324" s="207">
        <f>F315</f>
        <v>272.5</v>
      </c>
      <c r="G324" s="850">
        <v>0</v>
      </c>
      <c r="H324" s="321"/>
      <c r="I324" s="193">
        <f t="shared" si="29"/>
        <v>0</v>
      </c>
      <c r="J324" s="322"/>
      <c r="K324" s="322"/>
      <c r="L324" s="197"/>
      <c r="M324" s="197"/>
      <c r="N324" s="114"/>
      <c r="O324" s="111"/>
    </row>
    <row r="325" spans="1:15" ht="12.75">
      <c r="A325" s="315"/>
      <c r="B325" s="190">
        <f>SUBTOTAL(102,G$15:G325)</f>
        <v>157</v>
      </c>
      <c r="C325" s="702">
        <v>185851111</v>
      </c>
      <c r="D325" s="674" t="s">
        <v>106</v>
      </c>
      <c r="E325" s="517" t="s">
        <v>99</v>
      </c>
      <c r="F325" s="207">
        <f>F315</f>
        <v>272.5</v>
      </c>
      <c r="G325" s="847">
        <v>0</v>
      </c>
      <c r="H325" s="321"/>
      <c r="I325" s="193">
        <f t="shared" si="29"/>
        <v>0</v>
      </c>
      <c r="J325" s="322"/>
      <c r="K325" s="322"/>
      <c r="L325" s="197"/>
      <c r="M325" s="197"/>
      <c r="N325" s="114"/>
      <c r="O325" s="111"/>
    </row>
    <row r="326" spans="1:15" ht="13.5" thickBot="1">
      <c r="A326" s="315"/>
      <c r="B326" s="167">
        <f>SUBTOTAL(102,G$15:G326)</f>
        <v>158</v>
      </c>
      <c r="C326" s="711">
        <v>185804312</v>
      </c>
      <c r="D326" s="712" t="s">
        <v>107</v>
      </c>
      <c r="E326" s="532" t="s">
        <v>99</v>
      </c>
      <c r="F326" s="558">
        <f>F315</f>
        <v>272.5</v>
      </c>
      <c r="G326" s="848">
        <v>0</v>
      </c>
      <c r="H326" s="685"/>
      <c r="I326" s="172">
        <f t="shared" si="29"/>
        <v>0</v>
      </c>
      <c r="J326" s="686"/>
      <c r="K326" s="686"/>
      <c r="L326" s="197"/>
      <c r="M326" s="197"/>
      <c r="N326" s="114"/>
      <c r="O326" s="111"/>
    </row>
    <row r="327" spans="1:15" s="222" customFormat="1" ht="12.75">
      <c r="A327" s="116"/>
      <c r="B327" s="267">
        <f>SUBTOTAL(102,G$15:G327)</f>
        <v>159</v>
      </c>
      <c r="C327" s="501" t="s">
        <v>43</v>
      </c>
      <c r="D327" s="631" t="s">
        <v>79</v>
      </c>
      <c r="E327" s="502" t="s">
        <v>47</v>
      </c>
      <c r="F327" s="503">
        <f>(F319*0.1)*1.4</f>
        <v>38.15</v>
      </c>
      <c r="G327" s="71">
        <v>0</v>
      </c>
      <c r="H327" s="272">
        <f>ROUND(ROUND(G327,2)*ROUND(F327,2),2)</f>
        <v>0</v>
      </c>
      <c r="I327" s="272"/>
      <c r="J327" s="501">
        <v>1</v>
      </c>
      <c r="K327" s="275">
        <f>J327*F327</f>
        <v>38.15</v>
      </c>
      <c r="L327" s="164"/>
      <c r="M327" s="164"/>
      <c r="N327" s="114"/>
      <c r="O327" s="111"/>
    </row>
    <row r="328" spans="1:15" ht="12.75">
      <c r="A328" s="315"/>
      <c r="B328" s="276">
        <f>SUBTOTAL(102,G$15:G328)</f>
        <v>160</v>
      </c>
      <c r="C328" s="488" t="s">
        <v>43</v>
      </c>
      <c r="D328" s="713" t="s">
        <v>80</v>
      </c>
      <c r="E328" s="517" t="s">
        <v>9</v>
      </c>
      <c r="F328" s="207">
        <f>F315*0.03</f>
        <v>8.174999999999999</v>
      </c>
      <c r="G328" s="842">
        <v>0</v>
      </c>
      <c r="H328" s="193">
        <f>ROUND(ROUND(G328,2)*ROUND(F328,2),2)</f>
        <v>0</v>
      </c>
      <c r="I328" s="692"/>
      <c r="J328" s="325">
        <v>0.001</v>
      </c>
      <c r="K328" s="280">
        <f>J328*F328</f>
        <v>0.008174999999999998</v>
      </c>
      <c r="L328" s="197"/>
      <c r="M328" s="197"/>
      <c r="N328" s="114"/>
      <c r="O328" s="111"/>
    </row>
    <row r="329" spans="1:15" s="710" customFormat="1" ht="12.75" hidden="1">
      <c r="A329" s="386"/>
      <c r="B329" s="276">
        <f>SUBTOTAL(102,G$15:G329)</f>
        <v>160</v>
      </c>
      <c r="C329" s="190" t="s">
        <v>43</v>
      </c>
      <c r="D329" s="714" t="s">
        <v>198</v>
      </c>
      <c r="E329" s="698" t="s">
        <v>99</v>
      </c>
      <c r="F329" s="715">
        <f>ROUNDUP(F325*1.05+N("polozka zalozenie Trávnika"),0)</f>
        <v>287</v>
      </c>
      <c r="G329" s="716">
        <f>2.9*1.2+N("zisk")+G330+N("doprava")</f>
        <v>4.28</v>
      </c>
      <c r="H329" s="707">
        <f>ROUND(ROUND(G329,2)*ROUND(F329,2),2)</f>
        <v>1228.36</v>
      </c>
      <c r="I329" s="717"/>
      <c r="J329" s="718">
        <v>0.001</v>
      </c>
      <c r="K329" s="719">
        <f>J329*F329</f>
        <v>0.28700000000000003</v>
      </c>
      <c r="L329" s="709"/>
      <c r="M329" s="709"/>
      <c r="N329" s="386"/>
      <c r="O329" s="709"/>
    </row>
    <row r="330" spans="1:15" s="710" customFormat="1" ht="30" hidden="1">
      <c r="A330" s="386"/>
      <c r="B330" s="276">
        <f>SUBTOTAL(102,G$15:G330)</f>
        <v>160</v>
      </c>
      <c r="C330" s="720"/>
      <c r="D330" s="721" t="s">
        <v>199</v>
      </c>
      <c r="E330" s="722" t="s">
        <v>83</v>
      </c>
      <c r="F330" s="723">
        <v>40</v>
      </c>
      <c r="G330" s="724">
        <f>IF(F329=0,"0 €",ROUNDUP(0.95*(ROUNDUP(F329/120,0)+N("pocet aut"))*((F330*2)+N("km*2"))/(F329+N("mnozstvo celkom")),2))</f>
        <v>0.8</v>
      </c>
      <c r="H330" s="707"/>
      <c r="I330" s="717"/>
      <c r="J330" s="718"/>
      <c r="K330" s="719"/>
      <c r="L330" s="709"/>
      <c r="M330" s="709"/>
      <c r="N330" s="725">
        <f>ROUNDUP(F329/120,0)+N("pocet aut; hranicna hodnota pre 1 auto je 120m2 materialu alebo 115m2 zalozenia")</f>
        <v>3</v>
      </c>
      <c r="O330" s="709"/>
    </row>
    <row r="331" spans="1:15" s="730" customFormat="1" ht="13.5" thickBot="1">
      <c r="A331" s="381"/>
      <c r="B331" s="530">
        <f>SUBTOTAL(102,G$15:G331)</f>
        <v>161</v>
      </c>
      <c r="C331" s="167" t="s">
        <v>43</v>
      </c>
      <c r="D331" s="726" t="s">
        <v>72</v>
      </c>
      <c r="E331" s="406" t="s">
        <v>100</v>
      </c>
      <c r="F331" s="208">
        <f>F315*0.01</f>
        <v>2.725</v>
      </c>
      <c r="G331" s="727">
        <v>0</v>
      </c>
      <c r="H331" s="193">
        <f>ROUND(ROUND(G331,2)*ROUND(F331,2),2)</f>
        <v>0</v>
      </c>
      <c r="I331" s="728"/>
      <c r="J331" s="167"/>
      <c r="K331" s="729"/>
      <c r="L331" s="106"/>
      <c r="M331" s="106"/>
      <c r="N331" s="570" t="s">
        <v>288</v>
      </c>
      <c r="O331" s="709"/>
    </row>
    <row r="332" spans="1:15" s="222" customFormat="1" ht="12.75">
      <c r="A332" s="158"/>
      <c r="B332" s="215"/>
      <c r="C332" s="436"/>
      <c r="D332" s="731" t="s">
        <v>263</v>
      </c>
      <c r="E332" s="538"/>
      <c r="F332" s="538"/>
      <c r="G332" s="539"/>
      <c r="H332" s="538"/>
      <c r="I332" s="538"/>
      <c r="J332" s="538"/>
      <c r="K332" s="540"/>
      <c r="L332" s="165"/>
      <c r="M332" s="165"/>
      <c r="N332" s="418"/>
      <c r="O332" s="111"/>
    </row>
    <row r="333" spans="1:15" ht="10.5" customHeight="1">
      <c r="A333" s="116"/>
      <c r="B333" s="419"/>
      <c r="C333" s="420"/>
      <c r="D333" s="585" t="s">
        <v>113</v>
      </c>
      <c r="E333" s="918">
        <f>SUBTOTAL(109,I315:I326)</f>
        <v>0</v>
      </c>
      <c r="F333" s="918"/>
      <c r="G333" s="918"/>
      <c r="H333" s="918"/>
      <c r="I333" s="918"/>
      <c r="J333" s="422"/>
      <c r="K333" s="423"/>
      <c r="L333" s="164"/>
      <c r="M333" s="164"/>
      <c r="N333" s="114"/>
      <c r="O333" s="111"/>
    </row>
    <row r="334" spans="1:15" ht="10.5" customHeight="1" thickBot="1">
      <c r="A334" s="158"/>
      <c r="B334" s="223"/>
      <c r="C334" s="424"/>
      <c r="D334" s="225" t="s">
        <v>114</v>
      </c>
      <c r="E334" s="919">
        <f>SUBTOTAL(109,H327:H331)</f>
        <v>0</v>
      </c>
      <c r="F334" s="919"/>
      <c r="G334" s="919"/>
      <c r="H334" s="919"/>
      <c r="I334" s="425"/>
      <c r="J334" s="224"/>
      <c r="K334" s="586">
        <f>SUBTOTAL(109,K315:K332)</f>
        <v>38.158175</v>
      </c>
      <c r="L334" s="234"/>
      <c r="M334" s="234"/>
      <c r="N334" s="114"/>
      <c r="O334" s="111"/>
    </row>
    <row r="335" spans="1:15" s="237" customFormat="1" ht="15" hidden="1">
      <c r="A335" s="158"/>
      <c r="B335" s="732"/>
      <c r="C335" s="235"/>
      <c r="D335" s="693" t="s">
        <v>174</v>
      </c>
      <c r="E335" s="154"/>
      <c r="F335" s="236"/>
      <c r="G335" s="21"/>
      <c r="H335" s="235"/>
      <c r="I335" s="694"/>
      <c r="J335" s="235"/>
      <c r="K335" s="152"/>
      <c r="L335" s="164"/>
      <c r="M335" s="164"/>
      <c r="N335" s="733"/>
      <c r="O335" s="914" t="s">
        <v>197</v>
      </c>
    </row>
    <row r="336" spans="1:15" s="175" customFormat="1" ht="11.25" hidden="1">
      <c r="A336" s="165"/>
      <c r="B336" s="506">
        <f>SUBTOTAL(102,G$15:G336)</f>
        <v>161</v>
      </c>
      <c r="C336" s="468">
        <v>182001112</v>
      </c>
      <c r="D336" s="695" t="s">
        <v>0</v>
      </c>
      <c r="E336" s="463" t="s">
        <v>101</v>
      </c>
      <c r="F336" s="619">
        <v>0</v>
      </c>
      <c r="G336" s="470">
        <v>0.97</v>
      </c>
      <c r="H336" s="192"/>
      <c r="I336" s="193">
        <f aca="true" t="shared" si="30" ref="I336:I345">ROUND(ROUND(G336,2)*ROUND(F336,2),2)</f>
        <v>0</v>
      </c>
      <c r="J336" s="192"/>
      <c r="K336" s="192"/>
      <c r="L336" s="105"/>
      <c r="M336" s="105"/>
      <c r="N336" s="105"/>
      <c r="O336" s="914"/>
    </row>
    <row r="337" spans="1:15" ht="12.75" hidden="1">
      <c r="A337" s="315"/>
      <c r="B337" s="190">
        <f>SUBTOTAL(102,G$15:G337)</f>
        <v>161</v>
      </c>
      <c r="C337" s="696">
        <v>183403231</v>
      </c>
      <c r="D337" s="697" t="s">
        <v>91</v>
      </c>
      <c r="E337" s="517" t="s">
        <v>99</v>
      </c>
      <c r="F337" s="207">
        <f>F336</f>
        <v>0</v>
      </c>
      <c r="G337" s="470">
        <v>0.56</v>
      </c>
      <c r="H337" s="321"/>
      <c r="I337" s="193">
        <f t="shared" si="30"/>
        <v>0</v>
      </c>
      <c r="J337" s="322"/>
      <c r="K337" s="322"/>
      <c r="L337" s="197"/>
      <c r="M337" s="197"/>
      <c r="N337" s="114"/>
      <c r="O337" s="914"/>
    </row>
    <row r="338" spans="1:15" ht="12.75" customHeight="1" hidden="1">
      <c r="A338" s="315"/>
      <c r="B338" s="190">
        <f>SUBTOTAL(102,G$15:G338)</f>
        <v>161</v>
      </c>
      <c r="C338" s="734">
        <v>183403213</v>
      </c>
      <c r="D338" s="487" t="s">
        <v>10</v>
      </c>
      <c r="E338" s="517" t="s">
        <v>99</v>
      </c>
      <c r="F338" s="207">
        <v>0</v>
      </c>
      <c r="G338" s="470">
        <v>0.14</v>
      </c>
      <c r="H338" s="321"/>
      <c r="I338" s="193">
        <f t="shared" si="30"/>
        <v>0</v>
      </c>
      <c r="J338" s="322"/>
      <c r="K338" s="322"/>
      <c r="L338" s="197"/>
      <c r="M338" s="197"/>
      <c r="N338" s="735" t="s">
        <v>201</v>
      </c>
      <c r="O338" s="914"/>
    </row>
    <row r="339" spans="1:15" ht="12.75" hidden="1">
      <c r="A339" s="315"/>
      <c r="B339" s="190">
        <f>SUBTOTAL(102,G$15:G339)</f>
        <v>161</v>
      </c>
      <c r="C339" s="702">
        <v>183403153</v>
      </c>
      <c r="D339" s="487" t="s">
        <v>73</v>
      </c>
      <c r="E339" s="517" t="s">
        <v>99</v>
      </c>
      <c r="F339" s="207">
        <f>F336</f>
        <v>0</v>
      </c>
      <c r="G339" s="679">
        <v>0.21</v>
      </c>
      <c r="H339" s="321"/>
      <c r="I339" s="193">
        <f t="shared" si="30"/>
        <v>0</v>
      </c>
      <c r="J339" s="322"/>
      <c r="K339" s="322"/>
      <c r="L339" s="197"/>
      <c r="M339" s="197"/>
      <c r="N339" s="114"/>
      <c r="O339" s="914"/>
    </row>
    <row r="340" spans="1:15" ht="33.75" customHeight="1" hidden="1">
      <c r="A340" s="315"/>
      <c r="B340" s="190">
        <f>SUBTOTAL(102,G$15:G340)</f>
        <v>161</v>
      </c>
      <c r="C340" s="734">
        <v>180402111</v>
      </c>
      <c r="D340" s="614" t="s">
        <v>54</v>
      </c>
      <c r="E340" s="517" t="s">
        <v>99</v>
      </c>
      <c r="F340" s="207">
        <v>0</v>
      </c>
      <c r="G340" s="470">
        <v>0.44</v>
      </c>
      <c r="H340" s="321"/>
      <c r="I340" s="193">
        <f t="shared" si="30"/>
        <v>0</v>
      </c>
      <c r="J340" s="322"/>
      <c r="K340" s="322"/>
      <c r="L340" s="197"/>
      <c r="M340" s="197"/>
      <c r="N340" s="735" t="s">
        <v>201</v>
      </c>
      <c r="O340" s="914"/>
    </row>
    <row r="341" spans="1:15" ht="12.75" hidden="1">
      <c r="A341" s="315"/>
      <c r="B341" s="190">
        <f>SUBTOTAL(102,G$15:G341)</f>
        <v>161</v>
      </c>
      <c r="C341" s="702">
        <v>183403161</v>
      </c>
      <c r="D341" s="674" t="s">
        <v>74</v>
      </c>
      <c r="E341" s="698" t="s">
        <v>99</v>
      </c>
      <c r="F341" s="207">
        <f>F336</f>
        <v>0</v>
      </c>
      <c r="G341" s="470">
        <v>0.06</v>
      </c>
      <c r="H341" s="321"/>
      <c r="I341" s="193">
        <f t="shared" si="30"/>
        <v>0</v>
      </c>
      <c r="J341" s="322"/>
      <c r="K341" s="322"/>
      <c r="L341" s="197"/>
      <c r="M341" s="197"/>
      <c r="N341" s="114"/>
      <c r="O341" s="914"/>
    </row>
    <row r="342" spans="1:15" ht="12.75" hidden="1">
      <c r="A342" s="315"/>
      <c r="B342" s="190">
        <f>SUBTOTAL(102,G$15:G342)</f>
        <v>161</v>
      </c>
      <c r="C342" s="702"/>
      <c r="D342" s="239" t="s">
        <v>173</v>
      </c>
      <c r="E342" s="517" t="s">
        <v>99</v>
      </c>
      <c r="F342" s="207">
        <f>F336</f>
        <v>0</v>
      </c>
      <c r="G342" s="716">
        <v>0.93</v>
      </c>
      <c r="H342" s="321"/>
      <c r="I342" s="193">
        <f>ROUND(ROUND(G342,2)*ROUND(F342,2),2)</f>
        <v>0</v>
      </c>
      <c r="J342" s="322"/>
      <c r="K342" s="322"/>
      <c r="L342" s="197"/>
      <c r="M342" s="197"/>
      <c r="N342" s="114"/>
      <c r="O342" s="914"/>
    </row>
    <row r="343" spans="1:15" ht="30" hidden="1">
      <c r="A343" s="315"/>
      <c r="B343" s="190">
        <f>SUBTOTAL(102,G$15:G343)</f>
        <v>161</v>
      </c>
      <c r="C343" s="702">
        <v>180405112</v>
      </c>
      <c r="D343" s="239" t="s">
        <v>175</v>
      </c>
      <c r="E343" s="517" t="s">
        <v>99</v>
      </c>
      <c r="F343" s="207">
        <f>F337</f>
        <v>0</v>
      </c>
      <c r="G343" s="716">
        <v>3.26</v>
      </c>
      <c r="H343" s="321"/>
      <c r="I343" s="193">
        <f>ROUND(ROUND(G343,2)*ROUND(F343,2),2)</f>
        <v>0</v>
      </c>
      <c r="J343" s="322"/>
      <c r="K343" s="322"/>
      <c r="L343" s="197"/>
      <c r="M343" s="197"/>
      <c r="N343" s="386" t="s">
        <v>81</v>
      </c>
      <c r="O343" s="914"/>
    </row>
    <row r="344" spans="1:15" ht="12.75" hidden="1">
      <c r="A344" s="315"/>
      <c r="B344" s="190">
        <f>SUBTOTAL(102,G$15:G344)</f>
        <v>161</v>
      </c>
      <c r="C344" s="702">
        <v>185851111</v>
      </c>
      <c r="D344" s="674" t="s">
        <v>106</v>
      </c>
      <c r="E344" s="517" t="s">
        <v>99</v>
      </c>
      <c r="F344" s="207">
        <f>F336</f>
        <v>0</v>
      </c>
      <c r="G344" s="679">
        <v>0.11</v>
      </c>
      <c r="H344" s="321"/>
      <c r="I344" s="193">
        <f t="shared" si="30"/>
        <v>0</v>
      </c>
      <c r="J344" s="322"/>
      <c r="K344" s="322"/>
      <c r="L344" s="197"/>
      <c r="M344" s="197"/>
      <c r="N344" s="114"/>
      <c r="O344" s="914"/>
    </row>
    <row r="345" spans="1:15" ht="13.5" hidden="1" thickBot="1">
      <c r="A345" s="315"/>
      <c r="B345" s="167">
        <f>SUBTOTAL(102,G$15:G345)</f>
        <v>161</v>
      </c>
      <c r="C345" s="711">
        <v>185804312</v>
      </c>
      <c r="D345" s="712" t="s">
        <v>107</v>
      </c>
      <c r="E345" s="532" t="s">
        <v>99</v>
      </c>
      <c r="F345" s="558">
        <f>F336</f>
        <v>0</v>
      </c>
      <c r="G345" s="684">
        <v>0.05</v>
      </c>
      <c r="H345" s="685"/>
      <c r="I345" s="172">
        <f t="shared" si="30"/>
        <v>0</v>
      </c>
      <c r="J345" s="686"/>
      <c r="K345" s="686"/>
      <c r="L345" s="197"/>
      <c r="M345" s="197"/>
      <c r="N345" s="114"/>
      <c r="O345" s="914"/>
    </row>
    <row r="346" spans="1:15" s="222" customFormat="1" ht="12.75" hidden="1">
      <c r="A346" s="116"/>
      <c r="B346" s="736">
        <f>SUBTOTAL(102,G$15:G346)</f>
        <v>161</v>
      </c>
      <c r="C346" s="737" t="s">
        <v>43</v>
      </c>
      <c r="D346" s="738" t="s">
        <v>185</v>
      </c>
      <c r="E346" s="739" t="s">
        <v>47</v>
      </c>
      <c r="F346" s="740">
        <f>(F336*0.05)*1.4</f>
        <v>0</v>
      </c>
      <c r="G346" s="741">
        <v>3</v>
      </c>
      <c r="H346" s="742">
        <f>ROUND(ROUND(G346,2)*ROUND(F346,2),2)</f>
        <v>0</v>
      </c>
      <c r="I346" s="742"/>
      <c r="J346" s="737">
        <v>1</v>
      </c>
      <c r="K346" s="743">
        <f>J346*F346</f>
        <v>0</v>
      </c>
      <c r="L346" s="164"/>
      <c r="M346" s="164"/>
      <c r="N346" s="744" t="s">
        <v>208</v>
      </c>
      <c r="O346" s="914"/>
    </row>
    <row r="347" spans="1:15" ht="12.75" hidden="1">
      <c r="A347" s="315"/>
      <c r="B347" s="530">
        <f>SUBTOTAL(102,G$15:G347)</f>
        <v>161</v>
      </c>
      <c r="C347" s="515" t="s">
        <v>43</v>
      </c>
      <c r="D347" s="745" t="s">
        <v>186</v>
      </c>
      <c r="E347" s="746" t="s">
        <v>48</v>
      </c>
      <c r="F347" s="558">
        <f>F336*1.1</f>
        <v>0</v>
      </c>
      <c r="G347" s="534">
        <v>10.56</v>
      </c>
      <c r="H347" s="172">
        <f>ROUND(ROUND(G347,2)*ROUND(F347,2),2)</f>
        <v>0</v>
      </c>
      <c r="I347" s="747"/>
      <c r="J347" s="325">
        <v>0.001</v>
      </c>
      <c r="K347" s="280">
        <f>J347*F347</f>
        <v>0</v>
      </c>
      <c r="L347" s="197"/>
      <c r="M347" s="197"/>
      <c r="N347" s="114"/>
      <c r="O347" s="914"/>
    </row>
    <row r="348" spans="1:15" ht="12.75" hidden="1">
      <c r="A348" s="315"/>
      <c r="B348" s="276">
        <f>SUBTOTAL(102,G$15:G348)</f>
        <v>161</v>
      </c>
      <c r="C348" s="488" t="s">
        <v>43</v>
      </c>
      <c r="D348" s="713" t="s">
        <v>80</v>
      </c>
      <c r="E348" s="517" t="s">
        <v>9</v>
      </c>
      <c r="F348" s="207">
        <f>F343*0.03</f>
        <v>0</v>
      </c>
      <c r="G348" s="493">
        <f>4.46+N("cena zo smernice 2012")</f>
        <v>4.46</v>
      </c>
      <c r="H348" s="193">
        <f>ROUND(ROUND(G348,2)*ROUND(F348,2),2)</f>
        <v>0</v>
      </c>
      <c r="I348" s="692"/>
      <c r="J348" s="325">
        <v>0.001</v>
      </c>
      <c r="K348" s="280">
        <f>J348*F348</f>
        <v>0</v>
      </c>
      <c r="L348" s="197"/>
      <c r="M348" s="197"/>
      <c r="N348" s="114"/>
      <c r="O348" s="914"/>
    </row>
    <row r="349" spans="1:15" s="120" customFormat="1" ht="13.5" hidden="1" thickBot="1">
      <c r="A349" s="158"/>
      <c r="B349" s="281">
        <f>SUBTOTAL(102,G$15:G349)</f>
        <v>161</v>
      </c>
      <c r="C349" s="748" t="s">
        <v>43</v>
      </c>
      <c r="D349" s="749" t="s">
        <v>72</v>
      </c>
      <c r="E349" s="750" t="s">
        <v>100</v>
      </c>
      <c r="F349" s="751">
        <f>F336*0.01</f>
        <v>0</v>
      </c>
      <c r="G349" s="752">
        <v>0</v>
      </c>
      <c r="H349" s="286">
        <v>0</v>
      </c>
      <c r="I349" s="286"/>
      <c r="J349" s="748"/>
      <c r="K349" s="289"/>
      <c r="L349" s="164"/>
      <c r="M349" s="164"/>
      <c r="N349" s="641"/>
      <c r="O349" s="914"/>
    </row>
    <row r="350" spans="1:15" s="222" customFormat="1" ht="12.75" hidden="1">
      <c r="A350" s="158"/>
      <c r="B350" s="215"/>
      <c r="C350" s="436"/>
      <c r="D350" s="693" t="s">
        <v>119</v>
      </c>
      <c r="E350" s="538"/>
      <c r="F350" s="538"/>
      <c r="G350" s="539"/>
      <c r="H350" s="538"/>
      <c r="I350" s="538"/>
      <c r="J350" s="538"/>
      <c r="K350" s="540"/>
      <c r="L350" s="165"/>
      <c r="M350" s="165"/>
      <c r="N350" s="418"/>
      <c r="O350" s="914"/>
    </row>
    <row r="351" spans="1:15" ht="10.5" customHeight="1" hidden="1">
      <c r="A351" s="116"/>
      <c r="B351" s="419"/>
      <c r="C351" s="420"/>
      <c r="D351" s="585" t="s">
        <v>113</v>
      </c>
      <c r="E351" s="918">
        <f>SUBTOTAL(109,I335:I345)</f>
        <v>0</v>
      </c>
      <c r="F351" s="918"/>
      <c r="G351" s="918"/>
      <c r="H351" s="918"/>
      <c r="I351" s="918"/>
      <c r="J351" s="422"/>
      <c r="K351" s="423"/>
      <c r="L351" s="164"/>
      <c r="M351" s="164"/>
      <c r="N351" s="114"/>
      <c r="O351" s="914"/>
    </row>
    <row r="352" spans="1:15" ht="10.5" customHeight="1" hidden="1" thickBot="1">
      <c r="A352" s="158"/>
      <c r="B352" s="223"/>
      <c r="C352" s="424"/>
      <c r="D352" s="225" t="s">
        <v>114</v>
      </c>
      <c r="E352" s="919">
        <f>SUBTOTAL(109,H346:H349)</f>
        <v>0</v>
      </c>
      <c r="F352" s="919"/>
      <c r="G352" s="919"/>
      <c r="H352" s="919"/>
      <c r="I352" s="425"/>
      <c r="J352" s="224"/>
      <c r="K352" s="586">
        <f>SUBTOTAL(109,K335:K350)</f>
        <v>0</v>
      </c>
      <c r="L352" s="234"/>
      <c r="M352" s="234"/>
      <c r="N352" s="114"/>
      <c r="O352" s="914"/>
    </row>
    <row r="353" spans="1:15" s="237" customFormat="1" ht="12.75">
      <c r="A353" s="158"/>
      <c r="B353" s="184"/>
      <c r="C353" s="235"/>
      <c r="D353" s="217" t="s">
        <v>122</v>
      </c>
      <c r="E353" s="235"/>
      <c r="F353" s="399"/>
      <c r="G353" s="400"/>
      <c r="H353" s="235"/>
      <c r="I353" s="401"/>
      <c r="J353" s="235"/>
      <c r="K353" s="152"/>
      <c r="L353" s="164"/>
      <c r="M353" s="164"/>
      <c r="N353" s="165"/>
      <c r="O353" s="166"/>
    </row>
    <row r="354" spans="1:15" s="490" customFormat="1" ht="12.75">
      <c r="A354" s="158"/>
      <c r="B354" s="190">
        <f>SUBTOTAL(102,G$15:G354)</f>
        <v>162</v>
      </c>
      <c r="C354" s="753" t="s">
        <v>351</v>
      </c>
      <c r="D354" s="754" t="s">
        <v>353</v>
      </c>
      <c r="E354" s="698" t="s">
        <v>213</v>
      </c>
      <c r="F354" s="650">
        <v>1</v>
      </c>
      <c r="G354" s="755">
        <v>0</v>
      </c>
      <c r="H354" s="651"/>
      <c r="I354" s="193">
        <f>ROUND(ROUND(G354,2)*ROUND(F354,2),2)</f>
        <v>0</v>
      </c>
      <c r="J354" s="325"/>
      <c r="K354" s="325"/>
      <c r="L354" s="107"/>
      <c r="M354" s="107"/>
      <c r="N354" s="756" t="s">
        <v>352</v>
      </c>
      <c r="O354" s="757"/>
    </row>
    <row r="355" spans="1:15" s="175" customFormat="1" ht="22.5">
      <c r="A355" s="105"/>
      <c r="B355" s="190">
        <f>SUBTOTAL(102,G$15:G355)</f>
        <v>163</v>
      </c>
      <c r="C355" s="701">
        <v>182001121</v>
      </c>
      <c r="D355" s="758" t="s">
        <v>369</v>
      </c>
      <c r="E355" s="616" t="s">
        <v>48</v>
      </c>
      <c r="F355" s="249">
        <v>565</v>
      </c>
      <c r="G355" s="86">
        <v>0</v>
      </c>
      <c r="H355" s="759"/>
      <c r="I355" s="193">
        <f aca="true" t="shared" si="31" ref="I355:I360">ROUND(ROUND(G355,2)*ROUND(F355,2),2)</f>
        <v>0</v>
      </c>
      <c r="J355" s="759"/>
      <c r="K355" s="759"/>
      <c r="L355" s="107"/>
      <c r="M355" s="107"/>
      <c r="N355" s="196" t="s">
        <v>271</v>
      </c>
      <c r="O355" s="760" t="s">
        <v>294</v>
      </c>
    </row>
    <row r="356" spans="1:15" s="175" customFormat="1" ht="11.25">
      <c r="A356" s="105"/>
      <c r="B356" s="190">
        <f>SUBTOTAL(102,G$15:G356)</f>
        <v>164</v>
      </c>
      <c r="C356" s="468">
        <v>185851111</v>
      </c>
      <c r="D356" s="672" t="s">
        <v>108</v>
      </c>
      <c r="E356" s="463" t="s">
        <v>100</v>
      </c>
      <c r="F356" s="640">
        <f>F255+F204+F167+F133</f>
        <v>4.1899999999999995</v>
      </c>
      <c r="G356" s="470">
        <v>0</v>
      </c>
      <c r="H356" s="192"/>
      <c r="I356" s="193">
        <f t="shared" si="31"/>
        <v>0</v>
      </c>
      <c r="J356" s="192"/>
      <c r="K356" s="192"/>
      <c r="L356" s="107"/>
      <c r="M356" s="107"/>
      <c r="N356" s="105"/>
      <c r="O356" s="111"/>
    </row>
    <row r="357" spans="1:15" s="490" customFormat="1" ht="12.75">
      <c r="A357" s="158"/>
      <c r="B357" s="190">
        <f>SUBTOTAL(102,G$15:G357)</f>
        <v>165</v>
      </c>
      <c r="C357" s="761"/>
      <c r="D357" s="762" t="s">
        <v>30</v>
      </c>
      <c r="E357" s="517" t="s">
        <v>36</v>
      </c>
      <c r="F357" s="650">
        <v>1</v>
      </c>
      <c r="G357" s="842">
        <v>0</v>
      </c>
      <c r="H357" s="651"/>
      <c r="I357" s="193">
        <f t="shared" si="31"/>
        <v>0</v>
      </c>
      <c r="J357" s="325"/>
      <c r="K357" s="325"/>
      <c r="L357" s="107"/>
      <c r="M357" s="107"/>
      <c r="N357" s="763">
        <v>33</v>
      </c>
      <c r="O357" s="764">
        <v>7</v>
      </c>
    </row>
    <row r="358" spans="1:15" s="175" customFormat="1" ht="22.5">
      <c r="A358" s="105"/>
      <c r="B358" s="190">
        <f>SUBTOTAL(102,G$15:G358)</f>
        <v>166</v>
      </c>
      <c r="C358" s="468">
        <v>162701105</v>
      </c>
      <c r="D358" s="466" t="s">
        <v>110</v>
      </c>
      <c r="E358" s="463" t="s">
        <v>100</v>
      </c>
      <c r="F358" s="207">
        <f>(F198+F158+F127)/1.4</f>
        <v>1.5682000000000003</v>
      </c>
      <c r="G358" s="470">
        <v>0</v>
      </c>
      <c r="H358" s="759"/>
      <c r="I358" s="193">
        <f t="shared" si="31"/>
        <v>0</v>
      </c>
      <c r="J358" s="759"/>
      <c r="K358" s="759"/>
      <c r="L358" s="107"/>
      <c r="M358" s="107"/>
      <c r="N358" s="105"/>
      <c r="O358" s="111"/>
    </row>
    <row r="359" spans="1:15" s="175" customFormat="1" ht="11.25">
      <c r="A359" s="105"/>
      <c r="B359" s="190">
        <f>SUBTOTAL(102,G$15:G359)</f>
        <v>167</v>
      </c>
      <c r="C359" s="468"/>
      <c r="D359" s="674" t="s">
        <v>53</v>
      </c>
      <c r="E359" s="463" t="s">
        <v>100</v>
      </c>
      <c r="F359" s="207">
        <f>(F358)*(L359-10)</f>
        <v>-15.682000000000002</v>
      </c>
      <c r="G359" s="470">
        <v>0</v>
      </c>
      <c r="H359" s="192"/>
      <c r="I359" s="193">
        <f t="shared" si="31"/>
        <v>0</v>
      </c>
      <c r="J359" s="192"/>
      <c r="K359" s="192"/>
      <c r="L359" s="699"/>
      <c r="M359" s="105"/>
      <c r="N359" s="105"/>
      <c r="O359" s="111"/>
    </row>
    <row r="360" spans="1:15" s="222" customFormat="1" ht="13.5" thickBot="1">
      <c r="A360" s="765"/>
      <c r="B360" s="190">
        <f>SUBTOTAL(102,G$15:G360)</f>
        <v>168</v>
      </c>
      <c r="C360" s="766">
        <v>998231311</v>
      </c>
      <c r="D360" s="767" t="s">
        <v>7</v>
      </c>
      <c r="E360" s="768" t="s">
        <v>47</v>
      </c>
      <c r="F360" s="769">
        <f>K361</f>
        <v>184.828695</v>
      </c>
      <c r="G360" s="330">
        <v>0</v>
      </c>
      <c r="H360" s="770"/>
      <c r="I360" s="172">
        <f t="shared" si="31"/>
        <v>0</v>
      </c>
      <c r="J360" s="499"/>
      <c r="K360" s="500"/>
      <c r="L360" s="164"/>
      <c r="M360" s="164"/>
      <c r="N360" s="114"/>
      <c r="O360" s="111"/>
    </row>
    <row r="361" spans="1:15" ht="10.5" customHeight="1" thickBot="1">
      <c r="A361" s="116"/>
      <c r="B361" s="771"/>
      <c r="C361" s="772"/>
      <c r="D361" s="773" t="s">
        <v>45</v>
      </c>
      <c r="E361" s="940">
        <f>SUBTOTAL(109,I353:I360)</f>
        <v>0</v>
      </c>
      <c r="F361" s="940"/>
      <c r="G361" s="940"/>
      <c r="H361" s="940"/>
      <c r="I361" s="940"/>
      <c r="J361" s="774"/>
      <c r="K361" s="775">
        <f>SUBTOTAL(109,K115:K360)</f>
        <v>184.828695</v>
      </c>
      <c r="L361" s="164"/>
      <c r="M361" s="164"/>
      <c r="N361" s="114"/>
      <c r="O361" s="111"/>
    </row>
    <row r="362" spans="1:15" s="435" customFormat="1" ht="10.5" customHeight="1" thickBot="1">
      <c r="A362" s="158"/>
      <c r="B362" s="776"/>
      <c r="C362" s="234"/>
      <c r="D362" s="777"/>
      <c r="E362" s="432"/>
      <c r="F362" s="432"/>
      <c r="G362" s="431"/>
      <c r="H362" s="432"/>
      <c r="I362" s="432"/>
      <c r="J362" s="778"/>
      <c r="K362" s="431"/>
      <c r="L362" s="234"/>
      <c r="M362" s="234"/>
      <c r="N362" s="433"/>
      <c r="O362" s="434"/>
    </row>
    <row r="363" spans="1:15" s="222" customFormat="1" ht="12.75">
      <c r="A363" s="158"/>
      <c r="B363" s="779"/>
      <c r="C363" s="436"/>
      <c r="D363" s="780" t="s">
        <v>120</v>
      </c>
      <c r="E363" s="538"/>
      <c r="F363" s="538"/>
      <c r="G363" s="539"/>
      <c r="H363" s="538"/>
      <c r="I363" s="538"/>
      <c r="J363" s="538"/>
      <c r="K363" s="540"/>
      <c r="L363" s="165"/>
      <c r="M363" s="165"/>
      <c r="N363" s="418"/>
      <c r="O363" s="111"/>
    </row>
    <row r="364" spans="1:15" ht="10.5" customHeight="1">
      <c r="A364" s="158"/>
      <c r="B364" s="442"/>
      <c r="C364" s="443"/>
      <c r="D364" s="781" t="s">
        <v>45</v>
      </c>
      <c r="E364" s="936">
        <f>SUBTOTAL(109,I115:I363)</f>
        <v>0</v>
      </c>
      <c r="F364" s="936"/>
      <c r="G364" s="936"/>
      <c r="H364" s="936"/>
      <c r="I364" s="936"/>
      <c r="J364" s="445"/>
      <c r="K364" s="446"/>
      <c r="L364" s="164"/>
      <c r="M364" s="164"/>
      <c r="N364" s="114"/>
      <c r="O364" s="111"/>
    </row>
    <row r="365" spans="1:15" ht="10.5" customHeight="1">
      <c r="A365" s="158"/>
      <c r="B365" s="442"/>
      <c r="C365" s="782"/>
      <c r="D365" s="781" t="s">
        <v>51</v>
      </c>
      <c r="E365" s="961">
        <f>SUBTOTAL(109,H115:H363)-E366</f>
        <v>0</v>
      </c>
      <c r="F365" s="961"/>
      <c r="G365" s="961"/>
      <c r="H365" s="961"/>
      <c r="I365" s="783"/>
      <c r="J365" s="443"/>
      <c r="K365" s="784"/>
      <c r="L365" s="234"/>
      <c r="M365" s="234"/>
      <c r="N365" s="114"/>
      <c r="O365" s="111"/>
    </row>
    <row r="366" spans="1:15" ht="10.5" customHeight="1" thickBot="1">
      <c r="A366" s="158"/>
      <c r="B366" s="447"/>
      <c r="C366" s="448"/>
      <c r="D366" s="449" t="s">
        <v>121</v>
      </c>
      <c r="E366" s="941">
        <f>E274+E229+E180+E144</f>
        <v>0</v>
      </c>
      <c r="F366" s="941"/>
      <c r="G366" s="941"/>
      <c r="H366" s="941"/>
      <c r="I366" s="450"/>
      <c r="J366" s="451"/>
      <c r="K366" s="452"/>
      <c r="L366" s="234"/>
      <c r="M366" s="234"/>
      <c r="N366" s="114"/>
      <c r="O366" s="111"/>
    </row>
    <row r="367" spans="1:15" ht="13.5" thickBot="1">
      <c r="A367" s="785"/>
      <c r="B367" s="353"/>
      <c r="C367" s="786"/>
      <c r="D367" s="787"/>
      <c r="E367" s="788"/>
      <c r="F367" s="789"/>
      <c r="G367" s="790"/>
      <c r="H367" s="791"/>
      <c r="I367" s="792"/>
      <c r="J367" s="793"/>
      <c r="K367" s="794"/>
      <c r="L367" s="795"/>
      <c r="M367" s="795"/>
      <c r="N367" s="114"/>
      <c r="O367" s="796"/>
    </row>
    <row r="368" spans="1:15" ht="12.75">
      <c r="A368" s="105"/>
      <c r="B368" s="797"/>
      <c r="C368" s="798"/>
      <c r="D368" s="799" t="s">
        <v>286</v>
      </c>
      <c r="E368" s="965">
        <f>SUBTOTAL(109,H14:I361)</f>
        <v>0</v>
      </c>
      <c r="F368" s="966"/>
      <c r="G368" s="966"/>
      <c r="H368" s="967"/>
      <c r="I368" s="800" t="s">
        <v>44</v>
      </c>
      <c r="J368" s="801"/>
      <c r="K368" s="802"/>
      <c r="L368" s="107"/>
      <c r="M368" s="107"/>
      <c r="N368" s="114"/>
      <c r="O368" s="111"/>
    </row>
    <row r="369" spans="1:15" ht="12.75">
      <c r="A369" s="105"/>
      <c r="B369" s="803"/>
      <c r="C369" s="804"/>
      <c r="D369" s="805" t="s">
        <v>95</v>
      </c>
      <c r="E369" s="942">
        <f>E368*0.2</f>
        <v>0</v>
      </c>
      <c r="F369" s="943"/>
      <c r="G369" s="943"/>
      <c r="H369" s="944"/>
      <c r="I369" s="806" t="s">
        <v>44</v>
      </c>
      <c r="J369" s="807"/>
      <c r="K369" s="808"/>
      <c r="L369" s="107"/>
      <c r="M369" s="107"/>
      <c r="N369" s="114"/>
      <c r="O369" s="111"/>
    </row>
    <row r="370" spans="1:15" ht="13.5" thickBot="1">
      <c r="A370" s="105"/>
      <c r="B370" s="809"/>
      <c r="C370" s="810"/>
      <c r="D370" s="811" t="s">
        <v>42</v>
      </c>
      <c r="E370" s="937">
        <f>E368*1.2</f>
        <v>0</v>
      </c>
      <c r="F370" s="938"/>
      <c r="G370" s="938"/>
      <c r="H370" s="939"/>
      <c r="I370" s="812" t="s">
        <v>44</v>
      </c>
      <c r="J370" s="810"/>
      <c r="K370" s="813"/>
      <c r="L370" s="107"/>
      <c r="M370" s="107"/>
      <c r="N370" s="114"/>
      <c r="O370" s="111"/>
    </row>
    <row r="371" spans="1:13" ht="13.5" thickBot="1">
      <c r="A371" s="157"/>
      <c r="B371" s="814"/>
      <c r="C371" s="815"/>
      <c r="D371" s="816"/>
      <c r="E371" s="817"/>
      <c r="F371" s="818"/>
      <c r="G371" s="819"/>
      <c r="H371" s="820"/>
      <c r="I371" s="821"/>
      <c r="J371" s="817"/>
      <c r="K371" s="822"/>
      <c r="L371" s="823"/>
      <c r="M371" s="823"/>
    </row>
    <row r="372" spans="1:15" s="828" customFormat="1" ht="23.25">
      <c r="A372" s="198"/>
      <c r="B372" s="962" t="s">
        <v>368</v>
      </c>
      <c r="C372" s="963"/>
      <c r="D372" s="963"/>
      <c r="E372" s="963"/>
      <c r="F372" s="963"/>
      <c r="G372" s="963"/>
      <c r="H372" s="963"/>
      <c r="I372" s="963"/>
      <c r="J372" s="963"/>
      <c r="K372" s="963"/>
      <c r="L372" s="825"/>
      <c r="M372" s="825"/>
      <c r="N372" s="826" t="s">
        <v>176</v>
      </c>
      <c r="O372" s="827"/>
    </row>
    <row r="373" spans="1:13" ht="12.75">
      <c r="A373" s="157"/>
      <c r="B373" s="829"/>
      <c r="C373" s="830"/>
      <c r="D373" s="830"/>
      <c r="E373" s="831"/>
      <c r="F373" s="832"/>
      <c r="G373" s="833"/>
      <c r="H373" s="834"/>
      <c r="I373" s="834"/>
      <c r="J373" s="834"/>
      <c r="K373" s="835"/>
      <c r="L373" s="823"/>
      <c r="M373" s="823"/>
    </row>
    <row r="374" spans="2:3" ht="12.75">
      <c r="B374" s="959"/>
      <c r="C374" s="960"/>
    </row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</sheetData>
  <sheetProtection password="C22D" sheet="1" selectLockedCells="1"/>
  <mergeCells count="74">
    <mergeCell ref="E273:H273"/>
    <mergeCell ref="E274:H274"/>
    <mergeCell ref="M245:M247"/>
    <mergeCell ref="M257:M258"/>
    <mergeCell ref="E312:I312"/>
    <mergeCell ref="M175:M176"/>
    <mergeCell ref="M194:M196"/>
    <mergeCell ref="M206:M207"/>
    <mergeCell ref="E229:H229"/>
    <mergeCell ref="E142:I142"/>
    <mergeCell ref="E143:H143"/>
    <mergeCell ref="N257:N264"/>
    <mergeCell ref="M259:M260"/>
    <mergeCell ref="M261:M262"/>
    <mergeCell ref="M263:M264"/>
    <mergeCell ref="N169:N176"/>
    <mergeCell ref="M169:M170"/>
    <mergeCell ref="M171:M172"/>
    <mergeCell ref="M173:M174"/>
    <mergeCell ref="E108:I108"/>
    <mergeCell ref="E109:H109"/>
    <mergeCell ref="H9:I10"/>
    <mergeCell ref="B9:B11"/>
    <mergeCell ref="E35:I35"/>
    <mergeCell ref="E36:H36"/>
    <mergeCell ref="E112:I112"/>
    <mergeCell ref="E113:H113"/>
    <mergeCell ref="B374:C374"/>
    <mergeCell ref="E292:H292"/>
    <mergeCell ref="E291:I291"/>
    <mergeCell ref="E365:H365"/>
    <mergeCell ref="B372:K372"/>
    <mergeCell ref="E144:H144"/>
    <mergeCell ref="E178:I178"/>
    <mergeCell ref="E368:H368"/>
    <mergeCell ref="B4:K4"/>
    <mergeCell ref="B7:H7"/>
    <mergeCell ref="C9:C11"/>
    <mergeCell ref="F9:F11"/>
    <mergeCell ref="G9:G11"/>
    <mergeCell ref="B2:I2"/>
    <mergeCell ref="B3:I3"/>
    <mergeCell ref="B5:I5"/>
    <mergeCell ref="B6:I6"/>
    <mergeCell ref="E364:I364"/>
    <mergeCell ref="E370:H370"/>
    <mergeCell ref="E361:I361"/>
    <mergeCell ref="E366:H366"/>
    <mergeCell ref="E369:H369"/>
    <mergeCell ref="E179:H179"/>
    <mergeCell ref="E180:H180"/>
    <mergeCell ref="E333:I333"/>
    <mergeCell ref="E334:H334"/>
    <mergeCell ref="E272:I272"/>
    <mergeCell ref="M135:M136"/>
    <mergeCell ref="M137:M138"/>
    <mergeCell ref="M139:M140"/>
    <mergeCell ref="N120:N122"/>
    <mergeCell ref="N149:N151"/>
    <mergeCell ref="N135:N140"/>
    <mergeCell ref="N206:N219"/>
    <mergeCell ref="M214:M215"/>
    <mergeCell ref="M216:M217"/>
    <mergeCell ref="M218:M219"/>
    <mergeCell ref="E227:I227"/>
    <mergeCell ref="E228:H228"/>
    <mergeCell ref="O335:O352"/>
    <mergeCell ref="N301:N302"/>
    <mergeCell ref="N322:N323"/>
    <mergeCell ref="O317:O319"/>
    <mergeCell ref="O296:O298"/>
    <mergeCell ref="E351:I351"/>
    <mergeCell ref="E352:H352"/>
    <mergeCell ref="E313:H313"/>
  </mergeCells>
  <conditionalFormatting sqref="C295">
    <cfRule type="duplicateValues" priority="163" dxfId="0">
      <formula>AND(COUNTIF($C$295:$C$295,C295)&gt;1,NOT(ISBLANK(C295)))</formula>
    </cfRule>
  </conditionalFormatting>
  <conditionalFormatting sqref="C296">
    <cfRule type="duplicateValues" priority="162" dxfId="0">
      <formula>AND(COUNTIF($C$296:$C$296,C296)&gt;1,NOT(ISBLANK(C296)))</formula>
    </cfRule>
  </conditionalFormatting>
  <conditionalFormatting sqref="C297">
    <cfRule type="duplicateValues" priority="161" dxfId="0">
      <formula>AND(COUNTIF($C$297:$C$297,C297)&gt;1,NOT(ISBLANK(C297)))</formula>
    </cfRule>
  </conditionalFormatting>
  <conditionalFormatting sqref="C149">
    <cfRule type="duplicateValues" priority="150" dxfId="0">
      <formula>AND(COUNTIF($C$149:$C$149,C149)&gt;1,NOT(ISBLANK(C149)))</formula>
    </cfRule>
  </conditionalFormatting>
  <conditionalFormatting sqref="C148">
    <cfRule type="duplicateValues" priority="149" dxfId="0">
      <formula>AND(COUNTIF($C$148:$C$148,C148)&gt;1,NOT(ISBLANK(C148)))</formula>
    </cfRule>
  </conditionalFormatting>
  <conditionalFormatting sqref="C151">
    <cfRule type="duplicateValues" priority="148" dxfId="0">
      <formula>AND(COUNTIF($C$151:$C$151,C151)&gt;1,NOT(ISBLANK(C151)))</formula>
    </cfRule>
  </conditionalFormatting>
  <conditionalFormatting sqref="C146">
    <cfRule type="duplicateValues" priority="146" dxfId="0">
      <formula>AND(COUNTIF($C$146:$C$146,C146)&gt;1,NOT(ISBLANK(C146)))</formula>
    </cfRule>
  </conditionalFormatting>
  <conditionalFormatting sqref="C120">
    <cfRule type="duplicateValues" priority="143" dxfId="0">
      <formula>AND(COUNTIF($C$120:$C$120,C120)&gt;1,NOT(ISBLANK(C120)))</formula>
    </cfRule>
  </conditionalFormatting>
  <conditionalFormatting sqref="C119">
    <cfRule type="duplicateValues" priority="142" dxfId="0">
      <formula>AND(COUNTIF($C$119:$C$119,C119)&gt;1,NOT(ISBLANK(C119)))</formula>
    </cfRule>
  </conditionalFormatting>
  <conditionalFormatting sqref="C122">
    <cfRule type="duplicateValues" priority="141" dxfId="0">
      <formula>AND(COUNTIF($C$122:$C$122,C122)&gt;1,NOT(ISBLANK(C122)))</formula>
    </cfRule>
  </conditionalFormatting>
  <conditionalFormatting sqref="C117">
    <cfRule type="duplicateValues" priority="140" dxfId="0">
      <formula>AND(COUNTIF($C$117:$C$117,C117)&gt;1,NOT(ISBLANK(C117)))</formula>
    </cfRule>
  </conditionalFormatting>
  <conditionalFormatting sqref="C184">
    <cfRule type="duplicateValues" priority="57" dxfId="0">
      <formula>AND(COUNTIF($C$184:$C$184,C184)&gt;1,NOT(ISBLANK(C184)))</formula>
    </cfRule>
  </conditionalFormatting>
  <conditionalFormatting sqref="C186">
    <cfRule type="duplicateValues" priority="56" dxfId="0">
      <formula>AND(COUNTIF($C$186:$C$186,C186)&gt;1,NOT(ISBLANK(C186)))</formula>
    </cfRule>
  </conditionalFormatting>
  <conditionalFormatting sqref="C192">
    <cfRule type="duplicateValues" priority="55" dxfId="0">
      <formula>AND(COUNTIF($C$192:$C$192,C192)&gt;1,NOT(ISBLANK(C192)))</formula>
    </cfRule>
  </conditionalFormatting>
  <conditionalFormatting sqref="C187">
    <cfRule type="duplicateValues" priority="54" dxfId="0">
      <formula>AND(COUNTIF($C$187:$C$187,C187)&gt;1,NOT(ISBLANK(C187)))</formula>
    </cfRule>
  </conditionalFormatting>
  <conditionalFormatting sqref="C193">
    <cfRule type="duplicateValues" priority="53" dxfId="0">
      <formula>AND(COUNTIF($C$193:$C$193,C193)&gt;1,NOT(ISBLANK(C193)))</formula>
    </cfRule>
  </conditionalFormatting>
  <conditionalFormatting sqref="C188">
    <cfRule type="duplicateValues" priority="52" dxfId="0">
      <formula>AND(COUNTIF($C$188:$C$188,C188)&gt;1,NOT(ISBLANK(C188)))</formula>
    </cfRule>
  </conditionalFormatting>
  <conditionalFormatting sqref="C189">
    <cfRule type="duplicateValues" priority="51" dxfId="0">
      <formula>AND(COUNTIF($C$189:$C$189,C189)&gt;1,NOT(ISBLANK(C189)))</formula>
    </cfRule>
  </conditionalFormatting>
  <conditionalFormatting sqref="C191">
    <cfRule type="duplicateValues" priority="58" dxfId="0">
      <formula>AND(COUNTIF($C$191:$C$191,C191)&gt;1,NOT(ISBLANK(C191)))</formula>
    </cfRule>
  </conditionalFormatting>
  <conditionalFormatting sqref="C185">
    <cfRule type="duplicateValues" priority="50" dxfId="0">
      <formula>AND(COUNTIF($C$185:$C$185,C185)&gt;1,NOT(ISBLANK(C185)))</formula>
    </cfRule>
  </conditionalFormatting>
  <conditionalFormatting sqref="C235">
    <cfRule type="duplicateValues" priority="39" dxfId="0">
      <formula>AND(COUNTIF($C$235:$C$235,C235)&gt;1,NOT(ISBLANK(C235)))</formula>
    </cfRule>
  </conditionalFormatting>
  <conditionalFormatting sqref="C237">
    <cfRule type="duplicateValues" priority="38" dxfId="0">
      <formula>AND(COUNTIF($C$237:$C$237,C237)&gt;1,NOT(ISBLANK(C237)))</formula>
    </cfRule>
  </conditionalFormatting>
  <conditionalFormatting sqref="C243">
    <cfRule type="duplicateValues" priority="37" dxfId="0">
      <formula>AND(COUNTIF($C$243:$C$243,C243)&gt;1,NOT(ISBLANK(C243)))</formula>
    </cfRule>
  </conditionalFormatting>
  <conditionalFormatting sqref="C238">
    <cfRule type="duplicateValues" priority="36" dxfId="0">
      <formula>AND(COUNTIF($C$238:$C$238,C238)&gt;1,NOT(ISBLANK(C238)))</formula>
    </cfRule>
  </conditionalFormatting>
  <conditionalFormatting sqref="C244">
    <cfRule type="duplicateValues" priority="35" dxfId="0">
      <formula>AND(COUNTIF($C$244:$C$244,C244)&gt;1,NOT(ISBLANK(C244)))</formula>
    </cfRule>
  </conditionalFormatting>
  <conditionalFormatting sqref="C239">
    <cfRule type="duplicateValues" priority="34" dxfId="0">
      <formula>AND(COUNTIF($C$239:$C$239,C239)&gt;1,NOT(ISBLANK(C239)))</formula>
    </cfRule>
  </conditionalFormatting>
  <conditionalFormatting sqref="C240">
    <cfRule type="duplicateValues" priority="33" dxfId="0">
      <formula>AND(COUNTIF($C$240:$C$240,C240)&gt;1,NOT(ISBLANK(C240)))</formula>
    </cfRule>
  </conditionalFormatting>
  <conditionalFormatting sqref="C242">
    <cfRule type="duplicateValues" priority="40" dxfId="0">
      <formula>AND(COUNTIF($C$242:$C$242,C242)&gt;1,NOT(ISBLANK(C242)))</formula>
    </cfRule>
  </conditionalFormatting>
  <conditionalFormatting sqref="C236">
    <cfRule type="duplicateValues" priority="32" dxfId="0">
      <formula>AND(COUNTIF($C$236:$C$236,C236)&gt;1,NOT(ISBLANK(C236)))</formula>
    </cfRule>
  </conditionalFormatting>
  <conditionalFormatting sqref="C232">
    <cfRule type="duplicateValues" priority="31" dxfId="0">
      <formula>AND(COUNTIF($C$232:$C$232,C232)&gt;1,NOT(ISBLANK(C232)))</formula>
    </cfRule>
  </conditionalFormatting>
  <conditionalFormatting sqref="C233">
    <cfRule type="duplicateValues" priority="30" dxfId="0">
      <formula>AND(COUNTIF($C$233:$C$233,C233)&gt;1,NOT(ISBLANK(C233)))</formula>
    </cfRule>
  </conditionalFormatting>
  <conditionalFormatting sqref="C234">
    <cfRule type="duplicateValues" priority="29" dxfId="0">
      <formula>AND(COUNTIF($C$234:$C$234,C234)&gt;1,NOT(ISBLANK(C234)))</formula>
    </cfRule>
  </conditionalFormatting>
  <conditionalFormatting sqref="C316">
    <cfRule type="duplicateValues" priority="11" dxfId="0">
      <formula>AND(COUNTIF($C$316:$C$316,C316)&gt;1,NOT(ISBLANK(C316)))</formula>
    </cfRule>
  </conditionalFormatting>
  <conditionalFormatting sqref="C317">
    <cfRule type="duplicateValues" priority="10" dxfId="0">
      <formula>AND(COUNTIF($C$317:$C$317,C317)&gt;1,NOT(ISBLANK(C317)))</formula>
    </cfRule>
  </conditionalFormatting>
  <conditionalFormatting sqref="C318">
    <cfRule type="duplicateValues" priority="9" dxfId="0">
      <formula>AND(COUNTIF($C$318:$C$318,C318)&gt;1,NOT(ISBLANK(C318)))</formula>
    </cfRule>
  </conditionalFormatting>
  <conditionalFormatting sqref="C337">
    <cfRule type="duplicateValues" priority="7" dxfId="0">
      <formula>AND(COUNTIF($C$337:$C$337,C337)&gt;1,NOT(ISBLANK(C337)))</formula>
    </cfRule>
  </conditionalFormatting>
  <conditionalFormatting sqref="C323">
    <cfRule type="duplicateValues" priority="3" dxfId="0">
      <formula>AND(COUNTIF($C$323:$C$323,C323)&gt;1,NOT(ISBLANK(C323)))</formula>
    </cfRule>
  </conditionalFormatting>
  <conditionalFormatting sqref="C302">
    <cfRule type="duplicateValues" priority="2" dxfId="0">
      <formula>AND(COUNTIF($C$302:$C$302,C302)&gt;1,NOT(ISBLANK(C302)))</formula>
    </cfRule>
  </conditionalFormatting>
  <conditionalFormatting sqref="C355">
    <cfRule type="duplicateValues" priority="1" dxfId="0">
      <formula>AND(COUNTIF($C$355:$C$355,C355)&gt;1,NOT(ISBLANK(C355)))</formula>
    </cfRule>
  </conditionalFormatting>
  <printOptions horizontalCentered="1"/>
  <pageMargins left="0.3937007874015748" right="0.1968503937007874" top="0.1968503937007874" bottom="0.3937007874015748" header="0.11811023622047245" footer="0.1968503937007874"/>
  <pageSetup fitToHeight="0" fitToWidth="1" horizontalDpi="600" verticalDpi="600" orientation="landscape" paperSize="9" r:id="rId3"/>
  <headerFooter alignWithMargins="0">
    <oddFooter>&amp;RStrana &amp;P z &amp;N</oddFooter>
  </headerFooter>
  <rowBreaks count="3" manualBreakCount="3">
    <brk id="32" min="1" max="10" man="1"/>
    <brk id="92" min="1" max="10" man="1"/>
    <brk id="326" min="1" max="10" man="1"/>
  </rowBreaks>
  <ignoredErrors>
    <ignoredError sqref="B276:B286 B146:B166 B117:B139 F120:F122 F149 B266 B269 B231:B263 B16:B33 F161:F166 F159 B103:B104 B169:B175 F151:F157 B182:B229 F189:F193 F196 B99:B100 B74:B84 B69:B72 B38:B67 B86:B97" formulaRange="1"/>
    <ignoredError sqref="O14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L28"/>
  <sheetViews>
    <sheetView showGridLines="0" tabSelected="1" zoomScalePageLayoutView="0" workbookViewId="0" topLeftCell="A4">
      <selection activeCell="R17" sqref="R17"/>
    </sheetView>
  </sheetViews>
  <sheetFormatPr defaultColWidth="11.57421875" defaultRowHeight="13.5" customHeight="1"/>
  <cols>
    <col min="1" max="1" width="0.71875" style="979" customWidth="1"/>
    <col min="2" max="2" width="3.7109375" style="979" customWidth="1"/>
    <col min="3" max="3" width="6.8515625" style="979" customWidth="1"/>
    <col min="4" max="6" width="14.00390625" style="979" customWidth="1"/>
    <col min="7" max="7" width="3.8515625" style="979" customWidth="1"/>
    <col min="8" max="8" width="22.7109375" style="979" customWidth="1"/>
    <col min="9" max="9" width="14.00390625" style="979" customWidth="1"/>
    <col min="10" max="10" width="4.28125" style="979" customWidth="1"/>
    <col min="11" max="11" width="17.421875" style="979" customWidth="1"/>
    <col min="12" max="12" width="11.421875" style="979" customWidth="1"/>
    <col min="13" max="13" width="14.57421875" style="979" customWidth="1"/>
    <col min="14" max="14" width="0.71875" style="979" customWidth="1"/>
    <col min="15" max="15" width="1.421875" style="979" customWidth="1"/>
    <col min="16" max="23" width="12.57421875" style="979" customWidth="1"/>
    <col min="24" max="25" width="5.7109375" style="979" customWidth="1"/>
    <col min="26" max="26" width="6.57421875" style="979" customWidth="1"/>
    <col min="27" max="27" width="21.421875" style="979" customWidth="1"/>
    <col min="28" max="28" width="4.28125" style="979" customWidth="1"/>
    <col min="29" max="29" width="8.28125" style="979" customWidth="1"/>
    <col min="30" max="30" width="8.7109375" style="979" customWidth="1"/>
    <col min="31" max="64" width="12.57421875" style="979" customWidth="1"/>
    <col min="65" max="16384" width="11.57421875" style="979" customWidth="1"/>
  </cols>
  <sheetData>
    <row r="1" spans="1:64" ht="28.5" customHeight="1">
      <c r="A1" s="980"/>
      <c r="B1" s="1039"/>
      <c r="C1" s="1039"/>
      <c r="D1" s="1039"/>
      <c r="E1" s="1039"/>
      <c r="F1" s="1039"/>
      <c r="G1" s="1039"/>
      <c r="H1" s="1040" t="str">
        <f>CONCATENATE(AA2," ",AB2," ",AC2," ",AD2)</f>
        <v>Krycí list rozpočtu v EUR  </v>
      </c>
      <c r="I1" s="1039"/>
      <c r="J1" s="1039"/>
      <c r="K1" s="1039"/>
      <c r="L1" s="1039"/>
      <c r="M1" s="1039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1034" t="s">
        <v>448</v>
      </c>
      <c r="AA1" s="1034" t="s">
        <v>447</v>
      </c>
      <c r="AB1" s="1034" t="s">
        <v>446</v>
      </c>
      <c r="AC1" s="1034" t="s">
        <v>445</v>
      </c>
      <c r="AD1" s="1034" t="s">
        <v>444</v>
      </c>
      <c r="AE1" s="980"/>
      <c r="AF1" s="980"/>
      <c r="AG1" s="980"/>
      <c r="AH1" s="980"/>
      <c r="AI1" s="980"/>
      <c r="AJ1" s="980"/>
      <c r="AK1" s="980"/>
      <c r="AL1" s="980"/>
      <c r="AM1" s="980"/>
      <c r="AN1" s="980"/>
      <c r="AO1" s="980"/>
      <c r="AP1" s="980"/>
      <c r="AQ1" s="980"/>
      <c r="AR1" s="980"/>
      <c r="AS1" s="980"/>
      <c r="AT1" s="980"/>
      <c r="AU1" s="980"/>
      <c r="AV1" s="980"/>
      <c r="AW1" s="980"/>
      <c r="AX1" s="980"/>
      <c r="AY1" s="980"/>
      <c r="AZ1" s="980"/>
      <c r="BA1" s="980"/>
      <c r="BB1" s="980"/>
      <c r="BC1" s="980"/>
      <c r="BD1" s="980"/>
      <c r="BE1" s="980"/>
      <c r="BF1" s="980"/>
      <c r="BG1" s="980"/>
      <c r="BH1" s="980"/>
      <c r="BI1" s="980"/>
      <c r="BJ1" s="980"/>
      <c r="BK1" s="980"/>
      <c r="BL1" s="980"/>
    </row>
    <row r="2" spans="1:64" ht="18" customHeight="1">
      <c r="A2" s="980"/>
      <c r="B2" s="998" t="s">
        <v>443</v>
      </c>
      <c r="C2" s="998"/>
      <c r="D2" s="998"/>
      <c r="E2" s="998"/>
      <c r="F2" s="998"/>
      <c r="G2" s="1026"/>
      <c r="H2" s="998"/>
      <c r="I2" s="998"/>
      <c r="J2" s="998" t="s">
        <v>442</v>
      </c>
      <c r="K2" s="998"/>
      <c r="L2" s="998" t="s">
        <v>441</v>
      </c>
      <c r="M2" s="998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1034" t="s">
        <v>440</v>
      </c>
      <c r="AA2" s="1032" t="s">
        <v>439</v>
      </c>
      <c r="AB2" s="1033" t="s">
        <v>425</v>
      </c>
      <c r="AC2" s="1032"/>
      <c r="AD2" s="1031"/>
      <c r="AE2" s="980"/>
      <c r="AF2" s="980"/>
      <c r="AG2" s="980"/>
      <c r="AH2" s="980"/>
      <c r="AI2" s="980"/>
      <c r="AJ2" s="980"/>
      <c r="AK2" s="980"/>
      <c r="AL2" s="980"/>
      <c r="AM2" s="980"/>
      <c r="AN2" s="980"/>
      <c r="AO2" s="980"/>
      <c r="AP2" s="980"/>
      <c r="AQ2" s="980"/>
      <c r="AR2" s="980"/>
      <c r="AS2" s="980"/>
      <c r="AT2" s="980"/>
      <c r="AU2" s="980"/>
      <c r="AV2" s="980"/>
      <c r="AW2" s="980"/>
      <c r="AX2" s="980"/>
      <c r="AY2" s="980"/>
      <c r="AZ2" s="980"/>
      <c r="BA2" s="980"/>
      <c r="BB2" s="980"/>
      <c r="BC2" s="980"/>
      <c r="BD2" s="980"/>
      <c r="BE2" s="980"/>
      <c r="BF2" s="980"/>
      <c r="BG2" s="980"/>
      <c r="BH2" s="980"/>
      <c r="BI2" s="980"/>
      <c r="BJ2" s="980"/>
      <c r="BK2" s="980"/>
      <c r="BL2" s="980"/>
    </row>
    <row r="3" spans="1:64" ht="18" customHeight="1">
      <c r="A3" s="980"/>
      <c r="B3" s="1035" t="s">
        <v>438</v>
      </c>
      <c r="C3" s="1035"/>
      <c r="D3" s="1035"/>
      <c r="E3" s="1035"/>
      <c r="F3" s="1035"/>
      <c r="G3" s="1038"/>
      <c r="H3" s="1035"/>
      <c r="I3" s="1035"/>
      <c r="J3" s="1035" t="s">
        <v>437</v>
      </c>
      <c r="K3" s="1035"/>
      <c r="L3" s="1035" t="s">
        <v>436</v>
      </c>
      <c r="M3" s="1035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0"/>
      <c r="Z3" s="1034" t="s">
        <v>435</v>
      </c>
      <c r="AA3" s="1032" t="s">
        <v>429</v>
      </c>
      <c r="AB3" s="1033" t="s">
        <v>425</v>
      </c>
      <c r="AC3" s="1032" t="s">
        <v>424</v>
      </c>
      <c r="AD3" s="1031" t="s">
        <v>423</v>
      </c>
      <c r="AE3" s="980"/>
      <c r="AF3" s="980"/>
      <c r="AG3" s="980"/>
      <c r="AH3" s="980"/>
      <c r="AI3" s="980"/>
      <c r="AJ3" s="980"/>
      <c r="AK3" s="980"/>
      <c r="AL3" s="980"/>
      <c r="AM3" s="980"/>
      <c r="AN3" s="980"/>
      <c r="AO3" s="980"/>
      <c r="AP3" s="980"/>
      <c r="AQ3" s="980"/>
      <c r="AR3" s="980"/>
      <c r="AS3" s="980"/>
      <c r="AT3" s="980"/>
      <c r="AU3" s="980"/>
      <c r="AV3" s="980"/>
      <c r="AW3" s="980"/>
      <c r="AX3" s="980"/>
      <c r="AY3" s="980"/>
      <c r="AZ3" s="980"/>
      <c r="BA3" s="980"/>
      <c r="BB3" s="980"/>
      <c r="BC3" s="980"/>
      <c r="BD3" s="980"/>
      <c r="BE3" s="980"/>
      <c r="BF3" s="980"/>
      <c r="BG3" s="980"/>
      <c r="BH3" s="980"/>
      <c r="BI3" s="980"/>
      <c r="BJ3" s="980"/>
      <c r="BK3" s="980"/>
      <c r="BL3" s="980"/>
    </row>
    <row r="4" spans="1:64" ht="18" customHeight="1">
      <c r="A4" s="980"/>
      <c r="B4" s="1004" t="s">
        <v>81</v>
      </c>
      <c r="C4" s="1004"/>
      <c r="D4" s="1004"/>
      <c r="E4" s="1004"/>
      <c r="F4" s="1004"/>
      <c r="G4" s="1037"/>
      <c r="H4" s="1004"/>
      <c r="I4" s="1004"/>
      <c r="J4" s="1004" t="s">
        <v>788</v>
      </c>
      <c r="K4" s="1004"/>
      <c r="L4" s="1004" t="s">
        <v>434</v>
      </c>
      <c r="M4" s="1004"/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0"/>
      <c r="Z4" s="1034" t="s">
        <v>433</v>
      </c>
      <c r="AA4" s="1032" t="s">
        <v>432</v>
      </c>
      <c r="AB4" s="1033" t="s">
        <v>425</v>
      </c>
      <c r="AC4" s="1032"/>
      <c r="AD4" s="1031"/>
      <c r="AE4" s="980"/>
      <c r="AF4" s="980"/>
      <c r="AG4" s="980"/>
      <c r="AH4" s="980"/>
      <c r="AI4" s="980"/>
      <c r="AJ4" s="980"/>
      <c r="AK4" s="980"/>
      <c r="AL4" s="980"/>
      <c r="AM4" s="980"/>
      <c r="AN4" s="980"/>
      <c r="AO4" s="980"/>
      <c r="AP4" s="980"/>
      <c r="AQ4" s="980"/>
      <c r="AR4" s="980"/>
      <c r="AS4" s="980"/>
      <c r="AT4" s="980"/>
      <c r="AU4" s="980"/>
      <c r="AV4" s="980"/>
      <c r="AW4" s="980"/>
      <c r="AX4" s="980"/>
      <c r="AY4" s="980"/>
      <c r="AZ4" s="980"/>
      <c r="BA4" s="980"/>
      <c r="BB4" s="980"/>
      <c r="BC4" s="980"/>
      <c r="BD4" s="980"/>
      <c r="BE4" s="980"/>
      <c r="BF4" s="980"/>
      <c r="BG4" s="980"/>
      <c r="BH4" s="980"/>
      <c r="BI4" s="980"/>
      <c r="BJ4" s="980"/>
      <c r="BK4" s="980"/>
      <c r="BL4" s="980"/>
    </row>
    <row r="5" spans="1:64" ht="18" customHeight="1">
      <c r="A5" s="980"/>
      <c r="B5" s="998" t="s">
        <v>431</v>
      </c>
      <c r="C5" s="998"/>
      <c r="D5" s="998"/>
      <c r="E5" s="998"/>
      <c r="F5" s="998"/>
      <c r="G5" s="1028"/>
      <c r="H5" s="998"/>
      <c r="I5" s="998"/>
      <c r="J5" s="998" t="s">
        <v>421</v>
      </c>
      <c r="K5" s="998"/>
      <c r="L5" s="998" t="s">
        <v>420</v>
      </c>
      <c r="M5" s="998" t="s">
        <v>419</v>
      </c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0"/>
      <c r="Z5" s="1034" t="s">
        <v>430</v>
      </c>
      <c r="AA5" s="1032" t="s">
        <v>429</v>
      </c>
      <c r="AB5" s="1033" t="s">
        <v>425</v>
      </c>
      <c r="AC5" s="1032" t="s">
        <v>424</v>
      </c>
      <c r="AD5" s="1031" t="s">
        <v>423</v>
      </c>
      <c r="AE5" s="980"/>
      <c r="AF5" s="980"/>
      <c r="AG5" s="980"/>
      <c r="AH5" s="980"/>
      <c r="AI5" s="980"/>
      <c r="AJ5" s="980"/>
      <c r="AK5" s="980"/>
      <c r="AL5" s="980"/>
      <c r="AM5" s="980"/>
      <c r="AN5" s="980"/>
      <c r="AO5" s="980"/>
      <c r="AP5" s="980"/>
      <c r="AQ5" s="980"/>
      <c r="AR5" s="980"/>
      <c r="AS5" s="980"/>
      <c r="AT5" s="980"/>
      <c r="AU5" s="980"/>
      <c r="AV5" s="980"/>
      <c r="AW5" s="980"/>
      <c r="AX5" s="980"/>
      <c r="AY5" s="980"/>
      <c r="AZ5" s="980"/>
      <c r="BA5" s="980"/>
      <c r="BB5" s="980"/>
      <c r="BC5" s="980"/>
      <c r="BD5" s="980"/>
      <c r="BE5" s="980"/>
      <c r="BF5" s="980"/>
      <c r="BG5" s="980"/>
      <c r="BH5" s="980"/>
      <c r="BI5" s="980"/>
      <c r="BJ5" s="980"/>
      <c r="BK5" s="980"/>
      <c r="BL5" s="980"/>
    </row>
    <row r="6" spans="1:64" ht="18" customHeight="1">
      <c r="A6" s="980"/>
      <c r="B6" s="1035" t="s">
        <v>428</v>
      </c>
      <c r="C6" s="1035"/>
      <c r="D6" s="1035"/>
      <c r="E6" s="1035"/>
      <c r="F6" s="1035"/>
      <c r="G6" s="1036"/>
      <c r="H6" s="1035"/>
      <c r="I6" s="1035"/>
      <c r="J6" s="1035" t="s">
        <v>421</v>
      </c>
      <c r="K6" s="1035"/>
      <c r="L6" s="1035" t="s">
        <v>420</v>
      </c>
      <c r="M6" s="1035" t="s">
        <v>419</v>
      </c>
      <c r="N6" s="980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0"/>
      <c r="Z6" s="1034" t="s">
        <v>427</v>
      </c>
      <c r="AA6" s="1032" t="s">
        <v>426</v>
      </c>
      <c r="AB6" s="1033" t="s">
        <v>425</v>
      </c>
      <c r="AC6" s="1032" t="s">
        <v>424</v>
      </c>
      <c r="AD6" s="1031" t="s">
        <v>423</v>
      </c>
      <c r="AE6" s="980"/>
      <c r="AF6" s="980"/>
      <c r="AG6" s="980"/>
      <c r="AH6" s="980"/>
      <c r="AI6" s="980"/>
      <c r="AJ6" s="980"/>
      <c r="AK6" s="980"/>
      <c r="AL6" s="980"/>
      <c r="AM6" s="980"/>
      <c r="AN6" s="980"/>
      <c r="AO6" s="980"/>
      <c r="AP6" s="980"/>
      <c r="AQ6" s="980"/>
      <c r="AR6" s="980"/>
      <c r="AS6" s="980"/>
      <c r="AT6" s="980"/>
      <c r="AU6" s="980"/>
      <c r="AV6" s="980"/>
      <c r="AW6" s="980"/>
      <c r="AX6" s="980"/>
      <c r="AY6" s="980"/>
      <c r="AZ6" s="980"/>
      <c r="BA6" s="980"/>
      <c r="BB6" s="980"/>
      <c r="BC6" s="980"/>
      <c r="BD6" s="980"/>
      <c r="BE6" s="980"/>
      <c r="BF6" s="980"/>
      <c r="BG6" s="980"/>
      <c r="BH6" s="980"/>
      <c r="BI6" s="980"/>
      <c r="BJ6" s="980"/>
      <c r="BK6" s="980"/>
      <c r="BL6" s="980"/>
    </row>
    <row r="7" spans="1:64" ht="18" customHeight="1">
      <c r="A7" s="980"/>
      <c r="B7" s="1004" t="s">
        <v>422</v>
      </c>
      <c r="C7" s="1004"/>
      <c r="D7" s="1004"/>
      <c r="E7" s="1004"/>
      <c r="F7" s="1004"/>
      <c r="G7" s="1030"/>
      <c r="H7" s="1004"/>
      <c r="I7" s="1004"/>
      <c r="J7" s="1004" t="s">
        <v>421</v>
      </c>
      <c r="K7" s="1004"/>
      <c r="L7" s="1004" t="s">
        <v>420</v>
      </c>
      <c r="M7" s="1004" t="s">
        <v>419</v>
      </c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980"/>
      <c r="AL7" s="980"/>
      <c r="AM7" s="980"/>
      <c r="AN7" s="980"/>
      <c r="AO7" s="980"/>
      <c r="AP7" s="980"/>
      <c r="AQ7" s="980"/>
      <c r="AR7" s="980"/>
      <c r="AS7" s="980"/>
      <c r="AT7" s="980"/>
      <c r="AU7" s="980"/>
      <c r="AV7" s="980"/>
      <c r="AW7" s="980"/>
      <c r="AX7" s="980"/>
      <c r="AY7" s="980"/>
      <c r="AZ7" s="980"/>
      <c r="BA7" s="980"/>
      <c r="BB7" s="980"/>
      <c r="BC7" s="980"/>
      <c r="BD7" s="980"/>
      <c r="BE7" s="980"/>
      <c r="BF7" s="980"/>
      <c r="BG7" s="980"/>
      <c r="BH7" s="980"/>
      <c r="BI7" s="980"/>
      <c r="BJ7" s="980"/>
      <c r="BK7" s="980"/>
      <c r="BL7" s="980"/>
    </row>
    <row r="8" spans="1:64" ht="18" customHeight="1">
      <c r="A8" s="980"/>
      <c r="B8" s="1026">
        <v>1</v>
      </c>
      <c r="C8" s="1025" t="s">
        <v>418</v>
      </c>
      <c r="D8" s="1029"/>
      <c r="E8" s="1024"/>
      <c r="F8" s="1027">
        <f>IF(B8&lt;&gt;0,ROUND($M$26/B8,0),0)</f>
        <v>0</v>
      </c>
      <c r="G8" s="1028">
        <v>1</v>
      </c>
      <c r="H8" s="1025" t="s">
        <v>417</v>
      </c>
      <c r="I8" s="1027">
        <f>IF(G8&lt;&gt;0,ROUND($M$26/G8,0),0)</f>
        <v>0</v>
      </c>
      <c r="J8" s="1026"/>
      <c r="K8" s="1025"/>
      <c r="L8" s="1024"/>
      <c r="M8" s="1023">
        <f>IF(J8&lt;&gt;0,ROUND($M$26/J8,0),0)</f>
        <v>0</v>
      </c>
      <c r="N8" s="980"/>
      <c r="O8" s="980"/>
      <c r="P8" s="980"/>
      <c r="Q8" s="980"/>
      <c r="R8" s="980"/>
      <c r="S8" s="980"/>
      <c r="T8" s="980"/>
      <c r="U8" s="980"/>
      <c r="V8" s="980"/>
      <c r="W8" s="980"/>
      <c r="X8" s="980"/>
      <c r="Y8" s="980"/>
      <c r="Z8" s="980"/>
      <c r="AA8" s="980"/>
      <c r="AB8" s="980"/>
      <c r="AC8" s="980"/>
      <c r="AD8" s="980"/>
      <c r="AE8" s="980"/>
      <c r="AF8" s="980"/>
      <c r="AG8" s="980"/>
      <c r="AH8" s="980"/>
      <c r="AI8" s="980"/>
      <c r="AJ8" s="980"/>
      <c r="AK8" s="980"/>
      <c r="AL8" s="980"/>
      <c r="AM8" s="980"/>
      <c r="AN8" s="980"/>
      <c r="AO8" s="980"/>
      <c r="AP8" s="980"/>
      <c r="AQ8" s="980"/>
      <c r="AR8" s="980"/>
      <c r="AS8" s="980"/>
      <c r="AT8" s="980"/>
      <c r="AU8" s="980"/>
      <c r="AV8" s="980"/>
      <c r="AW8" s="980"/>
      <c r="AX8" s="980"/>
      <c r="AY8" s="980"/>
      <c r="AZ8" s="980"/>
      <c r="BA8" s="980"/>
      <c r="BB8" s="980"/>
      <c r="BC8" s="980"/>
      <c r="BD8" s="980"/>
      <c r="BE8" s="980"/>
      <c r="BF8" s="980"/>
      <c r="BG8" s="980"/>
      <c r="BH8" s="980"/>
      <c r="BI8" s="980"/>
      <c r="BJ8" s="980"/>
      <c r="BK8" s="980"/>
      <c r="BL8" s="980"/>
    </row>
    <row r="9" spans="1:64" ht="18" customHeight="1">
      <c r="A9" s="980"/>
      <c r="B9" s="989">
        <v>1</v>
      </c>
      <c r="C9" s="1020" t="s">
        <v>416</v>
      </c>
      <c r="D9" s="1022"/>
      <c r="E9" s="1019"/>
      <c r="F9" s="1021">
        <f>IF(B9&lt;&gt;0,ROUND($M$26/B9,0),0)</f>
        <v>0</v>
      </c>
      <c r="G9" s="989">
        <v>1</v>
      </c>
      <c r="H9" s="1020" t="s">
        <v>415</v>
      </c>
      <c r="I9" s="1021">
        <f>IF(G9&lt;&gt;0,ROUND($M$26/G9,0),0)</f>
        <v>0</v>
      </c>
      <c r="J9" s="989"/>
      <c r="K9" s="1020"/>
      <c r="L9" s="1019"/>
      <c r="M9" s="1018">
        <f>IF(J9&lt;&gt;0,ROUND($M$26/J9,0),0)</f>
        <v>0</v>
      </c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0"/>
      <c r="Z9" s="980"/>
      <c r="AA9" s="980"/>
      <c r="AB9" s="980"/>
      <c r="AC9" s="980"/>
      <c r="AD9" s="980"/>
      <c r="AE9" s="980"/>
      <c r="AF9" s="980"/>
      <c r="AG9" s="980"/>
      <c r="AH9" s="980"/>
      <c r="AI9" s="980"/>
      <c r="AJ9" s="980"/>
      <c r="AK9" s="980"/>
      <c r="AL9" s="980"/>
      <c r="AM9" s="980"/>
      <c r="AN9" s="980"/>
      <c r="AO9" s="980"/>
      <c r="AP9" s="980"/>
      <c r="AQ9" s="980"/>
      <c r="AR9" s="980"/>
      <c r="AS9" s="980"/>
      <c r="AT9" s="980"/>
      <c r="AU9" s="980"/>
      <c r="AV9" s="980"/>
      <c r="AW9" s="980"/>
      <c r="AX9" s="980"/>
      <c r="AY9" s="980"/>
      <c r="AZ9" s="980"/>
      <c r="BA9" s="980"/>
      <c r="BB9" s="980"/>
      <c r="BC9" s="980"/>
      <c r="BD9" s="980"/>
      <c r="BE9" s="980"/>
      <c r="BF9" s="980"/>
      <c r="BG9" s="980"/>
      <c r="BH9" s="980"/>
      <c r="BI9" s="980"/>
      <c r="BJ9" s="980"/>
      <c r="BK9" s="980"/>
      <c r="BL9" s="980"/>
    </row>
    <row r="10" spans="1:64" ht="18" customHeight="1">
      <c r="A10" s="980"/>
      <c r="B10" s="1000" t="s">
        <v>414</v>
      </c>
      <c r="C10" s="1017" t="s">
        <v>413</v>
      </c>
      <c r="D10" s="1016" t="s">
        <v>412</v>
      </c>
      <c r="E10" s="1016" t="s">
        <v>411</v>
      </c>
      <c r="F10" s="1015" t="s">
        <v>410</v>
      </c>
      <c r="G10" s="1000" t="s">
        <v>409</v>
      </c>
      <c r="H10" s="999" t="s">
        <v>408</v>
      </c>
      <c r="I10" s="999"/>
      <c r="J10" s="1000" t="s">
        <v>407</v>
      </c>
      <c r="K10" s="999" t="s">
        <v>406</v>
      </c>
      <c r="L10" s="999"/>
      <c r="M10" s="999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0"/>
      <c r="AK10" s="980"/>
      <c r="AL10" s="980"/>
      <c r="AM10" s="980"/>
      <c r="AN10" s="980"/>
      <c r="AO10" s="980"/>
      <c r="AP10" s="980"/>
      <c r="AQ10" s="980"/>
      <c r="AR10" s="980"/>
      <c r="AS10" s="980"/>
      <c r="AT10" s="980"/>
      <c r="AU10" s="980"/>
      <c r="AV10" s="980"/>
      <c r="AW10" s="980"/>
      <c r="AX10" s="980"/>
      <c r="AY10" s="980"/>
      <c r="AZ10" s="980"/>
      <c r="BA10" s="980"/>
      <c r="BB10" s="980"/>
      <c r="BC10" s="980"/>
      <c r="BD10" s="980"/>
      <c r="BE10" s="980"/>
      <c r="BF10" s="980"/>
      <c r="BG10" s="980"/>
      <c r="BH10" s="980"/>
      <c r="BI10" s="980"/>
      <c r="BJ10" s="980"/>
      <c r="BK10" s="980"/>
      <c r="BL10" s="980"/>
    </row>
    <row r="11" spans="1:64" ht="18" customHeight="1">
      <c r="A11" s="980"/>
      <c r="B11" s="997">
        <v>1</v>
      </c>
      <c r="C11" s="1013" t="s">
        <v>405</v>
      </c>
      <c r="D11" s="1014">
        <f>SUMIF(VV_Zadanie_SO_02!AJ10:AJ107,"EK",VV_Zadanie_SO_02!J10:J107)</f>
        <v>0</v>
      </c>
      <c r="E11" s="1014">
        <f>SUMIF(VV_Zadanie_SO_02!AJ10:AJ107,"EZ",VV_Zadanie_SO_02!J10:J107)</f>
        <v>0</v>
      </c>
      <c r="F11" s="994">
        <f>D11+E11</f>
        <v>0</v>
      </c>
      <c r="G11" s="997">
        <v>6</v>
      </c>
      <c r="H11" s="1013" t="s">
        <v>404</v>
      </c>
      <c r="I11" s="994">
        <v>0</v>
      </c>
      <c r="J11" s="997">
        <v>11</v>
      </c>
      <c r="K11" s="996" t="s">
        <v>403</v>
      </c>
      <c r="L11" s="1012">
        <v>0</v>
      </c>
      <c r="M11" s="994">
        <f>ROUND(((D11+E11+D12+E12+D13)*L11),2)</f>
        <v>0</v>
      </c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0"/>
      <c r="Z11" s="980"/>
      <c r="AA11" s="980"/>
      <c r="AB11" s="980"/>
      <c r="AC11" s="980"/>
      <c r="AD11" s="980"/>
      <c r="AE11" s="980"/>
      <c r="AF11" s="980"/>
      <c r="AG11" s="980"/>
      <c r="AH11" s="980"/>
      <c r="AI11" s="980"/>
      <c r="AJ11" s="980"/>
      <c r="AK11" s="980"/>
      <c r="AL11" s="980"/>
      <c r="AM11" s="980"/>
      <c r="AN11" s="980"/>
      <c r="AO11" s="980"/>
      <c r="AP11" s="980"/>
      <c r="AQ11" s="980"/>
      <c r="AR11" s="980"/>
      <c r="AS11" s="980"/>
      <c r="AT11" s="980"/>
      <c r="AU11" s="980"/>
      <c r="AV11" s="980"/>
      <c r="AW11" s="980"/>
      <c r="AX11" s="980"/>
      <c r="AY11" s="980"/>
      <c r="AZ11" s="980"/>
      <c r="BA11" s="980"/>
      <c r="BB11" s="980"/>
      <c r="BC11" s="980"/>
      <c r="BD11" s="980"/>
      <c r="BE11" s="980"/>
      <c r="BF11" s="980"/>
      <c r="BG11" s="980"/>
      <c r="BH11" s="980"/>
      <c r="BI11" s="980"/>
      <c r="BJ11" s="980"/>
      <c r="BK11" s="980"/>
      <c r="BL11" s="980"/>
    </row>
    <row r="12" spans="1:64" ht="18" customHeight="1">
      <c r="A12" s="980"/>
      <c r="B12" s="993">
        <v>2</v>
      </c>
      <c r="C12" s="1010" t="s">
        <v>402</v>
      </c>
      <c r="D12" s="1011">
        <f>SUMIF(VV_Zadanie_SO_02!AJ10:AJ107,"IK",VV_Zadanie_SO_02!J10:J107)</f>
        <v>0</v>
      </c>
      <c r="E12" s="1011">
        <f>SUMIF(VV_Zadanie_SO_02!AJ10:AJ107,"IZ",VV_Zadanie_SO_02!J10:J107)</f>
        <v>0</v>
      </c>
      <c r="F12" s="994">
        <f>D12+E12</f>
        <v>0</v>
      </c>
      <c r="G12" s="993">
        <v>7</v>
      </c>
      <c r="H12" s="1010" t="s">
        <v>401</v>
      </c>
      <c r="I12" s="990">
        <v>0</v>
      </c>
      <c r="J12" s="993">
        <v>12</v>
      </c>
      <c r="K12" s="992" t="s">
        <v>400</v>
      </c>
      <c r="L12" s="1009">
        <v>0</v>
      </c>
      <c r="M12" s="990">
        <f>ROUND(((D11+E11+D12+E12+D13)*L12),2)</f>
        <v>0</v>
      </c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0"/>
      <c r="Z12" s="980"/>
      <c r="AA12" s="980"/>
      <c r="AB12" s="980"/>
      <c r="AC12" s="980"/>
      <c r="AD12" s="980"/>
      <c r="AE12" s="980"/>
      <c r="AF12" s="980"/>
      <c r="AG12" s="980"/>
      <c r="AH12" s="980"/>
      <c r="AI12" s="980"/>
      <c r="AJ12" s="980"/>
      <c r="AK12" s="980"/>
      <c r="AL12" s="980"/>
      <c r="AM12" s="980"/>
      <c r="AN12" s="980"/>
      <c r="AO12" s="980"/>
      <c r="AP12" s="980"/>
      <c r="AQ12" s="980"/>
      <c r="AR12" s="980"/>
      <c r="AS12" s="980"/>
      <c r="AT12" s="980"/>
      <c r="AU12" s="980"/>
      <c r="AV12" s="980"/>
      <c r="AW12" s="980"/>
      <c r="AX12" s="980"/>
      <c r="AY12" s="980"/>
      <c r="AZ12" s="980"/>
      <c r="BA12" s="980"/>
      <c r="BB12" s="980"/>
      <c r="BC12" s="980"/>
      <c r="BD12" s="980"/>
      <c r="BE12" s="980"/>
      <c r="BF12" s="980"/>
      <c r="BG12" s="980"/>
      <c r="BH12" s="980"/>
      <c r="BI12" s="980"/>
      <c r="BJ12" s="980"/>
      <c r="BK12" s="980"/>
      <c r="BL12" s="980"/>
    </row>
    <row r="13" spans="1:64" ht="18" customHeight="1">
      <c r="A13" s="980"/>
      <c r="B13" s="993">
        <v>3</v>
      </c>
      <c r="C13" s="1010" t="s">
        <v>399</v>
      </c>
      <c r="D13" s="1011">
        <f>SUMIF(VV_Zadanie_SO_02!AJ10:AJ107,"MK",VV_Zadanie_SO_02!J10:J107)</f>
        <v>0</v>
      </c>
      <c r="E13" s="1011">
        <f>SUMIF(VV_Zadanie_SO_02!AJ10:AJ107,"MZ",VV_Zadanie_SO_02!J10:J107)</f>
        <v>0</v>
      </c>
      <c r="F13" s="994">
        <f>D13+E13</f>
        <v>0</v>
      </c>
      <c r="G13" s="993">
        <v>8</v>
      </c>
      <c r="H13" s="1010" t="s">
        <v>398</v>
      </c>
      <c r="I13" s="990">
        <v>0</v>
      </c>
      <c r="J13" s="993">
        <v>13</v>
      </c>
      <c r="K13" s="992" t="s">
        <v>397</v>
      </c>
      <c r="L13" s="1009">
        <v>0</v>
      </c>
      <c r="M13" s="990">
        <f>ROUND(((D11+E11+D12+E12+D13)*L13),2)</f>
        <v>0</v>
      </c>
      <c r="N13" s="980"/>
      <c r="O13" s="980"/>
      <c r="P13" s="980"/>
      <c r="Q13" s="980"/>
      <c r="R13" s="980"/>
      <c r="S13" s="980"/>
      <c r="T13" s="980"/>
      <c r="U13" s="980"/>
      <c r="V13" s="980"/>
      <c r="W13" s="980"/>
      <c r="X13" s="980"/>
      <c r="Y13" s="980"/>
      <c r="Z13" s="980"/>
      <c r="AA13" s="980"/>
      <c r="AB13" s="980"/>
      <c r="AC13" s="980"/>
      <c r="AD13" s="980"/>
      <c r="AE13" s="980"/>
      <c r="AF13" s="980"/>
      <c r="AG13" s="980"/>
      <c r="AH13" s="980"/>
      <c r="AI13" s="980"/>
      <c r="AJ13" s="980"/>
      <c r="AK13" s="980"/>
      <c r="AL13" s="980"/>
      <c r="AM13" s="980"/>
      <c r="AN13" s="980"/>
      <c r="AO13" s="980"/>
      <c r="AP13" s="980"/>
      <c r="AQ13" s="980"/>
      <c r="AR13" s="980"/>
      <c r="AS13" s="980"/>
      <c r="AT13" s="980"/>
      <c r="AU13" s="980"/>
      <c r="AV13" s="980"/>
      <c r="AW13" s="980"/>
      <c r="AX13" s="980"/>
      <c r="AY13" s="980"/>
      <c r="AZ13" s="980"/>
      <c r="BA13" s="980"/>
      <c r="BB13" s="980"/>
      <c r="BC13" s="980"/>
      <c r="BD13" s="980"/>
      <c r="BE13" s="980"/>
      <c r="BF13" s="980"/>
      <c r="BG13" s="980"/>
      <c r="BH13" s="980"/>
      <c r="BI13" s="980"/>
      <c r="BJ13" s="980"/>
      <c r="BK13" s="980"/>
      <c r="BL13" s="980"/>
    </row>
    <row r="14" spans="1:64" ht="18" customHeight="1" thickBot="1">
      <c r="A14" s="980"/>
      <c r="B14" s="993">
        <v>4</v>
      </c>
      <c r="C14" s="1010" t="s">
        <v>396</v>
      </c>
      <c r="D14" s="1011">
        <f>SUMIF(VV_Zadanie_SO_02!AJ10:AJ107,"PK",VV_Zadanie_SO_02!J10:J107)</f>
        <v>0</v>
      </c>
      <c r="E14" s="1011">
        <f>SUMIF(VV_Zadanie_SO_02!AJ10:AJ107,"PZ",VV_Zadanie_SO_02!J10:J107)</f>
        <v>0</v>
      </c>
      <c r="F14" s="1006">
        <f>D14+E14</f>
        <v>0</v>
      </c>
      <c r="G14" s="993">
        <v>9</v>
      </c>
      <c r="H14" s="1010" t="s">
        <v>81</v>
      </c>
      <c r="I14" s="990">
        <v>0</v>
      </c>
      <c r="J14" s="993">
        <v>14</v>
      </c>
      <c r="K14" s="992" t="s">
        <v>81</v>
      </c>
      <c r="L14" s="1009">
        <v>0</v>
      </c>
      <c r="M14" s="990">
        <f>ROUND(((D11+E11+D12+E12+D13+E13)*L14),2)</f>
        <v>0</v>
      </c>
      <c r="N14" s="980"/>
      <c r="O14" s="980"/>
      <c r="P14" s="980"/>
      <c r="Q14" s="980"/>
      <c r="R14" s="980"/>
      <c r="S14" s="980"/>
      <c r="T14" s="980"/>
      <c r="U14" s="980"/>
      <c r="V14" s="980"/>
      <c r="W14" s="980"/>
      <c r="X14" s="980"/>
      <c r="Y14" s="980"/>
      <c r="Z14" s="980"/>
      <c r="AA14" s="980"/>
      <c r="AB14" s="980"/>
      <c r="AC14" s="980"/>
      <c r="AD14" s="980"/>
      <c r="AE14" s="980"/>
      <c r="AF14" s="980"/>
      <c r="AG14" s="980"/>
      <c r="AH14" s="980"/>
      <c r="AI14" s="980"/>
      <c r="AJ14" s="980"/>
      <c r="AK14" s="980"/>
      <c r="AL14" s="980"/>
      <c r="AM14" s="980"/>
      <c r="AN14" s="980"/>
      <c r="AO14" s="980"/>
      <c r="AP14" s="980"/>
      <c r="AQ14" s="980"/>
      <c r="AR14" s="980"/>
      <c r="AS14" s="980"/>
      <c r="AT14" s="980"/>
      <c r="AU14" s="980"/>
      <c r="AV14" s="980"/>
      <c r="AW14" s="980"/>
      <c r="AX14" s="980"/>
      <c r="AY14" s="980"/>
      <c r="AZ14" s="980"/>
      <c r="BA14" s="980"/>
      <c r="BB14" s="980"/>
      <c r="BC14" s="980"/>
      <c r="BD14" s="980"/>
      <c r="BE14" s="980"/>
      <c r="BF14" s="980"/>
      <c r="BG14" s="980"/>
      <c r="BH14" s="980"/>
      <c r="BI14" s="980"/>
      <c r="BJ14" s="980"/>
      <c r="BK14" s="980"/>
      <c r="BL14" s="980"/>
    </row>
    <row r="15" spans="1:64" ht="18" customHeight="1">
      <c r="A15" s="980"/>
      <c r="B15" s="988">
        <v>5</v>
      </c>
      <c r="C15" s="1008" t="s">
        <v>395</v>
      </c>
      <c r="D15" s="1007">
        <f>SUM(D11:D14)</f>
        <v>0</v>
      </c>
      <c r="E15" s="1006">
        <f>SUM(E11:E14)</f>
        <v>0</v>
      </c>
      <c r="F15" s="985">
        <f>SUM(F11:F14)</f>
        <v>0</v>
      </c>
      <c r="G15" s="988">
        <v>10</v>
      </c>
      <c r="H15" s="1005" t="s">
        <v>394</v>
      </c>
      <c r="I15" s="985">
        <f>SUM(I11:I14)</f>
        <v>0</v>
      </c>
      <c r="J15" s="988">
        <v>15</v>
      </c>
      <c r="K15" s="987"/>
      <c r="L15" s="986" t="s">
        <v>393</v>
      </c>
      <c r="M15" s="985">
        <f>SUM(M11:M14)</f>
        <v>0</v>
      </c>
      <c r="N15" s="980"/>
      <c r="O15" s="980"/>
      <c r="P15" s="980"/>
      <c r="Q15" s="980"/>
      <c r="R15" s="980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0"/>
      <c r="AF15" s="980"/>
      <c r="AG15" s="980"/>
      <c r="AH15" s="980"/>
      <c r="AI15" s="980"/>
      <c r="AJ15" s="980"/>
      <c r="AK15" s="980"/>
      <c r="AL15" s="980"/>
      <c r="AM15" s="980"/>
      <c r="AN15" s="980"/>
      <c r="AO15" s="980"/>
      <c r="AP15" s="980"/>
      <c r="AQ15" s="980"/>
      <c r="AR15" s="980"/>
      <c r="AS15" s="980"/>
      <c r="AT15" s="980"/>
      <c r="AU15" s="980"/>
      <c r="AV15" s="980"/>
      <c r="AW15" s="980"/>
      <c r="AX15" s="980"/>
      <c r="AY15" s="980"/>
      <c r="AZ15" s="980"/>
      <c r="BA15" s="980"/>
      <c r="BB15" s="980"/>
      <c r="BC15" s="980"/>
      <c r="BD15" s="980"/>
      <c r="BE15" s="980"/>
      <c r="BF15" s="980"/>
      <c r="BG15" s="980"/>
      <c r="BH15" s="980"/>
      <c r="BI15" s="980"/>
      <c r="BJ15" s="980"/>
      <c r="BK15" s="980"/>
      <c r="BL15" s="980"/>
    </row>
    <row r="16" spans="1:64" ht="18" customHeight="1">
      <c r="A16" s="980"/>
      <c r="B16" s="1002" t="s">
        <v>392</v>
      </c>
      <c r="C16" s="1002"/>
      <c r="D16" s="1002"/>
      <c r="E16" s="1002"/>
      <c r="F16" s="1001"/>
      <c r="G16" s="1002" t="s">
        <v>391</v>
      </c>
      <c r="H16" s="1002"/>
      <c r="I16" s="1002"/>
      <c r="J16" s="1000" t="s">
        <v>390</v>
      </c>
      <c r="K16" s="999" t="s">
        <v>389</v>
      </c>
      <c r="L16" s="999"/>
      <c r="M16" s="999"/>
      <c r="N16" s="980"/>
      <c r="O16" s="980"/>
      <c r="P16" s="980"/>
      <c r="Q16" s="980"/>
      <c r="R16" s="980"/>
      <c r="S16" s="980"/>
      <c r="T16" s="980"/>
      <c r="U16" s="980"/>
      <c r="V16" s="980"/>
      <c r="W16" s="980"/>
      <c r="X16" s="980"/>
      <c r="Y16" s="980"/>
      <c r="Z16" s="980"/>
      <c r="AA16" s="980"/>
      <c r="AB16" s="980"/>
      <c r="AC16" s="980"/>
      <c r="AD16" s="980"/>
      <c r="AE16" s="980"/>
      <c r="AF16" s="980"/>
      <c r="AG16" s="980"/>
      <c r="AH16" s="980"/>
      <c r="AI16" s="980"/>
      <c r="AJ16" s="980"/>
      <c r="AK16" s="980"/>
      <c r="AL16" s="980"/>
      <c r="AM16" s="980"/>
      <c r="AN16" s="980"/>
      <c r="AO16" s="980"/>
      <c r="AP16" s="980"/>
      <c r="AQ16" s="980"/>
      <c r="AR16" s="980"/>
      <c r="AS16" s="980"/>
      <c r="AT16" s="980"/>
      <c r="AU16" s="980"/>
      <c r="AV16" s="980"/>
      <c r="AW16" s="980"/>
      <c r="AX16" s="980"/>
      <c r="AY16" s="980"/>
      <c r="AZ16" s="980"/>
      <c r="BA16" s="980"/>
      <c r="BB16" s="980"/>
      <c r="BC16" s="980"/>
      <c r="BD16" s="980"/>
      <c r="BE16" s="980"/>
      <c r="BF16" s="980"/>
      <c r="BG16" s="980"/>
      <c r="BH16" s="980"/>
      <c r="BI16" s="980"/>
      <c r="BJ16" s="980"/>
      <c r="BK16" s="980"/>
      <c r="BL16" s="980"/>
    </row>
    <row r="17" spans="1:64" ht="18" customHeight="1">
      <c r="A17" s="980"/>
      <c r="B17" s="982"/>
      <c r="C17" s="998" t="s">
        <v>381</v>
      </c>
      <c r="D17" s="998"/>
      <c r="E17" s="998" t="s">
        <v>380</v>
      </c>
      <c r="F17" s="998"/>
      <c r="G17" s="982"/>
      <c r="H17" s="982"/>
      <c r="I17" s="982"/>
      <c r="J17" s="993">
        <v>16</v>
      </c>
      <c r="K17" s="992" t="s">
        <v>388</v>
      </c>
      <c r="L17" s="1003"/>
      <c r="M17" s="990">
        <f>SUMIF(VV_Zadanie_SO_02!AJ10:AJ107,"U",VV_Zadanie_SO_02!J10:J107)</f>
        <v>0</v>
      </c>
      <c r="N17" s="980"/>
      <c r="O17" s="980"/>
      <c r="P17" s="980"/>
      <c r="Q17" s="980"/>
      <c r="R17" s="980"/>
      <c r="S17" s="980"/>
      <c r="T17" s="980"/>
      <c r="U17" s="980"/>
      <c r="V17" s="980"/>
      <c r="W17" s="980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0"/>
      <c r="AI17" s="980"/>
      <c r="AJ17" s="980"/>
      <c r="AK17" s="980"/>
      <c r="AL17" s="980"/>
      <c r="AM17" s="980"/>
      <c r="AN17" s="980"/>
      <c r="AO17" s="980"/>
      <c r="AP17" s="980"/>
      <c r="AQ17" s="980"/>
      <c r="AR17" s="980"/>
      <c r="AS17" s="980"/>
      <c r="AT17" s="980"/>
      <c r="AU17" s="980"/>
      <c r="AV17" s="980"/>
      <c r="AW17" s="980"/>
      <c r="AX17" s="980"/>
      <c r="AY17" s="980"/>
      <c r="AZ17" s="980"/>
      <c r="BA17" s="980"/>
      <c r="BB17" s="980"/>
      <c r="BC17" s="980"/>
      <c r="BD17" s="980"/>
      <c r="BE17" s="980"/>
      <c r="BF17" s="980"/>
      <c r="BG17" s="980"/>
      <c r="BH17" s="980"/>
      <c r="BI17" s="980"/>
      <c r="BJ17" s="980"/>
      <c r="BK17" s="980"/>
      <c r="BL17" s="980"/>
    </row>
    <row r="18" spans="1:64" ht="18" customHeight="1">
      <c r="A18" s="980"/>
      <c r="B18" s="989"/>
      <c r="C18" s="982" t="s">
        <v>378</v>
      </c>
      <c r="D18" s="982"/>
      <c r="E18" s="982"/>
      <c r="F18" s="989"/>
      <c r="G18" s="989"/>
      <c r="H18" s="982" t="s">
        <v>381</v>
      </c>
      <c r="I18" s="982"/>
      <c r="J18" s="993">
        <v>17</v>
      </c>
      <c r="K18" s="992" t="s">
        <v>387</v>
      </c>
      <c r="L18" s="1003"/>
      <c r="M18" s="990">
        <v>0</v>
      </c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980"/>
      <c r="Y18" s="980"/>
      <c r="Z18" s="980"/>
      <c r="AA18" s="980"/>
      <c r="AB18" s="980"/>
      <c r="AC18" s="980"/>
      <c r="AD18" s="980"/>
      <c r="AE18" s="980"/>
      <c r="AF18" s="980"/>
      <c r="AG18" s="980"/>
      <c r="AH18" s="980"/>
      <c r="AI18" s="980"/>
      <c r="AJ18" s="980"/>
      <c r="AK18" s="980"/>
      <c r="AL18" s="980"/>
      <c r="AM18" s="980"/>
      <c r="AN18" s="980"/>
      <c r="AO18" s="980"/>
      <c r="AP18" s="980"/>
      <c r="AQ18" s="980"/>
      <c r="AR18" s="980"/>
      <c r="AS18" s="980"/>
      <c r="AT18" s="980"/>
      <c r="AU18" s="980"/>
      <c r="AV18" s="980"/>
      <c r="AW18" s="980"/>
      <c r="AX18" s="980"/>
      <c r="AY18" s="980"/>
      <c r="AZ18" s="980"/>
      <c r="BA18" s="980"/>
      <c r="BB18" s="980"/>
      <c r="BC18" s="980"/>
      <c r="BD18" s="980"/>
      <c r="BE18" s="980"/>
      <c r="BF18" s="980"/>
      <c r="BG18" s="980"/>
      <c r="BH18" s="980"/>
      <c r="BI18" s="980"/>
      <c r="BJ18" s="980"/>
      <c r="BK18" s="980"/>
      <c r="BL18" s="980"/>
    </row>
    <row r="19" spans="1:64" ht="18" customHeight="1">
      <c r="A19" s="980"/>
      <c r="B19" s="989"/>
      <c r="C19" s="982"/>
      <c r="D19" s="982"/>
      <c r="E19" s="982"/>
      <c r="F19" s="989"/>
      <c r="G19" s="989"/>
      <c r="H19" s="1004"/>
      <c r="I19" s="982"/>
      <c r="J19" s="993">
        <v>18</v>
      </c>
      <c r="K19" s="992" t="s">
        <v>386</v>
      </c>
      <c r="L19" s="1003"/>
      <c r="M19" s="990">
        <v>0</v>
      </c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0"/>
      <c r="AL19" s="980"/>
      <c r="AM19" s="980"/>
      <c r="AN19" s="980"/>
      <c r="AO19" s="980"/>
      <c r="AP19" s="980"/>
      <c r="AQ19" s="980"/>
      <c r="AR19" s="980"/>
      <c r="AS19" s="980"/>
      <c r="AT19" s="980"/>
      <c r="AU19" s="980"/>
      <c r="AV19" s="980"/>
      <c r="AW19" s="980"/>
      <c r="AX19" s="980"/>
      <c r="AY19" s="980"/>
      <c r="AZ19" s="980"/>
      <c r="BA19" s="980"/>
      <c r="BB19" s="980"/>
      <c r="BC19" s="980"/>
      <c r="BD19" s="980"/>
      <c r="BE19" s="980"/>
      <c r="BF19" s="980"/>
      <c r="BG19" s="980"/>
      <c r="BH19" s="980"/>
      <c r="BI19" s="980"/>
      <c r="BJ19" s="980"/>
      <c r="BK19" s="980"/>
      <c r="BL19" s="980"/>
    </row>
    <row r="20" spans="1:64" ht="18" customHeight="1" thickBot="1">
      <c r="A20" s="980"/>
      <c r="B20" s="989"/>
      <c r="C20" s="982"/>
      <c r="D20" s="982"/>
      <c r="E20" s="982"/>
      <c r="F20" s="989"/>
      <c r="G20" s="989"/>
      <c r="H20" s="998" t="s">
        <v>380</v>
      </c>
      <c r="I20" s="982"/>
      <c r="J20" s="993">
        <v>19</v>
      </c>
      <c r="K20" s="992" t="s">
        <v>81</v>
      </c>
      <c r="L20" s="1003"/>
      <c r="M20" s="990">
        <v>0</v>
      </c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0"/>
      <c r="AF20" s="980"/>
      <c r="AG20" s="980"/>
      <c r="AH20" s="980"/>
      <c r="AI20" s="980"/>
      <c r="AJ20" s="980"/>
      <c r="AK20" s="980"/>
      <c r="AL20" s="980"/>
      <c r="AM20" s="980"/>
      <c r="AN20" s="980"/>
      <c r="AO20" s="980"/>
      <c r="AP20" s="980"/>
      <c r="AQ20" s="980"/>
      <c r="AR20" s="980"/>
      <c r="AS20" s="980"/>
      <c r="AT20" s="980"/>
      <c r="AU20" s="980"/>
      <c r="AV20" s="980"/>
      <c r="AW20" s="980"/>
      <c r="AX20" s="980"/>
      <c r="AY20" s="980"/>
      <c r="AZ20" s="980"/>
      <c r="BA20" s="980"/>
      <c r="BB20" s="980"/>
      <c r="BC20" s="980"/>
      <c r="BD20" s="980"/>
      <c r="BE20" s="980"/>
      <c r="BF20" s="980"/>
      <c r="BG20" s="980"/>
      <c r="BH20" s="980"/>
      <c r="BI20" s="980"/>
      <c r="BJ20" s="980"/>
      <c r="BK20" s="980"/>
      <c r="BL20" s="980"/>
    </row>
    <row r="21" spans="1:64" ht="18" customHeight="1">
      <c r="A21" s="980"/>
      <c r="B21" s="982"/>
      <c r="C21" s="982"/>
      <c r="D21" s="982"/>
      <c r="E21" s="982"/>
      <c r="F21" s="982"/>
      <c r="G21" s="982"/>
      <c r="H21" s="982" t="s">
        <v>378</v>
      </c>
      <c r="I21" s="982"/>
      <c r="J21" s="988">
        <v>20</v>
      </c>
      <c r="K21" s="987"/>
      <c r="L21" s="986" t="s">
        <v>385</v>
      </c>
      <c r="M21" s="985">
        <f>SUM(M17:M20)</f>
        <v>0</v>
      </c>
      <c r="N21" s="980"/>
      <c r="O21" s="980"/>
      <c r="P21" s="980"/>
      <c r="Q21" s="980"/>
      <c r="R21" s="980"/>
      <c r="S21" s="980"/>
      <c r="T21" s="980"/>
      <c r="U21" s="980"/>
      <c r="V21" s="980"/>
      <c r="W21" s="980"/>
      <c r="X21" s="980"/>
      <c r="Y21" s="980"/>
      <c r="Z21" s="980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0"/>
      <c r="AP21" s="980"/>
      <c r="AQ21" s="980"/>
      <c r="AR21" s="980"/>
      <c r="AS21" s="980"/>
      <c r="AT21" s="980"/>
      <c r="AU21" s="980"/>
      <c r="AV21" s="980"/>
      <c r="AW21" s="980"/>
      <c r="AX21" s="980"/>
      <c r="AY21" s="980"/>
      <c r="AZ21" s="980"/>
      <c r="BA21" s="980"/>
      <c r="BB21" s="980"/>
      <c r="BC21" s="980"/>
      <c r="BD21" s="980"/>
      <c r="BE21" s="980"/>
      <c r="BF21" s="980"/>
      <c r="BG21" s="980"/>
      <c r="BH21" s="980"/>
      <c r="BI21" s="980"/>
      <c r="BJ21" s="980"/>
      <c r="BK21" s="980"/>
      <c r="BL21" s="980"/>
    </row>
    <row r="22" spans="1:64" ht="18" customHeight="1">
      <c r="A22" s="980"/>
      <c r="B22" s="1002" t="s">
        <v>384</v>
      </c>
      <c r="C22" s="1002"/>
      <c r="D22" s="1002"/>
      <c r="E22" s="1002"/>
      <c r="F22" s="1001"/>
      <c r="G22" s="982"/>
      <c r="H22" s="982"/>
      <c r="I22" s="982"/>
      <c r="J22" s="1000" t="s">
        <v>383</v>
      </c>
      <c r="K22" s="999" t="s">
        <v>382</v>
      </c>
      <c r="L22" s="999"/>
      <c r="M22" s="999"/>
      <c r="N22" s="980"/>
      <c r="O22" s="980"/>
      <c r="P22" s="980"/>
      <c r="Q22" s="980"/>
      <c r="R22" s="980"/>
      <c r="S22" s="980"/>
      <c r="T22" s="980"/>
      <c r="U22" s="980"/>
      <c r="V22" s="980"/>
      <c r="W22" s="980"/>
      <c r="X22" s="980"/>
      <c r="Y22" s="980"/>
      <c r="Z22" s="980"/>
      <c r="AA22" s="980"/>
      <c r="AB22" s="980"/>
      <c r="AC22" s="980"/>
      <c r="AD22" s="980"/>
      <c r="AE22" s="980"/>
      <c r="AF22" s="980"/>
      <c r="AG22" s="980"/>
      <c r="AH22" s="980"/>
      <c r="AI22" s="980"/>
      <c r="AJ22" s="980"/>
      <c r="AK22" s="980"/>
      <c r="AL22" s="980"/>
      <c r="AM22" s="980"/>
      <c r="AN22" s="980"/>
      <c r="AO22" s="980"/>
      <c r="AP22" s="980"/>
      <c r="AQ22" s="980"/>
      <c r="AR22" s="980"/>
      <c r="AS22" s="980"/>
      <c r="AT22" s="980"/>
      <c r="AU22" s="980"/>
      <c r="AV22" s="980"/>
      <c r="AW22" s="980"/>
      <c r="AX22" s="980"/>
      <c r="AY22" s="980"/>
      <c r="AZ22" s="980"/>
      <c r="BA22" s="980"/>
      <c r="BB22" s="980"/>
      <c r="BC22" s="980"/>
      <c r="BD22" s="980"/>
      <c r="BE22" s="980"/>
      <c r="BF22" s="980"/>
      <c r="BG22" s="980"/>
      <c r="BH22" s="980"/>
      <c r="BI22" s="980"/>
      <c r="BJ22" s="980"/>
      <c r="BK22" s="980"/>
      <c r="BL22" s="980"/>
    </row>
    <row r="23" spans="1:64" ht="18" customHeight="1">
      <c r="A23" s="980"/>
      <c r="B23" s="982"/>
      <c r="C23" s="998" t="s">
        <v>381</v>
      </c>
      <c r="D23" s="998"/>
      <c r="E23" s="998" t="s">
        <v>380</v>
      </c>
      <c r="F23" s="998"/>
      <c r="G23" s="982"/>
      <c r="H23" s="982"/>
      <c r="I23" s="982"/>
      <c r="J23" s="997">
        <v>21</v>
      </c>
      <c r="K23" s="996"/>
      <c r="L23" s="995" t="s">
        <v>379</v>
      </c>
      <c r="M23" s="994">
        <f>ROUND(F15,2)+I15+M15+M21</f>
        <v>0</v>
      </c>
      <c r="N23" s="980"/>
      <c r="O23" s="980"/>
      <c r="P23" s="980"/>
      <c r="Q23" s="980"/>
      <c r="R23" s="980"/>
      <c r="S23" s="980"/>
      <c r="T23" s="980"/>
      <c r="U23" s="980"/>
      <c r="V23" s="980"/>
      <c r="W23" s="980"/>
      <c r="X23" s="980"/>
      <c r="Y23" s="980"/>
      <c r="Z23" s="980"/>
      <c r="AA23" s="980"/>
      <c r="AB23" s="980"/>
      <c r="AC23" s="980"/>
      <c r="AD23" s="980"/>
      <c r="AE23" s="980"/>
      <c r="AF23" s="980"/>
      <c r="AG23" s="980"/>
      <c r="AH23" s="980"/>
      <c r="AI23" s="980"/>
      <c r="AJ23" s="980"/>
      <c r="AK23" s="980"/>
      <c r="AL23" s="980"/>
      <c r="AM23" s="980"/>
      <c r="AN23" s="980"/>
      <c r="AO23" s="980"/>
      <c r="AP23" s="980"/>
      <c r="AQ23" s="980"/>
      <c r="AR23" s="980"/>
      <c r="AS23" s="980"/>
      <c r="AT23" s="980"/>
      <c r="AU23" s="980"/>
      <c r="AV23" s="980"/>
      <c r="AW23" s="980"/>
      <c r="AX23" s="980"/>
      <c r="AY23" s="980"/>
      <c r="AZ23" s="980"/>
      <c r="BA23" s="980"/>
      <c r="BB23" s="980"/>
      <c r="BC23" s="980"/>
      <c r="BD23" s="980"/>
      <c r="BE23" s="980"/>
      <c r="BF23" s="980"/>
      <c r="BG23" s="980"/>
      <c r="BH23" s="980"/>
      <c r="BI23" s="980"/>
      <c r="BJ23" s="980"/>
      <c r="BK23" s="980"/>
      <c r="BL23" s="980"/>
    </row>
    <row r="24" spans="1:64" ht="18" customHeight="1">
      <c r="A24" s="980"/>
      <c r="B24" s="989"/>
      <c r="C24" s="982" t="s">
        <v>378</v>
      </c>
      <c r="D24" s="982"/>
      <c r="E24" s="982"/>
      <c r="F24" s="989"/>
      <c r="G24" s="982"/>
      <c r="H24" s="982"/>
      <c r="I24" s="982"/>
      <c r="J24" s="993">
        <v>22</v>
      </c>
      <c r="K24" s="992" t="s">
        <v>377</v>
      </c>
      <c r="L24" s="991">
        <f>M23-L25</f>
        <v>0</v>
      </c>
      <c r="M24" s="990">
        <f>ROUND((L24*20)/100,2)</f>
        <v>0</v>
      </c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0"/>
      <c r="AA24" s="980"/>
      <c r="AB24" s="980"/>
      <c r="AC24" s="980"/>
      <c r="AD24" s="980"/>
      <c r="AE24" s="980"/>
      <c r="AF24" s="980"/>
      <c r="AG24" s="980"/>
      <c r="AH24" s="980"/>
      <c r="AI24" s="980"/>
      <c r="AJ24" s="980"/>
      <c r="AK24" s="980"/>
      <c r="AL24" s="980"/>
      <c r="AM24" s="980"/>
      <c r="AN24" s="980"/>
      <c r="AO24" s="980"/>
      <c r="AP24" s="980"/>
      <c r="AQ24" s="980"/>
      <c r="AR24" s="980"/>
      <c r="AS24" s="980"/>
      <c r="AT24" s="980"/>
      <c r="AU24" s="980"/>
      <c r="AV24" s="980"/>
      <c r="AW24" s="980"/>
      <c r="AX24" s="980"/>
      <c r="AY24" s="980"/>
      <c r="AZ24" s="980"/>
      <c r="BA24" s="980"/>
      <c r="BB24" s="980"/>
      <c r="BC24" s="980"/>
      <c r="BD24" s="980"/>
      <c r="BE24" s="980"/>
      <c r="BF24" s="980"/>
      <c r="BG24" s="980"/>
      <c r="BH24" s="980"/>
      <c r="BI24" s="980"/>
      <c r="BJ24" s="980"/>
      <c r="BK24" s="980"/>
      <c r="BL24" s="980"/>
    </row>
    <row r="25" spans="1:64" ht="18" customHeight="1" thickBot="1">
      <c r="A25" s="980"/>
      <c r="B25" s="989"/>
      <c r="C25" s="982"/>
      <c r="D25" s="982"/>
      <c r="E25" s="982"/>
      <c r="F25" s="989"/>
      <c r="G25" s="982"/>
      <c r="H25" s="982"/>
      <c r="I25" s="982"/>
      <c r="J25" s="993">
        <v>23</v>
      </c>
      <c r="K25" s="992" t="s">
        <v>376</v>
      </c>
      <c r="L25" s="991">
        <f>SUMIF(VV_Zadanie_SO_02!O11:O9999,0,VV_Zadanie_SO_02!J11:J9999)</f>
        <v>0</v>
      </c>
      <c r="M25" s="990">
        <f>ROUND((L25*0)/100,2)</f>
        <v>0</v>
      </c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0"/>
      <c r="AF25" s="980"/>
      <c r="AG25" s="980"/>
      <c r="AH25" s="980"/>
      <c r="AI25" s="980"/>
      <c r="AJ25" s="980"/>
      <c r="AK25" s="980"/>
      <c r="AL25" s="980"/>
      <c r="AM25" s="980"/>
      <c r="AN25" s="980"/>
      <c r="AO25" s="980"/>
      <c r="AP25" s="980"/>
      <c r="AQ25" s="980"/>
      <c r="AR25" s="980"/>
      <c r="AS25" s="980"/>
      <c r="AT25" s="980"/>
      <c r="AU25" s="980"/>
      <c r="AV25" s="980"/>
      <c r="AW25" s="980"/>
      <c r="AX25" s="980"/>
      <c r="AY25" s="980"/>
      <c r="AZ25" s="980"/>
      <c r="BA25" s="980"/>
      <c r="BB25" s="980"/>
      <c r="BC25" s="980"/>
      <c r="BD25" s="980"/>
      <c r="BE25" s="980"/>
      <c r="BF25" s="980"/>
      <c r="BG25" s="980"/>
      <c r="BH25" s="980"/>
      <c r="BI25" s="980"/>
      <c r="BJ25" s="980"/>
      <c r="BK25" s="980"/>
      <c r="BL25" s="980"/>
    </row>
    <row r="26" spans="1:64" ht="18" customHeight="1">
      <c r="A26" s="980"/>
      <c r="B26" s="989"/>
      <c r="C26" s="982"/>
      <c r="D26" s="982"/>
      <c r="E26" s="982"/>
      <c r="F26" s="989"/>
      <c r="G26" s="982"/>
      <c r="H26" s="982"/>
      <c r="I26" s="982"/>
      <c r="J26" s="988">
        <v>24</v>
      </c>
      <c r="K26" s="987"/>
      <c r="L26" s="986" t="s">
        <v>375</v>
      </c>
      <c r="M26" s="985">
        <f>M23+M24+M25</f>
        <v>0</v>
      </c>
      <c r="N26" s="980"/>
      <c r="O26" s="980"/>
      <c r="P26" s="980"/>
      <c r="Q26" s="980"/>
      <c r="R26" s="980"/>
      <c r="S26" s="980"/>
      <c r="T26" s="980"/>
      <c r="U26" s="980"/>
      <c r="V26" s="980"/>
      <c r="W26" s="980"/>
      <c r="X26" s="980"/>
      <c r="Y26" s="980"/>
      <c r="Z26" s="980"/>
      <c r="AA26" s="980"/>
      <c r="AB26" s="980"/>
      <c r="AC26" s="980"/>
      <c r="AD26" s="980"/>
      <c r="AE26" s="980"/>
      <c r="AF26" s="980"/>
      <c r="AG26" s="980"/>
      <c r="AH26" s="980"/>
      <c r="AI26" s="980"/>
      <c r="AJ26" s="980"/>
      <c r="AK26" s="980"/>
      <c r="AL26" s="980"/>
      <c r="AM26" s="980"/>
      <c r="AN26" s="980"/>
      <c r="AO26" s="980"/>
      <c r="AP26" s="980"/>
      <c r="AQ26" s="980"/>
      <c r="AR26" s="980"/>
      <c r="AS26" s="980"/>
      <c r="AT26" s="980"/>
      <c r="AU26" s="980"/>
      <c r="AV26" s="980"/>
      <c r="AW26" s="980"/>
      <c r="AX26" s="980"/>
      <c r="AY26" s="980"/>
      <c r="AZ26" s="980"/>
      <c r="BA26" s="980"/>
      <c r="BB26" s="980"/>
      <c r="BC26" s="980"/>
      <c r="BD26" s="980"/>
      <c r="BE26" s="980"/>
      <c r="BF26" s="980"/>
      <c r="BG26" s="980"/>
      <c r="BH26" s="980"/>
      <c r="BI26" s="980"/>
      <c r="BJ26" s="980"/>
      <c r="BK26" s="980"/>
      <c r="BL26" s="980"/>
    </row>
    <row r="27" spans="1:64" ht="16.5" customHeight="1">
      <c r="A27" s="980"/>
      <c r="B27" s="982"/>
      <c r="C27" s="982"/>
      <c r="D27" s="982"/>
      <c r="E27" s="982"/>
      <c r="F27" s="982"/>
      <c r="G27" s="982"/>
      <c r="H27" s="982"/>
      <c r="I27" s="982"/>
      <c r="J27" s="984" t="s">
        <v>374</v>
      </c>
      <c r="K27" s="983" t="s">
        <v>373</v>
      </c>
      <c r="L27" s="982"/>
      <c r="M27" s="981">
        <v>0</v>
      </c>
      <c r="N27" s="980"/>
      <c r="O27" s="980"/>
      <c r="P27" s="980"/>
      <c r="Q27" s="980"/>
      <c r="R27" s="980"/>
      <c r="S27" s="980"/>
      <c r="T27" s="980"/>
      <c r="U27" s="980"/>
      <c r="V27" s="980"/>
      <c r="W27" s="980"/>
      <c r="X27" s="980"/>
      <c r="Y27" s="980"/>
      <c r="Z27" s="980"/>
      <c r="AA27" s="980"/>
      <c r="AB27" s="980"/>
      <c r="AC27" s="980"/>
      <c r="AD27" s="980"/>
      <c r="AE27" s="980"/>
      <c r="AF27" s="980"/>
      <c r="AG27" s="980"/>
      <c r="AH27" s="980"/>
      <c r="AI27" s="980"/>
      <c r="AJ27" s="980"/>
      <c r="AK27" s="980"/>
      <c r="AL27" s="980"/>
      <c r="AM27" s="980"/>
      <c r="AN27" s="980"/>
      <c r="AO27" s="980"/>
      <c r="AP27" s="980"/>
      <c r="AQ27" s="980"/>
      <c r="AR27" s="980"/>
      <c r="AS27" s="980"/>
      <c r="AT27" s="980"/>
      <c r="AU27" s="980"/>
      <c r="AV27" s="980"/>
      <c r="AW27" s="980"/>
      <c r="AX27" s="980"/>
      <c r="AY27" s="980"/>
      <c r="AZ27" s="980"/>
      <c r="BA27" s="980"/>
      <c r="BB27" s="980"/>
      <c r="BC27" s="980"/>
      <c r="BD27" s="980"/>
      <c r="BE27" s="980"/>
      <c r="BF27" s="980"/>
      <c r="BG27" s="980"/>
      <c r="BH27" s="980"/>
      <c r="BI27" s="980"/>
      <c r="BJ27" s="980"/>
      <c r="BK27" s="980"/>
      <c r="BL27" s="980"/>
    </row>
    <row r="28" spans="1:64" ht="14.25" customHeight="1">
      <c r="A28" s="980"/>
      <c r="B28" s="980"/>
      <c r="C28" s="980"/>
      <c r="D28" s="980"/>
      <c r="E28" s="980"/>
      <c r="F28" s="980"/>
      <c r="G28" s="980"/>
      <c r="H28" s="980"/>
      <c r="I28" s="980"/>
      <c r="J28" s="980"/>
      <c r="K28" s="980"/>
      <c r="L28" s="980"/>
      <c r="M28" s="980"/>
      <c r="N28" s="980"/>
      <c r="O28" s="980"/>
      <c r="P28" s="980"/>
      <c r="Q28" s="980"/>
      <c r="R28" s="980"/>
      <c r="S28" s="980"/>
      <c r="T28" s="980"/>
      <c r="U28" s="980"/>
      <c r="V28" s="980"/>
      <c r="W28" s="980"/>
      <c r="X28" s="980"/>
      <c r="Y28" s="980"/>
      <c r="Z28" s="980"/>
      <c r="AA28" s="980"/>
      <c r="AB28" s="980"/>
      <c r="AC28" s="980"/>
      <c r="AD28" s="980"/>
      <c r="AE28" s="980"/>
      <c r="AF28" s="980"/>
      <c r="AG28" s="980"/>
      <c r="AH28" s="980"/>
      <c r="AI28" s="980"/>
      <c r="AJ28" s="980"/>
      <c r="AK28" s="980"/>
      <c r="AL28" s="980"/>
      <c r="AM28" s="980"/>
      <c r="AN28" s="980"/>
      <c r="AO28" s="980"/>
      <c r="AP28" s="980"/>
      <c r="AQ28" s="980"/>
      <c r="AR28" s="980"/>
      <c r="AS28" s="980"/>
      <c r="AT28" s="980"/>
      <c r="AU28" s="980"/>
      <c r="AV28" s="980"/>
      <c r="AW28" s="980"/>
      <c r="AX28" s="980"/>
      <c r="AY28" s="980"/>
      <c r="AZ28" s="980"/>
      <c r="BA28" s="980"/>
      <c r="BB28" s="980"/>
      <c r="BC28" s="980"/>
      <c r="BD28" s="980"/>
      <c r="BE28" s="980"/>
      <c r="BF28" s="980"/>
      <c r="BG28" s="980"/>
      <c r="BH28" s="980"/>
      <c r="BI28" s="980"/>
      <c r="BJ28" s="980"/>
      <c r="BK28" s="980"/>
      <c r="BL28" s="980"/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"/>
  <sheetViews>
    <sheetView showGridLines="0" zoomScalePageLayoutView="0" workbookViewId="0" topLeftCell="A1">
      <pane xSplit="1" ySplit="10" topLeftCell="B26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E3" sqref="E3"/>
    </sheetView>
  </sheetViews>
  <sheetFormatPr defaultColWidth="11.57421875" defaultRowHeight="13.5" customHeight="1"/>
  <cols>
    <col min="1" max="1" width="45.8515625" style="1045" customWidth="1"/>
    <col min="2" max="2" width="24.7109375" style="1044" bestFit="1" customWidth="1"/>
    <col min="3" max="3" width="8.00390625" style="1044" bestFit="1" customWidth="1"/>
    <col min="4" max="4" width="6.140625" style="1044" bestFit="1" customWidth="1"/>
    <col min="5" max="5" width="11.28125" style="1043" bestFit="1" customWidth="1"/>
    <col min="6" max="6" width="7.421875" style="1042" bestFit="1" customWidth="1"/>
    <col min="7" max="7" width="5.140625" style="1042" bestFit="1" customWidth="1"/>
    <col min="8" max="23" width="12.57421875" style="1041" customWidth="1"/>
    <col min="24" max="25" width="5.7109375" style="1041" customWidth="1"/>
    <col min="26" max="26" width="6.57421875" style="1041" customWidth="1"/>
    <col min="27" max="27" width="24.28125" style="1041" customWidth="1"/>
    <col min="28" max="28" width="4.28125" style="1041" customWidth="1"/>
    <col min="29" max="29" width="8.28125" style="1041" customWidth="1"/>
    <col min="30" max="30" width="8.7109375" style="1041" customWidth="1"/>
    <col min="31" max="64" width="12.57421875" style="1041" customWidth="1"/>
    <col min="65" max="16384" width="11.57421875" style="979" customWidth="1"/>
  </cols>
  <sheetData>
    <row r="1" spans="1:30" ht="12.75">
      <c r="A1" s="1054" t="s">
        <v>486</v>
      </c>
      <c r="C1" s="1041"/>
      <c r="E1" s="1054" t="s">
        <v>436</v>
      </c>
      <c r="F1" s="1041"/>
      <c r="G1" s="1041"/>
      <c r="Z1" s="1034" t="s">
        <v>448</v>
      </c>
      <c r="AA1" s="1034" t="s">
        <v>447</v>
      </c>
      <c r="AB1" s="1034" t="s">
        <v>446</v>
      </c>
      <c r="AC1" s="1034" t="s">
        <v>445</v>
      </c>
      <c r="AD1" s="1034" t="s">
        <v>444</v>
      </c>
    </row>
    <row r="2" spans="1:30" ht="12.75">
      <c r="A2" s="1054" t="s">
        <v>485</v>
      </c>
      <c r="C2" s="1041"/>
      <c r="E2" s="1054" t="s">
        <v>437</v>
      </c>
      <c r="F2" s="1041"/>
      <c r="G2" s="1041"/>
      <c r="Z2" s="1034" t="s">
        <v>440</v>
      </c>
      <c r="AA2" s="1032" t="s">
        <v>484</v>
      </c>
      <c r="AB2" s="1033" t="s">
        <v>425</v>
      </c>
      <c r="AC2" s="1032"/>
      <c r="AD2" s="1031"/>
    </row>
    <row r="3" spans="1:30" ht="12.75">
      <c r="A3" s="1054" t="s">
        <v>483</v>
      </c>
      <c r="C3" s="1041"/>
      <c r="E3" s="1054" t="s">
        <v>787</v>
      </c>
      <c r="F3" s="1041"/>
      <c r="G3" s="1041"/>
      <c r="Z3" s="1034" t="s">
        <v>435</v>
      </c>
      <c r="AA3" s="1032" t="s">
        <v>480</v>
      </c>
      <c r="AB3" s="1033" t="s">
        <v>425</v>
      </c>
      <c r="AC3" s="1032" t="s">
        <v>424</v>
      </c>
      <c r="AD3" s="1031" t="s">
        <v>423</v>
      </c>
    </row>
    <row r="4" spans="1:30" ht="12.75">
      <c r="A4" s="1041"/>
      <c r="B4" s="1041"/>
      <c r="C4" s="1041"/>
      <c r="D4" s="1041"/>
      <c r="E4" s="1041"/>
      <c r="F4" s="1041"/>
      <c r="G4" s="1041"/>
      <c r="Z4" s="1034" t="s">
        <v>433</v>
      </c>
      <c r="AA4" s="1032" t="s">
        <v>482</v>
      </c>
      <c r="AB4" s="1033" t="s">
        <v>425</v>
      </c>
      <c r="AC4" s="1032"/>
      <c r="AD4" s="1031"/>
    </row>
    <row r="5" spans="1:30" ht="12.75">
      <c r="A5" s="1054" t="s">
        <v>481</v>
      </c>
      <c r="B5" s="1041"/>
      <c r="C5" s="1041"/>
      <c r="D5" s="1041"/>
      <c r="E5" s="1041"/>
      <c r="F5" s="1041"/>
      <c r="G5" s="1041"/>
      <c r="Z5" s="1034" t="s">
        <v>430</v>
      </c>
      <c r="AA5" s="1032" t="s">
        <v>480</v>
      </c>
      <c r="AB5" s="1033" t="s">
        <v>425</v>
      </c>
      <c r="AC5" s="1032" t="s">
        <v>424</v>
      </c>
      <c r="AD5" s="1031" t="s">
        <v>423</v>
      </c>
    </row>
    <row r="6" spans="1:30" ht="12.75">
      <c r="A6" s="1054" t="s">
        <v>479</v>
      </c>
      <c r="B6" s="1041"/>
      <c r="C6" s="1041"/>
      <c r="D6" s="1041"/>
      <c r="E6" s="1041"/>
      <c r="F6" s="1041"/>
      <c r="G6" s="1041"/>
      <c r="Z6" s="1055" t="s">
        <v>427</v>
      </c>
      <c r="AA6" s="1032" t="s">
        <v>478</v>
      </c>
      <c r="AB6" s="1033" t="s">
        <v>425</v>
      </c>
      <c r="AC6" s="1032" t="s">
        <v>424</v>
      </c>
      <c r="AD6" s="1031" t="s">
        <v>423</v>
      </c>
    </row>
    <row r="7" spans="1:7" ht="12.75">
      <c r="A7" s="1054"/>
      <c r="B7" s="1041"/>
      <c r="C7" s="1041"/>
      <c r="D7" s="1041"/>
      <c r="E7" s="1041"/>
      <c r="F7" s="1041"/>
      <c r="G7" s="1041"/>
    </row>
    <row r="8" spans="1:7" ht="13.5">
      <c r="A8" s="1041"/>
      <c r="B8" s="1053" t="str">
        <f>CONCATENATE(AA2," ",AB2," ",AC2," ",AD2)</f>
        <v>Rekapitulácia rozpočtu v EUR  </v>
      </c>
      <c r="G8" s="1041"/>
    </row>
    <row r="9" spans="1:7" ht="12.75">
      <c r="A9" s="1052" t="s">
        <v>477</v>
      </c>
      <c r="B9" s="1052" t="s">
        <v>412</v>
      </c>
      <c r="C9" s="1052" t="s">
        <v>476</v>
      </c>
      <c r="D9" s="1052" t="s">
        <v>471</v>
      </c>
      <c r="E9" s="1050" t="s">
        <v>475</v>
      </c>
      <c r="F9" s="1050" t="s">
        <v>474</v>
      </c>
      <c r="G9" s="1050" t="s">
        <v>473</v>
      </c>
    </row>
    <row r="10" spans="1:7" ht="12.75">
      <c r="A10" s="1051"/>
      <c r="B10" s="1051"/>
      <c r="C10" s="1051" t="s">
        <v>472</v>
      </c>
      <c r="D10" s="1051"/>
      <c r="E10" s="1050" t="s">
        <v>471</v>
      </c>
      <c r="F10" s="1050" t="s">
        <v>471</v>
      </c>
      <c r="G10" s="1050" t="s">
        <v>471</v>
      </c>
    </row>
    <row r="12" spans="1:7" ht="13.5" customHeight="1">
      <c r="A12" s="1049" t="s">
        <v>470</v>
      </c>
      <c r="B12" s="1048">
        <f>VV_Zadanie_SO_02!H15</f>
        <v>0</v>
      </c>
      <c r="C12" s="1048">
        <f>VV_Zadanie_SO_02!I15</f>
        <v>0</v>
      </c>
      <c r="D12" s="1048">
        <f>VV_Zadanie_SO_02!J15</f>
        <v>0</v>
      </c>
      <c r="E12" s="1047">
        <f>VV_Zadanie_SO_02!L15</f>
        <v>0</v>
      </c>
      <c r="F12" s="1046">
        <f>VV_Zadanie_SO_02!N15</f>
        <v>0</v>
      </c>
      <c r="G12" s="1046">
        <f>VV_Zadanie_SO_02!W15</f>
        <v>0</v>
      </c>
    </row>
    <row r="13" spans="1:7" ht="13.5" customHeight="1">
      <c r="A13" s="1049" t="s">
        <v>469</v>
      </c>
      <c r="B13" s="1048">
        <f>VV_Zadanie_SO_02!H17</f>
        <v>0</v>
      </c>
      <c r="C13" s="1048">
        <f>VV_Zadanie_SO_02!I17</f>
        <v>0</v>
      </c>
      <c r="D13" s="1048">
        <f>VV_Zadanie_SO_02!J17</f>
        <v>0</v>
      </c>
      <c r="E13" s="1047">
        <f>VV_Zadanie_SO_02!L17</f>
        <v>0</v>
      </c>
      <c r="F13" s="1046">
        <f>VV_Zadanie_SO_02!N17</f>
        <v>0</v>
      </c>
      <c r="G13" s="1046">
        <f>VV_Zadanie_SO_02!W17</f>
        <v>0</v>
      </c>
    </row>
    <row r="14" spans="1:7" ht="13.5" customHeight="1">
      <c r="A14" s="1049"/>
      <c r="B14" s="1048"/>
      <c r="C14" s="1048"/>
      <c r="D14" s="1048"/>
      <c r="E14" s="1047"/>
      <c r="F14" s="1046"/>
      <c r="G14" s="1046"/>
    </row>
    <row r="15" spans="1:7" ht="13.5" customHeight="1">
      <c r="A15" s="1049" t="s">
        <v>468</v>
      </c>
      <c r="B15" s="1048">
        <f>VV_Zadanie_SO_02!H24</f>
        <v>0</v>
      </c>
      <c r="C15" s="1048">
        <f>VV_Zadanie_SO_02!I24</f>
        <v>0</v>
      </c>
      <c r="D15" s="1048">
        <f>VV_Zadanie_SO_02!J24</f>
        <v>0</v>
      </c>
      <c r="E15" s="1047">
        <f>VV_Zadanie_SO_02!L24</f>
        <v>0</v>
      </c>
      <c r="F15" s="1046">
        <f>VV_Zadanie_SO_02!N24</f>
        <v>0</v>
      </c>
      <c r="G15" s="1046">
        <f>VV_Zadanie_SO_02!W24</f>
        <v>37</v>
      </c>
    </row>
    <row r="16" spans="1:7" ht="13.5" customHeight="1">
      <c r="A16" s="1049" t="s">
        <v>467</v>
      </c>
      <c r="B16" s="1048">
        <f>VV_Zadanie_SO_02!H26</f>
        <v>0</v>
      </c>
      <c r="C16" s="1048">
        <f>VV_Zadanie_SO_02!I26</f>
        <v>0</v>
      </c>
      <c r="D16" s="1048">
        <f>VV_Zadanie_SO_02!J26</f>
        <v>0</v>
      </c>
      <c r="E16" s="1047">
        <f>VV_Zadanie_SO_02!L26</f>
        <v>0</v>
      </c>
      <c r="F16" s="1046">
        <f>VV_Zadanie_SO_02!N26</f>
        <v>0</v>
      </c>
      <c r="G16" s="1046">
        <f>VV_Zadanie_SO_02!W26</f>
        <v>37</v>
      </c>
    </row>
    <row r="17" spans="1:7" ht="13.5" customHeight="1">
      <c r="A17" s="1049"/>
      <c r="B17" s="1048"/>
      <c r="C17" s="1048"/>
      <c r="D17" s="1048"/>
      <c r="E17" s="1047"/>
      <c r="F17" s="1046"/>
      <c r="G17" s="1046"/>
    </row>
    <row r="18" spans="1:7" ht="13.5" customHeight="1">
      <c r="A18" s="1049" t="s">
        <v>466</v>
      </c>
      <c r="B18" s="1048">
        <f>VV_Zadanie_SO_02!H33</f>
        <v>0</v>
      </c>
      <c r="C18" s="1048">
        <f>VV_Zadanie_SO_02!I33</f>
        <v>0</v>
      </c>
      <c r="D18" s="1048">
        <f>VV_Zadanie_SO_02!J33</f>
        <v>0</v>
      </c>
      <c r="E18" s="1047">
        <f>VV_Zadanie_SO_02!L33</f>
        <v>0</v>
      </c>
      <c r="F18" s="1046">
        <f>VV_Zadanie_SO_02!N33</f>
        <v>0</v>
      </c>
      <c r="G18" s="1046">
        <f>VV_Zadanie_SO_02!W33</f>
        <v>6.319</v>
      </c>
    </row>
    <row r="19" spans="1:7" ht="13.5" customHeight="1">
      <c r="A19" s="1049" t="s">
        <v>465</v>
      </c>
      <c r="B19" s="1048">
        <f>VV_Zadanie_SO_02!H39</f>
        <v>0</v>
      </c>
      <c r="C19" s="1048">
        <f>VV_Zadanie_SO_02!I39</f>
        <v>0</v>
      </c>
      <c r="D19" s="1048">
        <f>VV_Zadanie_SO_02!J39</f>
        <v>0</v>
      </c>
      <c r="E19" s="1047">
        <f>VV_Zadanie_SO_02!L39</f>
        <v>0</v>
      </c>
      <c r="F19" s="1046">
        <f>VV_Zadanie_SO_02!N39</f>
        <v>0</v>
      </c>
      <c r="G19" s="1046">
        <f>VV_Zadanie_SO_02!W39</f>
        <v>12.815999999999999</v>
      </c>
    </row>
    <row r="20" spans="1:7" ht="13.5" customHeight="1">
      <c r="A20" s="1049" t="s">
        <v>464</v>
      </c>
      <c r="B20" s="1048">
        <f>VV_Zadanie_SO_02!H47</f>
        <v>0</v>
      </c>
      <c r="C20" s="1048">
        <f>VV_Zadanie_SO_02!I47</f>
        <v>0</v>
      </c>
      <c r="D20" s="1048">
        <f>VV_Zadanie_SO_02!J47</f>
        <v>0</v>
      </c>
      <c r="E20" s="1047">
        <f>VV_Zadanie_SO_02!L47</f>
        <v>0.6479999999999999</v>
      </c>
      <c r="F20" s="1046">
        <f>VV_Zadanie_SO_02!N47</f>
        <v>0</v>
      </c>
      <c r="G20" s="1046">
        <f>VV_Zadanie_SO_02!W47</f>
        <v>24.408</v>
      </c>
    </row>
    <row r="21" spans="1:7" ht="13.5" customHeight="1">
      <c r="A21" s="1049" t="s">
        <v>463</v>
      </c>
      <c r="B21" s="1048">
        <f>VV_Zadanie_SO_02!H52</f>
        <v>0</v>
      </c>
      <c r="C21" s="1048">
        <f>VV_Zadanie_SO_02!I52</f>
        <v>0</v>
      </c>
      <c r="D21" s="1048">
        <f>VV_Zadanie_SO_02!J52</f>
        <v>0</v>
      </c>
      <c r="E21" s="1047">
        <f>VV_Zadanie_SO_02!L52</f>
        <v>0.09</v>
      </c>
      <c r="F21" s="1046">
        <f>VV_Zadanie_SO_02!N52</f>
        <v>0</v>
      </c>
      <c r="G21" s="1046">
        <f>VV_Zadanie_SO_02!W52</f>
        <v>5.94</v>
      </c>
    </row>
    <row r="22" spans="1:7" ht="13.5" customHeight="1">
      <c r="A22" s="1049" t="s">
        <v>462</v>
      </c>
      <c r="B22" s="1048">
        <f>VV_Zadanie_SO_02!H58</f>
        <v>0</v>
      </c>
      <c r="C22" s="1048">
        <f>VV_Zadanie_SO_02!I58</f>
        <v>0</v>
      </c>
      <c r="D22" s="1048">
        <f>VV_Zadanie_SO_02!J58</f>
        <v>0</v>
      </c>
      <c r="E22" s="1047">
        <f>VV_Zadanie_SO_02!L58</f>
        <v>0.0176</v>
      </c>
      <c r="F22" s="1046">
        <f>VV_Zadanie_SO_02!N58</f>
        <v>0</v>
      </c>
      <c r="G22" s="1046">
        <f>VV_Zadanie_SO_02!W58</f>
        <v>3.2</v>
      </c>
    </row>
    <row r="23" spans="1:7" ht="13.5" customHeight="1">
      <c r="A23" s="1049" t="s">
        <v>461</v>
      </c>
      <c r="B23" s="1048">
        <f>VV_Zadanie_SO_02!H63</f>
        <v>0</v>
      </c>
      <c r="C23" s="1048">
        <f>VV_Zadanie_SO_02!I63</f>
        <v>0</v>
      </c>
      <c r="D23" s="1048">
        <f>VV_Zadanie_SO_02!J63</f>
        <v>0</v>
      </c>
      <c r="E23" s="1047">
        <f>VV_Zadanie_SO_02!L63</f>
        <v>0</v>
      </c>
      <c r="F23" s="1046">
        <f>VV_Zadanie_SO_02!N63</f>
        <v>0</v>
      </c>
      <c r="G23" s="1046">
        <f>VV_Zadanie_SO_02!W63</f>
        <v>7.38</v>
      </c>
    </row>
    <row r="24" spans="1:7" ht="13.5" customHeight="1">
      <c r="A24" s="1049" t="s">
        <v>460</v>
      </c>
      <c r="B24" s="1048">
        <f>VV_Zadanie_SO_02!H65</f>
        <v>0</v>
      </c>
      <c r="C24" s="1048">
        <f>VV_Zadanie_SO_02!I65</f>
        <v>0</v>
      </c>
      <c r="D24" s="1048">
        <f>VV_Zadanie_SO_02!J65</f>
        <v>0</v>
      </c>
      <c r="E24" s="1047">
        <f>VV_Zadanie_SO_02!L65</f>
        <v>0.7555999999999998</v>
      </c>
      <c r="F24" s="1046">
        <f>VV_Zadanie_SO_02!N65</f>
        <v>0</v>
      </c>
      <c r="G24" s="1046">
        <f>VV_Zadanie_SO_02!W65</f>
        <v>60.063</v>
      </c>
    </row>
    <row r="25" spans="1:7" ht="13.5" customHeight="1">
      <c r="A25" s="1049"/>
      <c r="B25" s="1048"/>
      <c r="C25" s="1048"/>
      <c r="D25" s="1048"/>
      <c r="E25" s="1047"/>
      <c r="F25" s="1046"/>
      <c r="G25" s="1046"/>
    </row>
    <row r="26" spans="1:7" ht="13.5" customHeight="1">
      <c r="A26" s="1049" t="s">
        <v>459</v>
      </c>
      <c r="B26" s="1048">
        <f>VV_Zadanie_SO_02!H70</f>
        <v>0</v>
      </c>
      <c r="C26" s="1048">
        <f>VV_Zadanie_SO_02!I70</f>
        <v>0</v>
      </c>
      <c r="D26" s="1048">
        <f>VV_Zadanie_SO_02!J70</f>
        <v>0</v>
      </c>
      <c r="E26" s="1047">
        <f>VV_Zadanie_SO_02!L70</f>
        <v>0</v>
      </c>
      <c r="F26" s="1046">
        <f>VV_Zadanie_SO_02!N70</f>
        <v>0</v>
      </c>
      <c r="G26" s="1046">
        <f>VV_Zadanie_SO_02!W70</f>
        <v>0.422628</v>
      </c>
    </row>
    <row r="27" spans="1:7" ht="13.5" customHeight="1">
      <c r="A27" s="1049" t="s">
        <v>458</v>
      </c>
      <c r="B27" s="1048">
        <f>VV_Zadanie_SO_02!H74</f>
        <v>0</v>
      </c>
      <c r="C27" s="1048">
        <f>VV_Zadanie_SO_02!I74</f>
        <v>0</v>
      </c>
      <c r="D27" s="1048">
        <f>VV_Zadanie_SO_02!J74</f>
        <v>0</v>
      </c>
      <c r="E27" s="1047">
        <f>VV_Zadanie_SO_02!L74</f>
        <v>0</v>
      </c>
      <c r="F27" s="1046">
        <f>VV_Zadanie_SO_02!N74</f>
        <v>0</v>
      </c>
      <c r="G27" s="1046">
        <f>VV_Zadanie_SO_02!W74</f>
        <v>5.712</v>
      </c>
    </row>
    <row r="28" spans="1:7" ht="13.5" customHeight="1">
      <c r="A28" s="1049" t="s">
        <v>457</v>
      </c>
      <c r="B28" s="1048">
        <f>VV_Zadanie_SO_02!H78</f>
        <v>0</v>
      </c>
      <c r="C28" s="1048">
        <f>VV_Zadanie_SO_02!I78</f>
        <v>0</v>
      </c>
      <c r="D28" s="1048">
        <f>VV_Zadanie_SO_02!J78</f>
        <v>0</v>
      </c>
      <c r="E28" s="1047">
        <f>VV_Zadanie_SO_02!L78</f>
        <v>0</v>
      </c>
      <c r="F28" s="1046">
        <f>VV_Zadanie_SO_02!N78</f>
        <v>0</v>
      </c>
      <c r="G28" s="1046">
        <f>VV_Zadanie_SO_02!W78</f>
        <v>9.568</v>
      </c>
    </row>
    <row r="29" spans="1:7" ht="13.5" customHeight="1">
      <c r="A29" s="1049" t="s">
        <v>456</v>
      </c>
      <c r="B29" s="1048">
        <f>VV_Zadanie_SO_02!H83</f>
        <v>0</v>
      </c>
      <c r="C29" s="1048">
        <f>VV_Zadanie_SO_02!I83</f>
        <v>0</v>
      </c>
      <c r="D29" s="1048">
        <f>VV_Zadanie_SO_02!J83</f>
        <v>0</v>
      </c>
      <c r="E29" s="1047">
        <f>VV_Zadanie_SO_02!L83</f>
        <v>0</v>
      </c>
      <c r="F29" s="1046">
        <f>VV_Zadanie_SO_02!N83</f>
        <v>0</v>
      </c>
      <c r="G29" s="1046">
        <f>VV_Zadanie_SO_02!W83</f>
        <v>12.522</v>
      </c>
    </row>
    <row r="30" spans="1:7" ht="13.5" customHeight="1">
      <c r="A30" s="1049" t="s">
        <v>455</v>
      </c>
      <c r="B30" s="1048">
        <f>VV_Zadanie_SO_02!H87</f>
        <v>0</v>
      </c>
      <c r="C30" s="1048">
        <f>VV_Zadanie_SO_02!I87</f>
        <v>0</v>
      </c>
      <c r="D30" s="1048">
        <f>VV_Zadanie_SO_02!J87</f>
        <v>0</v>
      </c>
      <c r="E30" s="1047">
        <f>VV_Zadanie_SO_02!L87</f>
        <v>0</v>
      </c>
      <c r="F30" s="1046">
        <f>VV_Zadanie_SO_02!N87</f>
        <v>0</v>
      </c>
      <c r="G30" s="1046">
        <f>VV_Zadanie_SO_02!W87</f>
        <v>24.779</v>
      </c>
    </row>
    <row r="31" spans="1:7" ht="13.5" customHeight="1">
      <c r="A31" s="1049" t="s">
        <v>454</v>
      </c>
      <c r="B31" s="1048">
        <f>VV_Zadanie_SO_02!H91</f>
        <v>0</v>
      </c>
      <c r="C31" s="1048">
        <f>VV_Zadanie_SO_02!I91</f>
        <v>0</v>
      </c>
      <c r="D31" s="1048">
        <f>VV_Zadanie_SO_02!J91</f>
        <v>0</v>
      </c>
      <c r="E31" s="1047">
        <f>VV_Zadanie_SO_02!L91</f>
        <v>0</v>
      </c>
      <c r="F31" s="1046">
        <f>VV_Zadanie_SO_02!N91</f>
        <v>0</v>
      </c>
      <c r="G31" s="1046">
        <f>VV_Zadanie_SO_02!W91</f>
        <v>1.846</v>
      </c>
    </row>
    <row r="32" spans="1:7" ht="13.5" customHeight="1">
      <c r="A32" s="1049" t="s">
        <v>453</v>
      </c>
      <c r="B32" s="1048">
        <f>VV_Zadanie_SO_02!H95</f>
        <v>0</v>
      </c>
      <c r="C32" s="1048">
        <f>VV_Zadanie_SO_02!I95</f>
        <v>0</v>
      </c>
      <c r="D32" s="1048">
        <f>VV_Zadanie_SO_02!J95</f>
        <v>0</v>
      </c>
      <c r="E32" s="1047">
        <f>VV_Zadanie_SO_02!L95</f>
        <v>0</v>
      </c>
      <c r="F32" s="1046">
        <f>VV_Zadanie_SO_02!N95</f>
        <v>0</v>
      </c>
      <c r="G32" s="1046">
        <f>VV_Zadanie_SO_02!W95</f>
        <v>9.372</v>
      </c>
    </row>
    <row r="33" spans="1:7" ht="13.5" customHeight="1">
      <c r="A33" s="1049" t="s">
        <v>452</v>
      </c>
      <c r="B33" s="1048">
        <f>VV_Zadanie_SO_02!H99</f>
        <v>0</v>
      </c>
      <c r="C33" s="1048">
        <f>VV_Zadanie_SO_02!I99</f>
        <v>0</v>
      </c>
      <c r="D33" s="1048">
        <f>VV_Zadanie_SO_02!J99</f>
        <v>0</v>
      </c>
      <c r="E33" s="1047">
        <f>VV_Zadanie_SO_02!L99</f>
        <v>0</v>
      </c>
      <c r="F33" s="1046">
        <f>VV_Zadanie_SO_02!N99</f>
        <v>0</v>
      </c>
      <c r="G33" s="1046">
        <f>VV_Zadanie_SO_02!W99</f>
        <v>2.436</v>
      </c>
    </row>
    <row r="34" spans="1:7" ht="13.5" customHeight="1">
      <c r="A34" s="1049" t="s">
        <v>451</v>
      </c>
      <c r="B34" s="1048">
        <f>VV_Zadanie_SO_02!H103</f>
        <v>0</v>
      </c>
      <c r="C34" s="1048">
        <f>VV_Zadanie_SO_02!I103</f>
        <v>0</v>
      </c>
      <c r="D34" s="1048">
        <f>VV_Zadanie_SO_02!J103</f>
        <v>0</v>
      </c>
      <c r="E34" s="1047">
        <f>VV_Zadanie_SO_02!L103</f>
        <v>0</v>
      </c>
      <c r="F34" s="1046">
        <f>VV_Zadanie_SO_02!N103</f>
        <v>0</v>
      </c>
      <c r="G34" s="1046">
        <f>VV_Zadanie_SO_02!W103</f>
        <v>2.9</v>
      </c>
    </row>
    <row r="35" spans="1:7" ht="13.5" customHeight="1">
      <c r="A35" s="1049" t="s">
        <v>450</v>
      </c>
      <c r="B35" s="1048">
        <f>VV_Zadanie_SO_02!H105</f>
        <v>0</v>
      </c>
      <c r="C35" s="1048">
        <f>VV_Zadanie_SO_02!I105</f>
        <v>0</v>
      </c>
      <c r="D35" s="1048">
        <f>VV_Zadanie_SO_02!J105</f>
        <v>0</v>
      </c>
      <c r="E35" s="1047">
        <f>VV_Zadanie_SO_02!L105</f>
        <v>0</v>
      </c>
      <c r="F35" s="1046">
        <f>VV_Zadanie_SO_02!N105</f>
        <v>0</v>
      </c>
      <c r="G35" s="1046">
        <f>VV_Zadanie_SO_02!W105</f>
        <v>69.557628</v>
      </c>
    </row>
    <row r="36" spans="1:7" ht="13.5" customHeight="1">
      <c r="A36" s="1049"/>
      <c r="B36" s="1048"/>
      <c r="C36" s="1048"/>
      <c r="D36" s="1048"/>
      <c r="E36" s="1047"/>
      <c r="F36" s="1046"/>
      <c r="G36" s="1046"/>
    </row>
    <row r="37" spans="1:7" ht="13.5" customHeight="1">
      <c r="A37" s="1049" t="s">
        <v>449</v>
      </c>
      <c r="B37" s="1048">
        <f>VV_Zadanie_SO_02!H107</f>
        <v>0</v>
      </c>
      <c r="C37" s="1048">
        <f>VV_Zadanie_SO_02!I107</f>
        <v>0</v>
      </c>
      <c r="D37" s="1048">
        <f>VV_Zadanie_SO_02!J107</f>
        <v>0</v>
      </c>
      <c r="E37" s="1047">
        <f>VV_Zadanie_SO_02!L107</f>
        <v>0.7555999999999998</v>
      </c>
      <c r="F37" s="1046">
        <f>VV_Zadanie_SO_02!N107</f>
        <v>0</v>
      </c>
      <c r="G37" s="1046">
        <f>VV_Zadanie_SO_02!W107</f>
        <v>166.620628</v>
      </c>
    </row>
    <row r="38" spans="1:7" ht="13.5" customHeight="1">
      <c r="A38" s="1049"/>
      <c r="B38" s="1048"/>
      <c r="C38" s="1048"/>
      <c r="D38" s="1048"/>
      <c r="E38" s="1047"/>
      <c r="F38" s="1046"/>
      <c r="G38" s="1046"/>
    </row>
    <row r="39" spans="1:7" ht="13.5" customHeight="1">
      <c r="A39" s="1049"/>
      <c r="B39" s="1048"/>
      <c r="C39" s="1048"/>
      <c r="D39" s="1048"/>
      <c r="E39" s="1047"/>
      <c r="F39" s="1046"/>
      <c r="G39" s="1046"/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L108"/>
  <sheetViews>
    <sheetView showGridLines="0" zoomScalePageLayoutView="0" workbookViewId="0" topLeftCell="A1">
      <pane xSplit="4" ySplit="10" topLeftCell="E26" activePane="bottomRight" state="frozen"/>
      <selection pane="topLeft" activeCell="R24" sqref="R24"/>
      <selection pane="topRight" activeCell="R24" sqref="R24"/>
      <selection pane="bottomLeft" activeCell="R24" sqref="R24"/>
      <selection pane="bottomRight" activeCell="G31" sqref="G31"/>
    </sheetView>
  </sheetViews>
  <sheetFormatPr defaultColWidth="9.140625" defaultRowHeight="12.75"/>
  <cols>
    <col min="1" max="1" width="3.7109375" style="1063" customWidth="1"/>
    <col min="2" max="2" width="5.28125" style="1062" customWidth="1"/>
    <col min="3" max="3" width="8.7109375" style="1057" bestFit="1" customWidth="1"/>
    <col min="4" max="4" width="47.7109375" style="1045" bestFit="1" customWidth="1"/>
    <col min="5" max="5" width="6.140625" style="1058" bestFit="1" customWidth="1"/>
    <col min="6" max="6" width="5.8515625" style="1056" customWidth="1"/>
    <col min="7" max="8" width="6.7109375" style="1061" bestFit="1" customWidth="1"/>
    <col min="9" max="9" width="11.28125" style="1061" bestFit="1" customWidth="1"/>
    <col min="10" max="10" width="6.140625" style="1061" bestFit="1" customWidth="1"/>
    <col min="11" max="11" width="6.7109375" style="1060" bestFit="1" customWidth="1"/>
    <col min="12" max="12" width="5.140625" style="1060" bestFit="1" customWidth="1"/>
    <col min="13" max="13" width="6.7109375" style="1058" bestFit="1" customWidth="1"/>
    <col min="14" max="14" width="3.7109375" style="1058" bestFit="1" customWidth="1"/>
    <col min="15" max="15" width="3.57421875" style="1056" customWidth="1"/>
    <col min="16" max="16" width="12.7109375" style="1056" hidden="1" customWidth="1"/>
    <col min="17" max="19" width="0" style="1058" hidden="1" customWidth="1"/>
    <col min="20" max="20" width="10.57421875" style="1059" hidden="1" customWidth="1"/>
    <col min="21" max="21" width="10.28125" style="1059" hidden="1" customWidth="1"/>
    <col min="22" max="22" width="5.7109375" style="1059" hidden="1" customWidth="1"/>
    <col min="23" max="23" width="9.140625" style="1058" hidden="1" customWidth="1"/>
    <col min="24" max="24" width="11.28125" style="1056" hidden="1" customWidth="1"/>
    <col min="25" max="25" width="9.140625" style="1056" hidden="1" customWidth="1"/>
    <col min="26" max="26" width="7.57421875" style="1057" hidden="1" customWidth="1"/>
    <col min="27" max="27" width="11.28125" style="1057" hidden="1" customWidth="1"/>
    <col min="28" max="28" width="4.28125" style="1056" hidden="1" customWidth="1"/>
    <col min="29" max="29" width="8.28125" style="1056" hidden="1" customWidth="1"/>
    <col min="30" max="30" width="8.7109375" style="1056" hidden="1" customWidth="1"/>
    <col min="31" max="34" width="9.140625" style="1056" hidden="1" customWidth="1"/>
    <col min="35" max="35" width="9.140625" style="1056" customWidth="1"/>
    <col min="36" max="40" width="0" style="1056" hidden="1" customWidth="1"/>
    <col min="41" max="64" width="9.140625" style="1056" customWidth="1"/>
    <col min="65" max="16384" width="8.8515625" style="979" customWidth="1"/>
  </cols>
  <sheetData>
    <row r="1" spans="1:64" ht="12.75">
      <c r="A1" s="1054" t="s">
        <v>486</v>
      </c>
      <c r="B1" s="1041"/>
      <c r="C1" s="1041"/>
      <c r="D1" s="1104"/>
      <c r="E1" s="1041"/>
      <c r="F1" s="1041"/>
      <c r="G1" s="1044"/>
      <c r="H1" s="1041"/>
      <c r="I1" s="1054" t="s">
        <v>436</v>
      </c>
      <c r="J1" s="1044"/>
      <c r="K1" s="1043"/>
      <c r="L1" s="1041"/>
      <c r="M1" s="1041"/>
      <c r="N1" s="1041"/>
      <c r="O1" s="1041"/>
      <c r="P1" s="1041"/>
      <c r="Q1" s="1042"/>
      <c r="R1" s="1042"/>
      <c r="S1" s="1042"/>
      <c r="T1" s="1041"/>
      <c r="U1" s="1041"/>
      <c r="V1" s="1041"/>
      <c r="W1" s="1041"/>
      <c r="X1" s="1041"/>
      <c r="Y1" s="1041"/>
      <c r="Z1" s="1109" t="s">
        <v>448</v>
      </c>
      <c r="AA1" s="1109" t="s">
        <v>447</v>
      </c>
      <c r="AB1" s="1034" t="s">
        <v>446</v>
      </c>
      <c r="AC1" s="1034" t="s">
        <v>445</v>
      </c>
      <c r="AD1" s="1034" t="s">
        <v>444</v>
      </c>
      <c r="AE1" s="1106" t="s">
        <v>786</v>
      </c>
      <c r="AF1" s="1105" t="s">
        <v>785</v>
      </c>
      <c r="AG1" s="1041"/>
      <c r="AH1" s="1041"/>
      <c r="AI1" s="1041"/>
      <c r="AJ1" s="1041"/>
      <c r="AK1" s="1041"/>
      <c r="AL1" s="1041"/>
      <c r="AM1" s="1041"/>
      <c r="AN1" s="1041"/>
      <c r="AO1" s="1041"/>
      <c r="AP1" s="1041"/>
      <c r="AQ1" s="1041"/>
      <c r="AR1" s="1041"/>
      <c r="AS1" s="1041"/>
      <c r="AT1" s="1041"/>
      <c r="AU1" s="1041"/>
      <c r="AV1" s="1041"/>
      <c r="AW1" s="1041"/>
      <c r="AX1" s="1041"/>
      <c r="AY1" s="1041"/>
      <c r="AZ1" s="1041"/>
      <c r="BA1" s="1041"/>
      <c r="BB1" s="1041"/>
      <c r="BC1" s="1041"/>
      <c r="BD1" s="1041"/>
      <c r="BE1" s="1041"/>
      <c r="BF1" s="1041"/>
      <c r="BG1" s="1041"/>
      <c r="BH1" s="1041"/>
      <c r="BI1" s="1041"/>
      <c r="BJ1" s="1041"/>
      <c r="BK1" s="1041"/>
      <c r="BL1" s="1041"/>
    </row>
    <row r="2" spans="1:64" ht="12.75">
      <c r="A2" s="1054" t="s">
        <v>485</v>
      </c>
      <c r="B2" s="1041"/>
      <c r="C2" s="1041"/>
      <c r="D2" s="1104"/>
      <c r="E2" s="1041"/>
      <c r="F2" s="1041"/>
      <c r="G2" s="1044"/>
      <c r="H2" s="1100"/>
      <c r="I2" s="1054" t="s">
        <v>437</v>
      </c>
      <c r="J2" s="1044"/>
      <c r="K2" s="1043"/>
      <c r="L2" s="1041"/>
      <c r="M2" s="1041"/>
      <c r="N2" s="1041"/>
      <c r="O2" s="1041"/>
      <c r="P2" s="1041"/>
      <c r="Q2" s="1042"/>
      <c r="R2" s="1042"/>
      <c r="S2" s="1042"/>
      <c r="T2" s="1041"/>
      <c r="U2" s="1041"/>
      <c r="V2" s="1041"/>
      <c r="W2" s="1041"/>
      <c r="X2" s="1041"/>
      <c r="Y2" s="1041"/>
      <c r="Z2" s="1109" t="s">
        <v>440</v>
      </c>
      <c r="AA2" s="1031" t="s">
        <v>784</v>
      </c>
      <c r="AB2" s="1033" t="s">
        <v>425</v>
      </c>
      <c r="AC2" s="1032"/>
      <c r="AD2" s="1031"/>
      <c r="AE2" s="1106">
        <v>1</v>
      </c>
      <c r="AF2" s="1112">
        <v>123.4567</v>
      </c>
      <c r="AG2" s="1041"/>
      <c r="AH2" s="1041"/>
      <c r="AI2" s="1041"/>
      <c r="AJ2" s="1041"/>
      <c r="AK2" s="1041"/>
      <c r="AL2" s="1041"/>
      <c r="AM2" s="1041"/>
      <c r="AN2" s="1041"/>
      <c r="AO2" s="1041"/>
      <c r="AP2" s="1041"/>
      <c r="AQ2" s="1041"/>
      <c r="AR2" s="1041"/>
      <c r="AS2" s="1041"/>
      <c r="AT2" s="1041"/>
      <c r="AU2" s="1041"/>
      <c r="AV2" s="1041"/>
      <c r="AW2" s="1041"/>
      <c r="AX2" s="1041"/>
      <c r="AY2" s="1041"/>
      <c r="AZ2" s="1041"/>
      <c r="BA2" s="1041"/>
      <c r="BB2" s="1041"/>
      <c r="BC2" s="1041"/>
      <c r="BD2" s="1041"/>
      <c r="BE2" s="1041"/>
      <c r="BF2" s="1041"/>
      <c r="BG2" s="1041"/>
      <c r="BH2" s="1041"/>
      <c r="BI2" s="1041"/>
      <c r="BJ2" s="1041"/>
      <c r="BK2" s="1041"/>
      <c r="BL2" s="1041"/>
    </row>
    <row r="3" spans="1:64" ht="12.75">
      <c r="A3" s="1054" t="s">
        <v>483</v>
      </c>
      <c r="B3" s="1041"/>
      <c r="C3" s="1041"/>
      <c r="D3" s="1104"/>
      <c r="E3" s="1041"/>
      <c r="F3" s="1041"/>
      <c r="G3" s="1044"/>
      <c r="H3" s="1041"/>
      <c r="I3" s="1054" t="s">
        <v>787</v>
      </c>
      <c r="J3" s="1044"/>
      <c r="K3" s="1043"/>
      <c r="L3" s="1041"/>
      <c r="M3" s="1041"/>
      <c r="N3" s="1041"/>
      <c r="O3" s="1041"/>
      <c r="P3" s="1041"/>
      <c r="Q3" s="1042"/>
      <c r="R3" s="1042"/>
      <c r="S3" s="1042"/>
      <c r="T3" s="1041"/>
      <c r="U3" s="1041"/>
      <c r="V3" s="1041"/>
      <c r="W3" s="1041"/>
      <c r="X3" s="1041"/>
      <c r="Y3" s="1041"/>
      <c r="Z3" s="1109" t="s">
        <v>435</v>
      </c>
      <c r="AA3" s="1031" t="s">
        <v>782</v>
      </c>
      <c r="AB3" s="1033" t="s">
        <v>425</v>
      </c>
      <c r="AC3" s="1032" t="s">
        <v>424</v>
      </c>
      <c r="AD3" s="1031" t="s">
        <v>423</v>
      </c>
      <c r="AE3" s="1106">
        <v>2</v>
      </c>
      <c r="AF3" s="1111">
        <v>123.4567</v>
      </c>
      <c r="AG3" s="1041"/>
      <c r="AH3" s="1041"/>
      <c r="AI3" s="1041"/>
      <c r="AJ3" s="1041"/>
      <c r="AK3" s="1041"/>
      <c r="AL3" s="1041"/>
      <c r="AM3" s="1041"/>
      <c r="AN3" s="1041"/>
      <c r="AO3" s="1041"/>
      <c r="AP3" s="1041"/>
      <c r="AQ3" s="1041"/>
      <c r="AR3" s="1041"/>
      <c r="AS3" s="1041"/>
      <c r="AT3" s="1041"/>
      <c r="AU3" s="1041"/>
      <c r="AV3" s="1041"/>
      <c r="AW3" s="1041"/>
      <c r="AX3" s="1041"/>
      <c r="AY3" s="1041"/>
      <c r="AZ3" s="1041"/>
      <c r="BA3" s="1041"/>
      <c r="BB3" s="1041"/>
      <c r="BC3" s="1041"/>
      <c r="BD3" s="1041"/>
      <c r="BE3" s="1041"/>
      <c r="BF3" s="1041"/>
      <c r="BG3" s="1041"/>
      <c r="BH3" s="1041"/>
      <c r="BI3" s="1041"/>
      <c r="BJ3" s="1041"/>
      <c r="BK3" s="1041"/>
      <c r="BL3" s="1041"/>
    </row>
    <row r="4" spans="1:64" ht="12.75">
      <c r="A4" s="1041"/>
      <c r="B4" s="1041"/>
      <c r="C4" s="1041"/>
      <c r="D4" s="1104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2"/>
      <c r="R4" s="1042"/>
      <c r="S4" s="1042"/>
      <c r="T4" s="1041"/>
      <c r="U4" s="1041"/>
      <c r="V4" s="1041"/>
      <c r="W4" s="1041"/>
      <c r="X4" s="1041"/>
      <c r="Y4" s="1041"/>
      <c r="Z4" s="1109" t="s">
        <v>433</v>
      </c>
      <c r="AA4" s="1031" t="s">
        <v>783</v>
      </c>
      <c r="AB4" s="1033" t="s">
        <v>425</v>
      </c>
      <c r="AC4" s="1032"/>
      <c r="AD4" s="1031"/>
      <c r="AE4" s="1106">
        <v>3</v>
      </c>
      <c r="AF4" s="1110">
        <v>123.4567</v>
      </c>
      <c r="AG4" s="1041"/>
      <c r="AH4" s="1041"/>
      <c r="AI4" s="1041"/>
      <c r="AJ4" s="1041"/>
      <c r="AK4" s="1041"/>
      <c r="AL4" s="1041"/>
      <c r="AM4" s="1041"/>
      <c r="AN4" s="1041"/>
      <c r="AO4" s="1041"/>
      <c r="AP4" s="1041"/>
      <c r="AQ4" s="1041"/>
      <c r="AR4" s="1041"/>
      <c r="AS4" s="1041"/>
      <c r="AT4" s="1041"/>
      <c r="AU4" s="1041"/>
      <c r="AV4" s="1041"/>
      <c r="AW4" s="1041"/>
      <c r="AX4" s="1041"/>
      <c r="AY4" s="1041"/>
      <c r="AZ4" s="1041"/>
      <c r="BA4" s="1041"/>
      <c r="BB4" s="1041"/>
      <c r="BC4" s="1041"/>
      <c r="BD4" s="1041"/>
      <c r="BE4" s="1041"/>
      <c r="BF4" s="1041"/>
      <c r="BG4" s="1041"/>
      <c r="BH4" s="1041"/>
      <c r="BI4" s="1041"/>
      <c r="BJ4" s="1041"/>
      <c r="BK4" s="1041"/>
      <c r="BL4" s="1041"/>
    </row>
    <row r="5" spans="1:64" ht="12.75">
      <c r="A5" s="1054" t="s">
        <v>481</v>
      </c>
      <c r="B5" s="1041"/>
      <c r="C5" s="1041"/>
      <c r="D5" s="1104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2"/>
      <c r="R5" s="1042"/>
      <c r="S5" s="1042"/>
      <c r="T5" s="1041"/>
      <c r="U5" s="1041"/>
      <c r="V5" s="1041"/>
      <c r="W5" s="1041"/>
      <c r="X5" s="1041"/>
      <c r="Y5" s="1041"/>
      <c r="Z5" s="1109" t="s">
        <v>430</v>
      </c>
      <c r="AA5" s="1031" t="s">
        <v>782</v>
      </c>
      <c r="AB5" s="1033" t="s">
        <v>425</v>
      </c>
      <c r="AC5" s="1032" t="s">
        <v>424</v>
      </c>
      <c r="AD5" s="1031" t="s">
        <v>423</v>
      </c>
      <c r="AE5" s="1106">
        <v>4</v>
      </c>
      <c r="AF5" s="1108">
        <v>123.4567</v>
      </c>
      <c r="AG5" s="1041"/>
      <c r="AH5" s="1041"/>
      <c r="AI5" s="1041"/>
      <c r="AJ5" s="1041"/>
      <c r="AK5" s="1041"/>
      <c r="AL5" s="1041"/>
      <c r="AM5" s="1041"/>
      <c r="AN5" s="1041"/>
      <c r="AO5" s="1041"/>
      <c r="AP5" s="1041"/>
      <c r="AQ5" s="1041"/>
      <c r="AR5" s="1041"/>
      <c r="AS5" s="1041"/>
      <c r="AT5" s="1041"/>
      <c r="AU5" s="1041"/>
      <c r="AV5" s="1041"/>
      <c r="AW5" s="1041"/>
      <c r="AX5" s="1041"/>
      <c r="AY5" s="1041"/>
      <c r="AZ5" s="1041"/>
      <c r="BA5" s="1041"/>
      <c r="BB5" s="1041"/>
      <c r="BC5" s="1041"/>
      <c r="BD5" s="1041"/>
      <c r="BE5" s="1041"/>
      <c r="BF5" s="1041"/>
      <c r="BG5" s="1041"/>
      <c r="BH5" s="1041"/>
      <c r="BI5" s="1041"/>
      <c r="BJ5" s="1041"/>
      <c r="BK5" s="1041"/>
      <c r="BL5" s="1041"/>
    </row>
    <row r="6" spans="1:64" ht="12.75">
      <c r="A6" s="1054" t="s">
        <v>479</v>
      </c>
      <c r="B6" s="1041"/>
      <c r="C6" s="1041"/>
      <c r="D6" s="1104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2"/>
      <c r="R6" s="1042"/>
      <c r="S6" s="1042"/>
      <c r="T6" s="1041"/>
      <c r="U6" s="1041"/>
      <c r="V6" s="1041"/>
      <c r="W6" s="1041"/>
      <c r="X6" s="1041"/>
      <c r="Y6" s="1041"/>
      <c r="Z6" s="1107" t="s">
        <v>427</v>
      </c>
      <c r="AA6" s="1031" t="s">
        <v>781</v>
      </c>
      <c r="AB6" s="1033" t="s">
        <v>425</v>
      </c>
      <c r="AC6" s="1032" t="s">
        <v>424</v>
      </c>
      <c r="AD6" s="1031" t="s">
        <v>423</v>
      </c>
      <c r="AE6" s="1106" t="s">
        <v>780</v>
      </c>
      <c r="AF6" s="1105">
        <v>123.4567</v>
      </c>
      <c r="AG6" s="1041"/>
      <c r="AH6" s="1041"/>
      <c r="AI6" s="1041"/>
      <c r="AJ6" s="1041"/>
      <c r="AK6" s="1041"/>
      <c r="AL6" s="1041"/>
      <c r="AM6" s="1041"/>
      <c r="AN6" s="1041"/>
      <c r="AO6" s="1041"/>
      <c r="AP6" s="1041"/>
      <c r="AQ6" s="1041"/>
      <c r="AR6" s="1041"/>
      <c r="AS6" s="1041"/>
      <c r="AT6" s="1041"/>
      <c r="AU6" s="1041"/>
      <c r="AV6" s="1041"/>
      <c r="AW6" s="1041"/>
      <c r="AX6" s="1041"/>
      <c r="AY6" s="1041"/>
      <c r="AZ6" s="1041"/>
      <c r="BA6" s="1041"/>
      <c r="BB6" s="1041"/>
      <c r="BC6" s="1041"/>
      <c r="BD6" s="1041"/>
      <c r="BE6" s="1041"/>
      <c r="BF6" s="1041"/>
      <c r="BG6" s="1041"/>
      <c r="BH6" s="1041"/>
      <c r="BI6" s="1041"/>
      <c r="BJ6" s="1041"/>
      <c r="BK6" s="1041"/>
      <c r="BL6" s="1041"/>
    </row>
    <row r="7" spans="1:64" ht="12.75">
      <c r="A7" s="1054"/>
      <c r="B7" s="1041"/>
      <c r="C7" s="1041"/>
      <c r="D7" s="1104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2"/>
      <c r="R7" s="1042"/>
      <c r="S7" s="1042"/>
      <c r="T7" s="1041"/>
      <c r="U7" s="1041"/>
      <c r="V7" s="1041"/>
      <c r="W7" s="1041"/>
      <c r="X7" s="1041"/>
      <c r="Y7" s="1041"/>
      <c r="Z7" s="1100"/>
      <c r="AA7" s="1100"/>
      <c r="AB7" s="1041"/>
      <c r="AC7" s="1041"/>
      <c r="AD7" s="1041"/>
      <c r="AE7" s="1041"/>
      <c r="AF7" s="1041"/>
      <c r="AG7" s="1041"/>
      <c r="AH7" s="1041"/>
      <c r="AI7" s="1041"/>
      <c r="AJ7" s="1041"/>
      <c r="AK7" s="1041"/>
      <c r="AL7" s="1041"/>
      <c r="AM7" s="1041"/>
      <c r="AN7" s="1041"/>
      <c r="AO7" s="1041"/>
      <c r="AP7" s="1041"/>
      <c r="AQ7" s="1041"/>
      <c r="AR7" s="1041"/>
      <c r="AS7" s="1041"/>
      <c r="AT7" s="1041"/>
      <c r="AU7" s="1041"/>
      <c r="AV7" s="1041"/>
      <c r="AW7" s="1041"/>
      <c r="AX7" s="1041"/>
      <c r="AY7" s="1041"/>
      <c r="AZ7" s="1041"/>
      <c r="BA7" s="1041"/>
      <c r="BB7" s="1041"/>
      <c r="BC7" s="1041"/>
      <c r="BD7" s="1041"/>
      <c r="BE7" s="1041"/>
      <c r="BF7" s="1041"/>
      <c r="BG7" s="1041"/>
      <c r="BH7" s="1041"/>
      <c r="BI7" s="1041"/>
      <c r="BJ7" s="1041"/>
      <c r="BK7" s="1041"/>
      <c r="BL7" s="1041"/>
    </row>
    <row r="8" spans="1:64" ht="13.5">
      <c r="A8" s="1041"/>
      <c r="B8" s="1103"/>
      <c r="C8" s="1102"/>
      <c r="D8" s="1101" t="str">
        <f>CONCATENATE(AA2," ",AB2," ",AC2," ",AD2)</f>
        <v>Prehľad rozpočtových nákladov v EUR  </v>
      </c>
      <c r="E8" s="1042"/>
      <c r="F8" s="1041"/>
      <c r="G8" s="1044"/>
      <c r="H8" s="1044"/>
      <c r="I8" s="1044"/>
      <c r="J8" s="1044"/>
      <c r="K8" s="1043"/>
      <c r="L8" s="1043"/>
      <c r="M8" s="1042"/>
      <c r="N8" s="1042"/>
      <c r="O8" s="1041"/>
      <c r="P8" s="1041"/>
      <c r="Q8" s="1042"/>
      <c r="R8" s="1042"/>
      <c r="S8" s="1042"/>
      <c r="T8" s="1041"/>
      <c r="U8" s="1041"/>
      <c r="V8" s="1041"/>
      <c r="W8" s="1041"/>
      <c r="X8" s="1041"/>
      <c r="Y8" s="1041"/>
      <c r="Z8" s="1100"/>
      <c r="AA8" s="1100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  <c r="AP8" s="1041"/>
      <c r="AQ8" s="1041"/>
      <c r="AR8" s="1041"/>
      <c r="AS8" s="1041"/>
      <c r="AT8" s="1041"/>
      <c r="AU8" s="1041"/>
      <c r="AV8" s="1041"/>
      <c r="AW8" s="1041"/>
      <c r="AX8" s="1041"/>
      <c r="AY8" s="1041"/>
      <c r="AZ8" s="1041"/>
      <c r="BA8" s="1041"/>
      <c r="BB8" s="1041"/>
      <c r="BC8" s="1041"/>
      <c r="BD8" s="1041"/>
      <c r="BE8" s="1041"/>
      <c r="BF8" s="1041"/>
      <c r="BG8" s="1041"/>
      <c r="BH8" s="1041"/>
      <c r="BI8" s="1041"/>
      <c r="BJ8" s="1041"/>
      <c r="BK8" s="1041"/>
      <c r="BL8" s="1041"/>
    </row>
    <row r="9" spans="1:64" ht="12.75">
      <c r="A9" s="1052" t="s">
        <v>779</v>
      </c>
      <c r="B9" s="1052" t="s">
        <v>778</v>
      </c>
      <c r="C9" s="1052" t="s">
        <v>37</v>
      </c>
      <c r="D9" s="1099" t="s">
        <v>777</v>
      </c>
      <c r="E9" s="1052" t="s">
        <v>39</v>
      </c>
      <c r="F9" s="1052" t="s">
        <v>776</v>
      </c>
      <c r="G9" s="1052" t="s">
        <v>754</v>
      </c>
      <c r="H9" s="1052" t="s">
        <v>412</v>
      </c>
      <c r="I9" s="1052" t="s">
        <v>476</v>
      </c>
      <c r="J9" s="1052" t="s">
        <v>471</v>
      </c>
      <c r="K9" s="1098" t="s">
        <v>475</v>
      </c>
      <c r="L9" s="1098"/>
      <c r="M9" s="1098" t="s">
        <v>474</v>
      </c>
      <c r="N9" s="1098"/>
      <c r="O9" s="1052" t="s">
        <v>748</v>
      </c>
      <c r="P9" s="1097" t="s">
        <v>775</v>
      </c>
      <c r="Q9" s="1097" t="s">
        <v>39</v>
      </c>
      <c r="R9" s="1097" t="s">
        <v>39</v>
      </c>
      <c r="S9" s="1097" t="s">
        <v>39</v>
      </c>
      <c r="T9" s="1096" t="s">
        <v>774</v>
      </c>
      <c r="U9" s="1096" t="s">
        <v>773</v>
      </c>
      <c r="V9" s="1095" t="s">
        <v>770</v>
      </c>
      <c r="W9" s="1052" t="s">
        <v>473</v>
      </c>
      <c r="X9" s="1094" t="s">
        <v>37</v>
      </c>
      <c r="Y9" s="1094" t="s">
        <v>37</v>
      </c>
      <c r="Z9" s="1093" t="s">
        <v>772</v>
      </c>
      <c r="AA9" s="1093" t="s">
        <v>771</v>
      </c>
      <c r="AB9" s="1052" t="s">
        <v>770</v>
      </c>
      <c r="AC9" s="1052" t="s">
        <v>769</v>
      </c>
      <c r="AD9" s="1052" t="s">
        <v>768</v>
      </c>
      <c r="AE9" s="1092" t="s">
        <v>767</v>
      </c>
      <c r="AF9" s="1092" t="s">
        <v>766</v>
      </c>
      <c r="AG9" s="1092" t="s">
        <v>39</v>
      </c>
      <c r="AH9" s="1092" t="s">
        <v>765</v>
      </c>
      <c r="AI9" s="1041"/>
      <c r="AJ9" s="1041" t="s">
        <v>764</v>
      </c>
      <c r="AK9" s="1041" t="s">
        <v>763</v>
      </c>
      <c r="AL9" s="1041" t="s">
        <v>762</v>
      </c>
      <c r="AM9" s="1041" t="s">
        <v>761</v>
      </c>
      <c r="AN9" s="1041" t="s">
        <v>760</v>
      </c>
      <c r="AO9" s="1041"/>
      <c r="AP9" s="1041"/>
      <c r="AQ9" s="1041"/>
      <c r="AR9" s="1041"/>
      <c r="AS9" s="1041"/>
      <c r="AT9" s="1041"/>
      <c r="AU9" s="1041"/>
      <c r="AV9" s="1041"/>
      <c r="AW9" s="1041"/>
      <c r="AX9" s="1041"/>
      <c r="AY9" s="1041"/>
      <c r="AZ9" s="1041"/>
      <c r="BA9" s="1041"/>
      <c r="BB9" s="1041"/>
      <c r="BC9" s="1041"/>
      <c r="BD9" s="1041"/>
      <c r="BE9" s="1041"/>
      <c r="BF9" s="1041"/>
      <c r="BG9" s="1041"/>
      <c r="BH9" s="1041"/>
      <c r="BI9" s="1041"/>
      <c r="BJ9" s="1041"/>
      <c r="BK9" s="1041"/>
      <c r="BL9" s="1041"/>
    </row>
    <row r="10" spans="1:64" ht="12.75">
      <c r="A10" s="1051" t="s">
        <v>744</v>
      </c>
      <c r="B10" s="1051" t="s">
        <v>759</v>
      </c>
      <c r="C10" s="1091"/>
      <c r="D10" s="1090" t="s">
        <v>758</v>
      </c>
      <c r="E10" s="1051" t="s">
        <v>757</v>
      </c>
      <c r="F10" s="1051" t="s">
        <v>756</v>
      </c>
      <c r="G10" s="1051" t="s">
        <v>755</v>
      </c>
      <c r="H10" s="1051"/>
      <c r="I10" s="1051" t="s">
        <v>472</v>
      </c>
      <c r="J10" s="1051"/>
      <c r="K10" s="1089" t="s">
        <v>754</v>
      </c>
      <c r="L10" s="1088" t="s">
        <v>471</v>
      </c>
      <c r="M10" s="1051" t="s">
        <v>754</v>
      </c>
      <c r="N10" s="1051" t="s">
        <v>471</v>
      </c>
      <c r="O10" s="1051" t="s">
        <v>753</v>
      </c>
      <c r="P10" s="1087"/>
      <c r="Q10" s="1087" t="s">
        <v>752</v>
      </c>
      <c r="R10" s="1087" t="s">
        <v>751</v>
      </c>
      <c r="S10" s="1087" t="s">
        <v>750</v>
      </c>
      <c r="T10" s="1086" t="s">
        <v>749</v>
      </c>
      <c r="U10" s="1086" t="s">
        <v>748</v>
      </c>
      <c r="V10" s="1085" t="s">
        <v>747</v>
      </c>
      <c r="W10" s="1084"/>
      <c r="X10" s="1082" t="s">
        <v>746</v>
      </c>
      <c r="Y10" s="1082"/>
      <c r="Z10" s="1083" t="s">
        <v>745</v>
      </c>
      <c r="AA10" s="1083" t="s">
        <v>744</v>
      </c>
      <c r="AB10" s="1051" t="s">
        <v>743</v>
      </c>
      <c r="AC10" s="1082"/>
      <c r="AD10" s="1082"/>
      <c r="AE10" s="1081"/>
      <c r="AF10" s="1081"/>
      <c r="AG10" s="1081"/>
      <c r="AH10" s="1081"/>
      <c r="AI10" s="1041"/>
      <c r="AJ10" s="1041" t="s">
        <v>742</v>
      </c>
      <c r="AK10" s="1041" t="s">
        <v>741</v>
      </c>
      <c r="AL10" s="1041" t="s">
        <v>741</v>
      </c>
      <c r="AM10" s="1041" t="s">
        <v>741</v>
      </c>
      <c r="AN10" s="1041" t="s">
        <v>741</v>
      </c>
      <c r="AO10" s="1041"/>
      <c r="AP10" s="1041"/>
      <c r="AQ10" s="1041"/>
      <c r="AR10" s="1041"/>
      <c r="AS10" s="1041"/>
      <c r="AT10" s="1041"/>
      <c r="AU10" s="1041"/>
      <c r="AV10" s="1041"/>
      <c r="AW10" s="1041"/>
      <c r="AX10" s="1041"/>
      <c r="AY10" s="1041"/>
      <c r="AZ10" s="1041"/>
      <c r="BA10" s="1041"/>
      <c r="BB10" s="1041"/>
      <c r="BC10" s="1041"/>
      <c r="BD10" s="1041"/>
      <c r="BE10" s="1041"/>
      <c r="BF10" s="1041"/>
      <c r="BG10" s="1041"/>
      <c r="BH10" s="1041"/>
      <c r="BI10" s="1041"/>
      <c r="BJ10" s="1041"/>
      <c r="BK10" s="1041"/>
      <c r="BL10" s="1041"/>
    </row>
    <row r="11" ht="13.5" customHeight="1">
      <c r="G11" s="1080"/>
    </row>
    <row r="12" spans="1:34" ht="12.75">
      <c r="A12" s="1071"/>
      <c r="B12" s="1070"/>
      <c r="C12" s="1079" t="s">
        <v>740</v>
      </c>
      <c r="D12" s="1078" t="s">
        <v>739</v>
      </c>
      <c r="E12" s="1066"/>
      <c r="F12" s="1064"/>
      <c r="G12" s="1069"/>
      <c r="H12" s="1069"/>
      <c r="I12" s="1069"/>
      <c r="J12" s="1069"/>
      <c r="K12" s="1068"/>
      <c r="L12" s="1068"/>
      <c r="M12" s="1066"/>
      <c r="N12" s="1066"/>
      <c r="O12" s="1064"/>
      <c r="P12" s="1064"/>
      <c r="Q12" s="1066"/>
      <c r="R12" s="1066"/>
      <c r="S12" s="1066"/>
      <c r="T12" s="1067"/>
      <c r="U12" s="1067"/>
      <c r="V12" s="1067"/>
      <c r="W12" s="1066"/>
      <c r="X12" s="1064"/>
      <c r="Y12" s="1064"/>
      <c r="Z12" s="1065"/>
      <c r="AA12" s="1065"/>
      <c r="AB12" s="1064"/>
      <c r="AC12" s="1064"/>
      <c r="AD12" s="1064"/>
      <c r="AE12" s="1064"/>
      <c r="AF12" s="1064"/>
      <c r="AG12" s="1064"/>
      <c r="AH12" s="1064"/>
    </row>
    <row r="13" spans="1:34" ht="12.75">
      <c r="A13" s="1071"/>
      <c r="B13" s="1070"/>
      <c r="C13" s="1079" t="s">
        <v>738</v>
      </c>
      <c r="D13" s="1078" t="s">
        <v>470</v>
      </c>
      <c r="E13" s="1066"/>
      <c r="F13" s="1064"/>
      <c r="G13" s="1069"/>
      <c r="H13" s="1069"/>
      <c r="I13" s="1069"/>
      <c r="J13" s="1069"/>
      <c r="K13" s="1068"/>
      <c r="L13" s="1068"/>
      <c r="M13" s="1066"/>
      <c r="N13" s="1066"/>
      <c r="O13" s="1064"/>
      <c r="P13" s="1064"/>
      <c r="Q13" s="1066"/>
      <c r="R13" s="1066"/>
      <c r="S13" s="1066"/>
      <c r="T13" s="1067"/>
      <c r="U13" s="1067"/>
      <c r="V13" s="1067"/>
      <c r="W13" s="1066"/>
      <c r="X13" s="1064"/>
      <c r="Y13" s="1064"/>
      <c r="Z13" s="1065"/>
      <c r="AA13" s="1065"/>
      <c r="AB13" s="1064"/>
      <c r="AC13" s="1064"/>
      <c r="AD13" s="1064"/>
      <c r="AE13" s="1064"/>
      <c r="AF13" s="1064"/>
      <c r="AG13" s="1064"/>
      <c r="AH13" s="1064"/>
    </row>
    <row r="14" spans="1:39" ht="12.75">
      <c r="A14" s="1071" t="s">
        <v>737</v>
      </c>
      <c r="B14" s="1070" t="s">
        <v>736</v>
      </c>
      <c r="C14" s="1065" t="s">
        <v>732</v>
      </c>
      <c r="D14" s="1049" t="s">
        <v>735</v>
      </c>
      <c r="E14" s="1066">
        <v>18</v>
      </c>
      <c r="F14" s="1064" t="s">
        <v>47</v>
      </c>
      <c r="G14" s="1069"/>
      <c r="H14" s="1069">
        <f>ROUND(E14*G14,2)</f>
        <v>0</v>
      </c>
      <c r="I14" s="1069"/>
      <c r="J14" s="1069">
        <f>ROUND(E14*G14,2)</f>
        <v>0</v>
      </c>
      <c r="K14" s="1068"/>
      <c r="L14" s="1068"/>
      <c r="M14" s="1066"/>
      <c r="N14" s="1066"/>
      <c r="O14" s="1064">
        <v>20</v>
      </c>
      <c r="P14" s="1064" t="s">
        <v>734</v>
      </c>
      <c r="Q14" s="1066"/>
      <c r="R14" s="1066"/>
      <c r="S14" s="1066"/>
      <c r="T14" s="1067"/>
      <c r="U14" s="1067"/>
      <c r="V14" s="1067" t="s">
        <v>383</v>
      </c>
      <c r="W14" s="1066"/>
      <c r="X14" s="1064" t="s">
        <v>733</v>
      </c>
      <c r="Y14" s="1064" t="s">
        <v>732</v>
      </c>
      <c r="Z14" s="1065" t="s">
        <v>731</v>
      </c>
      <c r="AA14" s="1065"/>
      <c r="AB14" s="1064" t="s">
        <v>491</v>
      </c>
      <c r="AC14" s="1064"/>
      <c r="AD14" s="1064"/>
      <c r="AE14" s="1064"/>
      <c r="AF14" s="1064"/>
      <c r="AG14" s="1064"/>
      <c r="AH14" s="1064"/>
      <c r="AJ14" s="1056" t="s">
        <v>730</v>
      </c>
      <c r="AK14" s="1056" t="s">
        <v>489</v>
      </c>
      <c r="AL14" s="1056" t="s">
        <v>729</v>
      </c>
      <c r="AM14" s="1056" t="s">
        <v>728</v>
      </c>
    </row>
    <row r="15" spans="1:34" ht="12.75">
      <c r="A15" s="1071"/>
      <c r="B15" s="1070"/>
      <c r="C15" s="1065"/>
      <c r="D15" s="1077" t="s">
        <v>470</v>
      </c>
      <c r="E15" s="1076">
        <f>SUM(J14:J14)</f>
        <v>0</v>
      </c>
      <c r="F15" s="1074"/>
      <c r="G15" s="1076"/>
      <c r="H15" s="1076">
        <f>SUM(H14:H14)</f>
        <v>0</v>
      </c>
      <c r="I15" s="1076">
        <f>SUM(I14:I14)</f>
        <v>0</v>
      </c>
      <c r="J15" s="1076">
        <f>SUM(J14:J14)</f>
        <v>0</v>
      </c>
      <c r="K15" s="1075"/>
      <c r="L15" s="1075">
        <f>SUM(L14:L14)</f>
        <v>0</v>
      </c>
      <c r="M15" s="1072"/>
      <c r="N15" s="1072">
        <f>SUM(N14:N14)</f>
        <v>0</v>
      </c>
      <c r="O15" s="1074"/>
      <c r="P15" s="1074"/>
      <c r="Q15" s="1072"/>
      <c r="R15" s="1072"/>
      <c r="S15" s="1072"/>
      <c r="T15" s="1073"/>
      <c r="U15" s="1073"/>
      <c r="V15" s="1073"/>
      <c r="W15" s="1072">
        <f>SUM(W14:W14)</f>
        <v>0</v>
      </c>
      <c r="X15" s="1064"/>
      <c r="Y15" s="1064"/>
      <c r="Z15" s="1065"/>
      <c r="AA15" s="1065"/>
      <c r="AB15" s="1064"/>
      <c r="AC15" s="1064"/>
      <c r="AD15" s="1064"/>
      <c r="AE15" s="1064"/>
      <c r="AF15" s="1064"/>
      <c r="AG15" s="1064"/>
      <c r="AH15" s="1064"/>
    </row>
    <row r="16" spans="1:34" ht="12.75">
      <c r="A16" s="1071"/>
      <c r="B16" s="1070"/>
      <c r="C16" s="1065"/>
      <c r="D16" s="1049"/>
      <c r="E16" s="1066"/>
      <c r="F16" s="1064"/>
      <c r="G16" s="1069"/>
      <c r="H16" s="1069"/>
      <c r="I16" s="1069"/>
      <c r="J16" s="1069"/>
      <c r="K16" s="1068"/>
      <c r="L16" s="1068"/>
      <c r="M16" s="1066"/>
      <c r="N16" s="1066"/>
      <c r="O16" s="1064"/>
      <c r="P16" s="1064"/>
      <c r="Q16" s="1066"/>
      <c r="R16" s="1066"/>
      <c r="S16" s="1066"/>
      <c r="T16" s="1067"/>
      <c r="U16" s="1067"/>
      <c r="V16" s="1067"/>
      <c r="W16" s="1066"/>
      <c r="X16" s="1064"/>
      <c r="Y16" s="1064"/>
      <c r="Z16" s="1065"/>
      <c r="AA16" s="1065"/>
      <c r="AB16" s="1064"/>
      <c r="AC16" s="1064"/>
      <c r="AD16" s="1064"/>
      <c r="AE16" s="1064"/>
      <c r="AF16" s="1064"/>
      <c r="AG16" s="1064"/>
      <c r="AH16" s="1064"/>
    </row>
    <row r="17" spans="1:34" ht="12.75">
      <c r="A17" s="1071"/>
      <c r="B17" s="1070"/>
      <c r="C17" s="1065"/>
      <c r="D17" s="1077" t="s">
        <v>469</v>
      </c>
      <c r="E17" s="1076">
        <f>SUMIF(AL10:AL16,"E9/",J10:J16)</f>
        <v>0</v>
      </c>
      <c r="F17" s="1074"/>
      <c r="G17" s="1076"/>
      <c r="H17" s="1076">
        <f>SUMIF(AL10:AL16,"E9/",H10:H16)</f>
        <v>0</v>
      </c>
      <c r="I17" s="1076">
        <f>SUMIF(AL10:AL16,"E9/",I10:I16)</f>
        <v>0</v>
      </c>
      <c r="J17" s="1076">
        <f>SUMIF(AL10:AL16,"E9/",J10:J16)</f>
        <v>0</v>
      </c>
      <c r="K17" s="1075"/>
      <c r="L17" s="1075">
        <f>SUMIF(AL10:AL16,"E9/",L10:L16)</f>
        <v>0</v>
      </c>
      <c r="M17" s="1072"/>
      <c r="N17" s="1072">
        <f>SUMIF(AL10:AL16,"E9/",N10:N16)</f>
        <v>0</v>
      </c>
      <c r="O17" s="1074"/>
      <c r="P17" s="1074"/>
      <c r="Q17" s="1072"/>
      <c r="R17" s="1072"/>
      <c r="S17" s="1072"/>
      <c r="T17" s="1073"/>
      <c r="U17" s="1073"/>
      <c r="V17" s="1073"/>
      <c r="W17" s="1072">
        <f>SUMIF(AL10:AL16,"E9/",W10:W16)</f>
        <v>0</v>
      </c>
      <c r="X17" s="1064"/>
      <c r="Y17" s="1064"/>
      <c r="Z17" s="1065"/>
      <c r="AA17" s="1065"/>
      <c r="AB17" s="1064"/>
      <c r="AC17" s="1064"/>
      <c r="AD17" s="1064"/>
      <c r="AE17" s="1064"/>
      <c r="AF17" s="1064"/>
      <c r="AG17" s="1064"/>
      <c r="AH17" s="1064"/>
    </row>
    <row r="18" spans="1:34" ht="12.75">
      <c r="A18" s="1071"/>
      <c r="B18" s="1070"/>
      <c r="C18" s="1065"/>
      <c r="D18" s="1049"/>
      <c r="E18" s="1066"/>
      <c r="F18" s="1064"/>
      <c r="G18" s="1069"/>
      <c r="H18" s="1069"/>
      <c r="I18" s="1069"/>
      <c r="J18" s="1069"/>
      <c r="K18" s="1068"/>
      <c r="L18" s="1068"/>
      <c r="M18" s="1066"/>
      <c r="N18" s="1066"/>
      <c r="O18" s="1064"/>
      <c r="P18" s="1064"/>
      <c r="Q18" s="1066"/>
      <c r="R18" s="1066"/>
      <c r="S18" s="1066"/>
      <c r="T18" s="1067"/>
      <c r="U18" s="1067"/>
      <c r="V18" s="1067"/>
      <c r="W18" s="1066"/>
      <c r="X18" s="1064"/>
      <c r="Y18" s="1064"/>
      <c r="Z18" s="1065"/>
      <c r="AA18" s="1065"/>
      <c r="AB18" s="1064"/>
      <c r="AC18" s="1064"/>
      <c r="AD18" s="1064"/>
      <c r="AE18" s="1064"/>
      <c r="AF18" s="1064"/>
      <c r="AG18" s="1064"/>
      <c r="AH18" s="1064"/>
    </row>
    <row r="19" spans="1:34" ht="12.75">
      <c r="A19" s="1071"/>
      <c r="B19" s="1070"/>
      <c r="C19" s="1079" t="s">
        <v>727</v>
      </c>
      <c r="D19" s="1078" t="s">
        <v>726</v>
      </c>
      <c r="E19" s="1066"/>
      <c r="F19" s="1064"/>
      <c r="G19" s="1069"/>
      <c r="H19" s="1069"/>
      <c r="I19" s="1069"/>
      <c r="J19" s="1069"/>
      <c r="K19" s="1068"/>
      <c r="L19" s="1068"/>
      <c r="M19" s="1066"/>
      <c r="N19" s="1066"/>
      <c r="O19" s="1064"/>
      <c r="P19" s="1064"/>
      <c r="Q19" s="1066"/>
      <c r="R19" s="1066"/>
      <c r="S19" s="1066"/>
      <c r="T19" s="1067"/>
      <c r="U19" s="1067"/>
      <c r="V19" s="1067"/>
      <c r="W19" s="1066"/>
      <c r="X19" s="1064"/>
      <c r="Y19" s="1064"/>
      <c r="Z19" s="1065"/>
      <c r="AA19" s="1065"/>
      <c r="AB19" s="1064"/>
      <c r="AC19" s="1064"/>
      <c r="AD19" s="1064"/>
      <c r="AE19" s="1064"/>
      <c r="AF19" s="1064"/>
      <c r="AG19" s="1064"/>
      <c r="AH19" s="1064"/>
    </row>
    <row r="20" spans="1:34" ht="12.75">
      <c r="A20" s="1071"/>
      <c r="B20" s="1070"/>
      <c r="C20" s="1079" t="s">
        <v>725</v>
      </c>
      <c r="D20" s="1078" t="s">
        <v>725</v>
      </c>
      <c r="E20" s="1066"/>
      <c r="F20" s="1064"/>
      <c r="G20" s="1069"/>
      <c r="H20" s="1069"/>
      <c r="I20" s="1069"/>
      <c r="J20" s="1069"/>
      <c r="K20" s="1068"/>
      <c r="L20" s="1068"/>
      <c r="M20" s="1066"/>
      <c r="N20" s="1066"/>
      <c r="O20" s="1064"/>
      <c r="P20" s="1064"/>
      <c r="Q20" s="1066"/>
      <c r="R20" s="1066"/>
      <c r="S20" s="1066"/>
      <c r="T20" s="1067"/>
      <c r="U20" s="1067"/>
      <c r="V20" s="1067"/>
      <c r="W20" s="1066"/>
      <c r="X20" s="1064"/>
      <c r="Y20" s="1064"/>
      <c r="Z20" s="1065"/>
      <c r="AA20" s="1065"/>
      <c r="AB20" s="1064"/>
      <c r="AC20" s="1064"/>
      <c r="AD20" s="1064"/>
      <c r="AE20" s="1064"/>
      <c r="AF20" s="1064"/>
      <c r="AG20" s="1064"/>
      <c r="AH20" s="1064"/>
    </row>
    <row r="21" spans="1:39" ht="12.75">
      <c r="A21" s="1071" t="s">
        <v>724</v>
      </c>
      <c r="B21" s="1070" t="s">
        <v>715</v>
      </c>
      <c r="C21" s="1065" t="s">
        <v>721</v>
      </c>
      <c r="D21" s="1049" t="s">
        <v>723</v>
      </c>
      <c r="E21" s="1066">
        <v>5</v>
      </c>
      <c r="F21" s="1064" t="s">
        <v>713</v>
      </c>
      <c r="G21" s="1069"/>
      <c r="H21" s="1069">
        <f>ROUND(E21*G21,2)</f>
        <v>0</v>
      </c>
      <c r="I21" s="1069"/>
      <c r="J21" s="1069">
        <f>ROUND(E21*G21,2)</f>
        <v>0</v>
      </c>
      <c r="K21" s="1068"/>
      <c r="L21" s="1068"/>
      <c r="M21" s="1066"/>
      <c r="N21" s="1066"/>
      <c r="O21" s="1064">
        <v>20</v>
      </c>
      <c r="P21" s="1064" t="s">
        <v>722</v>
      </c>
      <c r="Q21" s="1066"/>
      <c r="R21" s="1066"/>
      <c r="S21" s="1066"/>
      <c r="T21" s="1067"/>
      <c r="U21" s="1067"/>
      <c r="V21" s="1067" t="s">
        <v>711</v>
      </c>
      <c r="W21" s="1066">
        <v>5</v>
      </c>
      <c r="X21" s="1064" t="s">
        <v>718</v>
      </c>
      <c r="Y21" s="1064" t="s">
        <v>721</v>
      </c>
      <c r="Z21" s="1065" t="s">
        <v>708</v>
      </c>
      <c r="AA21" s="1065"/>
      <c r="AB21" s="1064" t="s">
        <v>707</v>
      </c>
      <c r="AC21" s="1064"/>
      <c r="AD21" s="1064"/>
      <c r="AE21" s="1064"/>
      <c r="AF21" s="1064"/>
      <c r="AG21" s="1064"/>
      <c r="AH21" s="1064"/>
      <c r="AJ21" s="1056" t="s">
        <v>706</v>
      </c>
      <c r="AK21" s="1056" t="s">
        <v>489</v>
      </c>
      <c r="AL21" s="1056" t="s">
        <v>705</v>
      </c>
      <c r="AM21" s="1056" t="s">
        <v>704</v>
      </c>
    </row>
    <row r="22" spans="1:39" ht="12.75">
      <c r="A22" s="1071" t="s">
        <v>720</v>
      </c>
      <c r="B22" s="1070" t="s">
        <v>715</v>
      </c>
      <c r="C22" s="1065" t="s">
        <v>717</v>
      </c>
      <c r="D22" s="1049" t="s">
        <v>719</v>
      </c>
      <c r="E22" s="1066">
        <v>20</v>
      </c>
      <c r="F22" s="1064" t="s">
        <v>713</v>
      </c>
      <c r="G22" s="1069"/>
      <c r="H22" s="1069">
        <f>ROUND(E22*G22,2)</f>
        <v>0</v>
      </c>
      <c r="I22" s="1069"/>
      <c r="J22" s="1069">
        <f>ROUND(E22*G22,2)</f>
        <v>0</v>
      </c>
      <c r="K22" s="1068"/>
      <c r="L22" s="1068"/>
      <c r="M22" s="1066"/>
      <c r="N22" s="1066"/>
      <c r="O22" s="1064">
        <v>20</v>
      </c>
      <c r="P22" s="1064" t="s">
        <v>712</v>
      </c>
      <c r="Q22" s="1066"/>
      <c r="R22" s="1066"/>
      <c r="S22" s="1066"/>
      <c r="T22" s="1067"/>
      <c r="U22" s="1067"/>
      <c r="V22" s="1067" t="s">
        <v>711</v>
      </c>
      <c r="W22" s="1066">
        <v>20</v>
      </c>
      <c r="X22" s="1064" t="s">
        <v>718</v>
      </c>
      <c r="Y22" s="1064" t="s">
        <v>717</v>
      </c>
      <c r="Z22" s="1065" t="s">
        <v>708</v>
      </c>
      <c r="AA22" s="1065"/>
      <c r="AB22" s="1064" t="s">
        <v>707</v>
      </c>
      <c r="AC22" s="1064"/>
      <c r="AD22" s="1064"/>
      <c r="AE22" s="1064"/>
      <c r="AF22" s="1064"/>
      <c r="AG22" s="1064"/>
      <c r="AH22" s="1064"/>
      <c r="AJ22" s="1056" t="s">
        <v>706</v>
      </c>
      <c r="AK22" s="1056" t="s">
        <v>489</v>
      </c>
      <c r="AL22" s="1056" t="s">
        <v>705</v>
      </c>
      <c r="AM22" s="1056" t="s">
        <v>704</v>
      </c>
    </row>
    <row r="23" spans="1:39" ht="12.75">
      <c r="A23" s="1071" t="s">
        <v>716</v>
      </c>
      <c r="B23" s="1070" t="s">
        <v>715</v>
      </c>
      <c r="C23" s="1065" t="s">
        <v>709</v>
      </c>
      <c r="D23" s="1049" t="s">
        <v>714</v>
      </c>
      <c r="E23" s="1066">
        <v>12</v>
      </c>
      <c r="F23" s="1064" t="s">
        <v>713</v>
      </c>
      <c r="G23" s="1069"/>
      <c r="H23" s="1069">
        <f>ROUND(E23*G23,2)</f>
        <v>0</v>
      </c>
      <c r="I23" s="1069"/>
      <c r="J23" s="1069">
        <f>ROUND(E23*G23,2)</f>
        <v>0</v>
      </c>
      <c r="K23" s="1068"/>
      <c r="L23" s="1068"/>
      <c r="M23" s="1066"/>
      <c r="N23" s="1066"/>
      <c r="O23" s="1064">
        <v>20</v>
      </c>
      <c r="P23" s="1064" t="s">
        <v>712</v>
      </c>
      <c r="Q23" s="1066"/>
      <c r="R23" s="1066"/>
      <c r="S23" s="1066"/>
      <c r="T23" s="1067"/>
      <c r="U23" s="1067"/>
      <c r="V23" s="1067" t="s">
        <v>711</v>
      </c>
      <c r="W23" s="1066">
        <v>12</v>
      </c>
      <c r="X23" s="1064" t="s">
        <v>710</v>
      </c>
      <c r="Y23" s="1064" t="s">
        <v>709</v>
      </c>
      <c r="Z23" s="1065" t="s">
        <v>708</v>
      </c>
      <c r="AA23" s="1065"/>
      <c r="AB23" s="1064" t="s">
        <v>707</v>
      </c>
      <c r="AC23" s="1064"/>
      <c r="AD23" s="1064"/>
      <c r="AE23" s="1064"/>
      <c r="AF23" s="1064"/>
      <c r="AG23" s="1064"/>
      <c r="AH23" s="1064"/>
      <c r="AJ23" s="1056" t="s">
        <v>706</v>
      </c>
      <c r="AK23" s="1056" t="s">
        <v>489</v>
      </c>
      <c r="AL23" s="1056" t="s">
        <v>705</v>
      </c>
      <c r="AM23" s="1056" t="s">
        <v>704</v>
      </c>
    </row>
    <row r="24" spans="1:34" ht="12.75">
      <c r="A24" s="1071"/>
      <c r="B24" s="1070"/>
      <c r="C24" s="1065"/>
      <c r="D24" s="1077" t="s">
        <v>468</v>
      </c>
      <c r="E24" s="1076">
        <f>SUM(J21:J23)</f>
        <v>0</v>
      </c>
      <c r="F24" s="1074"/>
      <c r="G24" s="1076"/>
      <c r="H24" s="1076">
        <f>SUM(H21:H23)</f>
        <v>0</v>
      </c>
      <c r="I24" s="1076">
        <f>SUM(I21:I23)</f>
        <v>0</v>
      </c>
      <c r="J24" s="1076">
        <f>SUM(J21:J23)</f>
        <v>0</v>
      </c>
      <c r="K24" s="1075"/>
      <c r="L24" s="1075">
        <f>SUM(L21:L23)</f>
        <v>0</v>
      </c>
      <c r="M24" s="1072"/>
      <c r="N24" s="1072">
        <f>SUM(N21:N23)</f>
        <v>0</v>
      </c>
      <c r="O24" s="1074"/>
      <c r="P24" s="1074"/>
      <c r="Q24" s="1072"/>
      <c r="R24" s="1072"/>
      <c r="S24" s="1072"/>
      <c r="T24" s="1073"/>
      <c r="U24" s="1073"/>
      <c r="V24" s="1073"/>
      <c r="W24" s="1072">
        <f>SUM(W21:W23)</f>
        <v>37</v>
      </c>
      <c r="X24" s="1064"/>
      <c r="Y24" s="1064"/>
      <c r="Z24" s="1065"/>
      <c r="AA24" s="1065"/>
      <c r="AB24" s="1064"/>
      <c r="AC24" s="1064"/>
      <c r="AD24" s="1064"/>
      <c r="AE24" s="1064"/>
      <c r="AF24" s="1064"/>
      <c r="AG24" s="1064"/>
      <c r="AH24" s="1064"/>
    </row>
    <row r="25" spans="1:34" ht="12.75">
      <c r="A25" s="1071"/>
      <c r="B25" s="1070"/>
      <c r="C25" s="1065"/>
      <c r="D25" s="1049"/>
      <c r="E25" s="1066"/>
      <c r="F25" s="1064"/>
      <c r="G25" s="1069"/>
      <c r="H25" s="1069"/>
      <c r="I25" s="1069"/>
      <c r="J25" s="1069"/>
      <c r="K25" s="1068"/>
      <c r="L25" s="1068"/>
      <c r="M25" s="1066"/>
      <c r="N25" s="1066"/>
      <c r="O25" s="1064"/>
      <c r="P25" s="1064"/>
      <c r="Q25" s="1066"/>
      <c r="R25" s="1066"/>
      <c r="S25" s="1066"/>
      <c r="T25" s="1067"/>
      <c r="U25" s="1067"/>
      <c r="V25" s="1067"/>
      <c r="W25" s="1066"/>
      <c r="X25" s="1064"/>
      <c r="Y25" s="1064"/>
      <c r="Z25" s="1065"/>
      <c r="AA25" s="1065"/>
      <c r="AB25" s="1064"/>
      <c r="AC25" s="1064"/>
      <c r="AD25" s="1064"/>
      <c r="AE25" s="1064"/>
      <c r="AF25" s="1064"/>
      <c r="AG25" s="1064"/>
      <c r="AH25" s="1064"/>
    </row>
    <row r="26" spans="1:34" ht="12.75">
      <c r="A26" s="1071"/>
      <c r="B26" s="1070"/>
      <c r="C26" s="1065"/>
      <c r="D26" s="1077" t="s">
        <v>467</v>
      </c>
      <c r="E26" s="1076">
        <f>SUMIF(AL10:AL25,"I999/",J10:J25)</f>
        <v>0</v>
      </c>
      <c r="F26" s="1074"/>
      <c r="G26" s="1076"/>
      <c r="H26" s="1076">
        <f>SUMIF(AL10:AL25,"I999/",H10:H25)</f>
        <v>0</v>
      </c>
      <c r="I26" s="1076">
        <f>SUMIF(AL10:AL25,"I999/",I10:I25)</f>
        <v>0</v>
      </c>
      <c r="J26" s="1076">
        <f>SUMIF(AL10:AL25,"I999/",J10:J25)</f>
        <v>0</v>
      </c>
      <c r="K26" s="1075"/>
      <c r="L26" s="1075">
        <f>SUMIF(AL10:AL25,"I999/",L10:L25)</f>
        <v>0</v>
      </c>
      <c r="M26" s="1072"/>
      <c r="N26" s="1072">
        <f>SUMIF(AL10:AL25,"I999/",N10:N25)</f>
        <v>0</v>
      </c>
      <c r="O26" s="1074"/>
      <c r="P26" s="1074"/>
      <c r="Q26" s="1072"/>
      <c r="R26" s="1072"/>
      <c r="S26" s="1072"/>
      <c r="T26" s="1073"/>
      <c r="U26" s="1073"/>
      <c r="V26" s="1073"/>
      <c r="W26" s="1072">
        <f>SUMIF(AL10:AL25,"I999/",W10:W25)</f>
        <v>37</v>
      </c>
      <c r="X26" s="1064"/>
      <c r="Y26" s="1064"/>
      <c r="Z26" s="1065"/>
      <c r="AA26" s="1065"/>
      <c r="AB26" s="1064"/>
      <c r="AC26" s="1064"/>
      <c r="AD26" s="1064"/>
      <c r="AE26" s="1064"/>
      <c r="AF26" s="1064"/>
      <c r="AG26" s="1064"/>
      <c r="AH26" s="1064"/>
    </row>
    <row r="27" spans="1:34" ht="12.75">
      <c r="A27" s="1071"/>
      <c r="B27" s="1070"/>
      <c r="C27" s="1065"/>
      <c r="D27" s="1049"/>
      <c r="E27" s="1066"/>
      <c r="F27" s="1064"/>
      <c r="G27" s="1069"/>
      <c r="H27" s="1069"/>
      <c r="I27" s="1069"/>
      <c r="J27" s="1069"/>
      <c r="K27" s="1068"/>
      <c r="L27" s="1068"/>
      <c r="M27" s="1066"/>
      <c r="N27" s="1066"/>
      <c r="O27" s="1064"/>
      <c r="P27" s="1064"/>
      <c r="Q27" s="1066"/>
      <c r="R27" s="1066"/>
      <c r="S27" s="1066"/>
      <c r="T27" s="1067"/>
      <c r="U27" s="1067"/>
      <c r="V27" s="1067"/>
      <c r="W27" s="1066"/>
      <c r="X27" s="1064"/>
      <c r="Y27" s="1064"/>
      <c r="Z27" s="1065"/>
      <c r="AA27" s="1065"/>
      <c r="AB27" s="1064"/>
      <c r="AC27" s="1064"/>
      <c r="AD27" s="1064"/>
      <c r="AE27" s="1064"/>
      <c r="AF27" s="1064"/>
      <c r="AG27" s="1064"/>
      <c r="AH27" s="1064"/>
    </row>
    <row r="28" spans="1:34" ht="12.75">
      <c r="A28" s="1071"/>
      <c r="B28" s="1070"/>
      <c r="C28" s="1079" t="s">
        <v>703</v>
      </c>
      <c r="D28" s="1078" t="s">
        <v>702</v>
      </c>
      <c r="E28" s="1066"/>
      <c r="F28" s="1064"/>
      <c r="G28" s="1069"/>
      <c r="H28" s="1069"/>
      <c r="I28" s="1069"/>
      <c r="J28" s="1069"/>
      <c r="K28" s="1068"/>
      <c r="L28" s="1068"/>
      <c r="M28" s="1066"/>
      <c r="N28" s="1066"/>
      <c r="O28" s="1064"/>
      <c r="P28" s="1064"/>
      <c r="Q28" s="1066"/>
      <c r="R28" s="1066"/>
      <c r="S28" s="1066"/>
      <c r="T28" s="1067"/>
      <c r="U28" s="1067"/>
      <c r="V28" s="1067"/>
      <c r="W28" s="1066"/>
      <c r="X28" s="1064"/>
      <c r="Y28" s="1064"/>
      <c r="Z28" s="1065"/>
      <c r="AA28" s="1065"/>
      <c r="AB28" s="1064"/>
      <c r="AC28" s="1064"/>
      <c r="AD28" s="1064"/>
      <c r="AE28" s="1064"/>
      <c r="AF28" s="1064"/>
      <c r="AG28" s="1064"/>
      <c r="AH28" s="1064"/>
    </row>
    <row r="29" spans="1:34" ht="12.75">
      <c r="A29" s="1071"/>
      <c r="B29" s="1070"/>
      <c r="C29" s="1079" t="s">
        <v>701</v>
      </c>
      <c r="D29" s="1078" t="s">
        <v>700</v>
      </c>
      <c r="E29" s="1066"/>
      <c r="F29" s="1064"/>
      <c r="G29" s="1069"/>
      <c r="H29" s="1069"/>
      <c r="I29" s="1069"/>
      <c r="J29" s="1069"/>
      <c r="K29" s="1068"/>
      <c r="L29" s="1068"/>
      <c r="M29" s="1066"/>
      <c r="N29" s="1066"/>
      <c r="O29" s="1064"/>
      <c r="P29" s="1064"/>
      <c r="Q29" s="1066"/>
      <c r="R29" s="1066"/>
      <c r="S29" s="1066"/>
      <c r="T29" s="1067"/>
      <c r="U29" s="1067"/>
      <c r="V29" s="1067"/>
      <c r="W29" s="1066"/>
      <c r="X29" s="1064"/>
      <c r="Y29" s="1064"/>
      <c r="Z29" s="1065"/>
      <c r="AA29" s="1065"/>
      <c r="AB29" s="1064"/>
      <c r="AC29" s="1064"/>
      <c r="AD29" s="1064"/>
      <c r="AE29" s="1064"/>
      <c r="AF29" s="1064"/>
      <c r="AG29" s="1064"/>
      <c r="AH29" s="1064"/>
    </row>
    <row r="30" spans="1:39" ht="12.75">
      <c r="A30" s="1071" t="s">
        <v>699</v>
      </c>
      <c r="B30" s="1070" t="s">
        <v>594</v>
      </c>
      <c r="C30" s="1065" t="s">
        <v>696</v>
      </c>
      <c r="D30" s="1049" t="s">
        <v>698</v>
      </c>
      <c r="E30" s="1066">
        <v>71</v>
      </c>
      <c r="F30" s="1064" t="s">
        <v>1</v>
      </c>
      <c r="G30" s="1069"/>
      <c r="H30" s="1069">
        <f>ROUND(E30*G30,2)</f>
        <v>0</v>
      </c>
      <c r="I30" s="1069"/>
      <c r="J30" s="1069">
        <f>ROUND(E30*G30,2)</f>
        <v>0</v>
      </c>
      <c r="K30" s="1068"/>
      <c r="L30" s="1068"/>
      <c r="M30" s="1066"/>
      <c r="N30" s="1066"/>
      <c r="O30" s="1064">
        <v>20</v>
      </c>
      <c r="P30" s="1064" t="s">
        <v>693</v>
      </c>
      <c r="Q30" s="1066"/>
      <c r="R30" s="1066"/>
      <c r="S30" s="1066"/>
      <c r="T30" s="1067"/>
      <c r="U30" s="1067"/>
      <c r="V30" s="1067" t="s">
        <v>415</v>
      </c>
      <c r="W30" s="1066">
        <v>6.319</v>
      </c>
      <c r="X30" s="1064" t="s">
        <v>697</v>
      </c>
      <c r="Y30" s="1064" t="s">
        <v>696</v>
      </c>
      <c r="Z30" s="1065" t="s">
        <v>589</v>
      </c>
      <c r="AA30" s="1065"/>
      <c r="AB30" s="1064" t="s">
        <v>414</v>
      </c>
      <c r="AC30" s="1064"/>
      <c r="AD30" s="1064"/>
      <c r="AE30" s="1064"/>
      <c r="AF30" s="1064"/>
      <c r="AG30" s="1064"/>
      <c r="AH30" s="1064"/>
      <c r="AJ30" s="1056" t="s">
        <v>490</v>
      </c>
      <c r="AK30" s="1056" t="s">
        <v>489</v>
      </c>
      <c r="AL30" s="1056" t="s">
        <v>579</v>
      </c>
      <c r="AM30" s="1056" t="s">
        <v>682</v>
      </c>
    </row>
    <row r="31" spans="1:39" ht="12.75">
      <c r="A31" s="1071" t="s">
        <v>695</v>
      </c>
      <c r="B31" s="1070" t="s">
        <v>43</v>
      </c>
      <c r="C31" s="1065" t="s">
        <v>691</v>
      </c>
      <c r="D31" s="1049" t="s">
        <v>694</v>
      </c>
      <c r="E31" s="1066">
        <v>71</v>
      </c>
      <c r="F31" s="1064" t="s">
        <v>1</v>
      </c>
      <c r="G31" s="1069"/>
      <c r="H31" s="1069"/>
      <c r="I31" s="1069">
        <f>ROUND(E31*G31,2)</f>
        <v>0</v>
      </c>
      <c r="J31" s="1069">
        <f>ROUND(E31*G31,2)</f>
        <v>0</v>
      </c>
      <c r="K31" s="1068"/>
      <c r="L31" s="1068"/>
      <c r="M31" s="1066"/>
      <c r="N31" s="1066"/>
      <c r="O31" s="1064">
        <v>20</v>
      </c>
      <c r="P31" s="1064" t="s">
        <v>693</v>
      </c>
      <c r="Q31" s="1066"/>
      <c r="R31" s="1066"/>
      <c r="S31" s="1066"/>
      <c r="T31" s="1067"/>
      <c r="U31" s="1067"/>
      <c r="V31" s="1067" t="s">
        <v>390</v>
      </c>
      <c r="W31" s="1066"/>
      <c r="X31" s="1064" t="s">
        <v>692</v>
      </c>
      <c r="Y31" s="1064" t="s">
        <v>691</v>
      </c>
      <c r="Z31" s="1065" t="s">
        <v>684</v>
      </c>
      <c r="AA31" s="1065" t="s">
        <v>690</v>
      </c>
      <c r="AB31" s="1064" t="s">
        <v>581</v>
      </c>
      <c r="AC31" s="1064"/>
      <c r="AD31" s="1064"/>
      <c r="AE31" s="1064"/>
      <c r="AF31" s="1064"/>
      <c r="AG31" s="1064"/>
      <c r="AH31" s="1064"/>
      <c r="AJ31" s="1056" t="s">
        <v>580</v>
      </c>
      <c r="AK31" s="1056" t="s">
        <v>489</v>
      </c>
      <c r="AL31" s="1056" t="s">
        <v>579</v>
      </c>
      <c r="AM31" s="1056" t="s">
        <v>682</v>
      </c>
    </row>
    <row r="32" spans="1:39" ht="12.75">
      <c r="A32" s="1071" t="s">
        <v>689</v>
      </c>
      <c r="B32" s="1070" t="s">
        <v>43</v>
      </c>
      <c r="C32" s="1065" t="s">
        <v>685</v>
      </c>
      <c r="D32" s="1049" t="s">
        <v>688</v>
      </c>
      <c r="E32" s="1066">
        <v>10</v>
      </c>
      <c r="F32" s="1064" t="s">
        <v>542</v>
      </c>
      <c r="G32" s="1069"/>
      <c r="H32" s="1069"/>
      <c r="I32" s="1069">
        <f>ROUND(E32*G32,2)</f>
        <v>0</v>
      </c>
      <c r="J32" s="1069">
        <f>ROUND(E32*G32,2)</f>
        <v>0</v>
      </c>
      <c r="K32" s="1068"/>
      <c r="L32" s="1068"/>
      <c r="M32" s="1066"/>
      <c r="N32" s="1066"/>
      <c r="O32" s="1064">
        <v>20</v>
      </c>
      <c r="P32" s="1064" t="s">
        <v>687</v>
      </c>
      <c r="Q32" s="1066"/>
      <c r="R32" s="1066"/>
      <c r="S32" s="1066"/>
      <c r="T32" s="1067"/>
      <c r="U32" s="1067"/>
      <c r="V32" s="1067" t="s">
        <v>390</v>
      </c>
      <c r="W32" s="1066"/>
      <c r="X32" s="1064" t="s">
        <v>686</v>
      </c>
      <c r="Y32" s="1064" t="s">
        <v>685</v>
      </c>
      <c r="Z32" s="1065" t="s">
        <v>684</v>
      </c>
      <c r="AA32" s="1065" t="s">
        <v>683</v>
      </c>
      <c r="AB32" s="1064" t="s">
        <v>581</v>
      </c>
      <c r="AC32" s="1064"/>
      <c r="AD32" s="1064"/>
      <c r="AE32" s="1064"/>
      <c r="AF32" s="1064"/>
      <c r="AG32" s="1064"/>
      <c r="AH32" s="1064"/>
      <c r="AJ32" s="1056" t="s">
        <v>580</v>
      </c>
      <c r="AK32" s="1056" t="s">
        <v>489</v>
      </c>
      <c r="AL32" s="1056" t="s">
        <v>579</v>
      </c>
      <c r="AM32" s="1056" t="s">
        <v>682</v>
      </c>
    </row>
    <row r="33" spans="1:34" ht="12.75">
      <c r="A33" s="1071"/>
      <c r="B33" s="1070"/>
      <c r="C33" s="1065"/>
      <c r="D33" s="1077" t="s">
        <v>466</v>
      </c>
      <c r="E33" s="1076">
        <f>SUM(J30:J32)</f>
        <v>0</v>
      </c>
      <c r="F33" s="1074"/>
      <c r="G33" s="1076"/>
      <c r="H33" s="1076">
        <f>SUM(H30:H32)</f>
        <v>0</v>
      </c>
      <c r="I33" s="1076">
        <f>SUM(I30:I32)</f>
        <v>0</v>
      </c>
      <c r="J33" s="1076">
        <f>SUM(J30:J32)</f>
        <v>0</v>
      </c>
      <c r="K33" s="1075"/>
      <c r="L33" s="1075">
        <f>SUM(L30:L32)</f>
        <v>0</v>
      </c>
      <c r="M33" s="1072"/>
      <c r="N33" s="1072">
        <f>SUM(N30:N32)</f>
        <v>0</v>
      </c>
      <c r="O33" s="1074"/>
      <c r="P33" s="1074"/>
      <c r="Q33" s="1072"/>
      <c r="R33" s="1072"/>
      <c r="S33" s="1072"/>
      <c r="T33" s="1073"/>
      <c r="U33" s="1073"/>
      <c r="V33" s="1073"/>
      <c r="W33" s="1072">
        <f>SUM(W30:W32)</f>
        <v>6.319</v>
      </c>
      <c r="X33" s="1064"/>
      <c r="Y33" s="1064"/>
      <c r="Z33" s="1065"/>
      <c r="AA33" s="1065"/>
      <c r="AB33" s="1064"/>
      <c r="AC33" s="1064"/>
      <c r="AD33" s="1064"/>
      <c r="AE33" s="1064"/>
      <c r="AF33" s="1064"/>
      <c r="AG33" s="1064"/>
      <c r="AH33" s="1064"/>
    </row>
    <row r="34" spans="1:34" ht="12.75">
      <c r="A34" s="1071"/>
      <c r="B34" s="1070"/>
      <c r="C34" s="1065"/>
      <c r="D34" s="1049"/>
      <c r="E34" s="1066"/>
      <c r="F34" s="1064"/>
      <c r="G34" s="1069"/>
      <c r="H34" s="1069"/>
      <c r="I34" s="1069"/>
      <c r="J34" s="1069"/>
      <c r="K34" s="1068"/>
      <c r="L34" s="1068"/>
      <c r="M34" s="1066"/>
      <c r="N34" s="1066"/>
      <c r="O34" s="1064"/>
      <c r="P34" s="1064"/>
      <c r="Q34" s="1066"/>
      <c r="R34" s="1066"/>
      <c r="S34" s="1066"/>
      <c r="T34" s="1067"/>
      <c r="U34" s="1067"/>
      <c r="V34" s="1067"/>
      <c r="W34" s="1066"/>
      <c r="X34" s="1064"/>
      <c r="Y34" s="1064"/>
      <c r="Z34" s="1065"/>
      <c r="AA34" s="1065"/>
      <c r="AB34" s="1064"/>
      <c r="AC34" s="1064"/>
      <c r="AD34" s="1064"/>
      <c r="AE34" s="1064"/>
      <c r="AF34" s="1064"/>
      <c r="AG34" s="1064"/>
      <c r="AH34" s="1064"/>
    </row>
    <row r="35" spans="1:34" ht="12.75">
      <c r="A35" s="1071"/>
      <c r="B35" s="1070"/>
      <c r="C35" s="1079" t="s">
        <v>681</v>
      </c>
      <c r="D35" s="1078" t="s">
        <v>680</v>
      </c>
      <c r="E35" s="1066"/>
      <c r="F35" s="1064"/>
      <c r="G35" s="1069"/>
      <c r="H35" s="1069"/>
      <c r="I35" s="1069"/>
      <c r="J35" s="1069"/>
      <c r="K35" s="1068"/>
      <c r="L35" s="1068"/>
      <c r="M35" s="1066"/>
      <c r="N35" s="1066"/>
      <c r="O35" s="1064"/>
      <c r="P35" s="1064"/>
      <c r="Q35" s="1066"/>
      <c r="R35" s="1066"/>
      <c r="S35" s="1066"/>
      <c r="T35" s="1067"/>
      <c r="U35" s="1067"/>
      <c r="V35" s="1067"/>
      <c r="W35" s="1066"/>
      <c r="X35" s="1064"/>
      <c r="Y35" s="1064"/>
      <c r="Z35" s="1065"/>
      <c r="AA35" s="1065"/>
      <c r="AB35" s="1064"/>
      <c r="AC35" s="1064"/>
      <c r="AD35" s="1064"/>
      <c r="AE35" s="1064"/>
      <c r="AF35" s="1064"/>
      <c r="AG35" s="1064"/>
      <c r="AH35" s="1064"/>
    </row>
    <row r="36" spans="1:39" ht="12.75">
      <c r="A36" s="1071" t="s">
        <v>679</v>
      </c>
      <c r="B36" s="1070" t="s">
        <v>594</v>
      </c>
      <c r="C36" s="1065" t="s">
        <v>675</v>
      </c>
      <c r="D36" s="1049" t="s">
        <v>678</v>
      </c>
      <c r="E36" s="1066">
        <v>72</v>
      </c>
      <c r="F36" s="1064" t="s">
        <v>542</v>
      </c>
      <c r="G36" s="1069"/>
      <c r="H36" s="1069">
        <f>ROUND(E36*G36,2)</f>
        <v>0</v>
      </c>
      <c r="I36" s="1069"/>
      <c r="J36" s="1069">
        <f>ROUND(E36*G36,2)</f>
        <v>0</v>
      </c>
      <c r="K36" s="1068"/>
      <c r="L36" s="1068"/>
      <c r="M36" s="1066"/>
      <c r="N36" s="1066"/>
      <c r="O36" s="1064">
        <v>20</v>
      </c>
      <c r="P36" s="1064" t="s">
        <v>677</v>
      </c>
      <c r="Q36" s="1066"/>
      <c r="R36" s="1066"/>
      <c r="S36" s="1066"/>
      <c r="T36" s="1067"/>
      <c r="U36" s="1067"/>
      <c r="V36" s="1067" t="s">
        <v>415</v>
      </c>
      <c r="W36" s="1066">
        <v>5.112</v>
      </c>
      <c r="X36" s="1064" t="s">
        <v>676</v>
      </c>
      <c r="Y36" s="1064" t="s">
        <v>675</v>
      </c>
      <c r="Z36" s="1065" t="s">
        <v>589</v>
      </c>
      <c r="AA36" s="1065"/>
      <c r="AB36" s="1064" t="s">
        <v>491</v>
      </c>
      <c r="AC36" s="1064"/>
      <c r="AD36" s="1064"/>
      <c r="AE36" s="1064"/>
      <c r="AF36" s="1064"/>
      <c r="AG36" s="1064"/>
      <c r="AH36" s="1064"/>
      <c r="AJ36" s="1056" t="s">
        <v>490</v>
      </c>
      <c r="AK36" s="1056" t="s">
        <v>489</v>
      </c>
      <c r="AL36" s="1056" t="s">
        <v>579</v>
      </c>
      <c r="AM36" s="1056" t="s">
        <v>663</v>
      </c>
    </row>
    <row r="37" spans="1:39" ht="12.75">
      <c r="A37" s="1071" t="s">
        <v>674</v>
      </c>
      <c r="B37" s="1070" t="s">
        <v>594</v>
      </c>
      <c r="C37" s="1065" t="s">
        <v>670</v>
      </c>
      <c r="D37" s="1049" t="s">
        <v>673</v>
      </c>
      <c r="E37" s="1066">
        <v>18</v>
      </c>
      <c r="F37" s="1064" t="s">
        <v>542</v>
      </c>
      <c r="G37" s="1069"/>
      <c r="H37" s="1069">
        <f>ROUND(E37*G37,2)</f>
        <v>0</v>
      </c>
      <c r="I37" s="1069"/>
      <c r="J37" s="1069">
        <f>ROUND(E37*G37,2)</f>
        <v>0</v>
      </c>
      <c r="K37" s="1068"/>
      <c r="L37" s="1068"/>
      <c r="M37" s="1066"/>
      <c r="N37" s="1066"/>
      <c r="O37" s="1064">
        <v>20</v>
      </c>
      <c r="P37" s="1064" t="s">
        <v>672</v>
      </c>
      <c r="Q37" s="1066"/>
      <c r="R37" s="1066"/>
      <c r="S37" s="1066"/>
      <c r="T37" s="1067"/>
      <c r="U37" s="1067"/>
      <c r="V37" s="1067" t="s">
        <v>415</v>
      </c>
      <c r="W37" s="1066">
        <v>7.704</v>
      </c>
      <c r="X37" s="1064" t="s">
        <v>671</v>
      </c>
      <c r="Y37" s="1064" t="s">
        <v>670</v>
      </c>
      <c r="Z37" s="1065" t="s">
        <v>589</v>
      </c>
      <c r="AA37" s="1065"/>
      <c r="AB37" s="1064" t="s">
        <v>491</v>
      </c>
      <c r="AC37" s="1064"/>
      <c r="AD37" s="1064"/>
      <c r="AE37" s="1064"/>
      <c r="AF37" s="1064"/>
      <c r="AG37" s="1064"/>
      <c r="AH37" s="1064"/>
      <c r="AJ37" s="1056" t="s">
        <v>490</v>
      </c>
      <c r="AK37" s="1056" t="s">
        <v>489</v>
      </c>
      <c r="AL37" s="1056" t="s">
        <v>579</v>
      </c>
      <c r="AM37" s="1056" t="s">
        <v>663</v>
      </c>
    </row>
    <row r="38" spans="1:39" ht="12.75">
      <c r="A38" s="1071" t="s">
        <v>669</v>
      </c>
      <c r="B38" s="1070" t="s">
        <v>43</v>
      </c>
      <c r="C38" s="1065" t="s">
        <v>665</v>
      </c>
      <c r="D38" s="1049" t="s">
        <v>668</v>
      </c>
      <c r="E38" s="1066">
        <v>18</v>
      </c>
      <c r="F38" s="1064" t="s">
        <v>542</v>
      </c>
      <c r="G38" s="1069"/>
      <c r="H38" s="1069"/>
      <c r="I38" s="1069">
        <f>ROUND(E38*G38,2)</f>
        <v>0</v>
      </c>
      <c r="J38" s="1069">
        <f>ROUND(E38*G38,2)</f>
        <v>0</v>
      </c>
      <c r="K38" s="1068"/>
      <c r="L38" s="1068"/>
      <c r="M38" s="1066"/>
      <c r="N38" s="1066"/>
      <c r="O38" s="1064">
        <v>20</v>
      </c>
      <c r="P38" s="1064" t="s">
        <v>667</v>
      </c>
      <c r="Q38" s="1066"/>
      <c r="R38" s="1066"/>
      <c r="S38" s="1066"/>
      <c r="T38" s="1067"/>
      <c r="U38" s="1067"/>
      <c r="V38" s="1067" t="s">
        <v>390</v>
      </c>
      <c r="W38" s="1066"/>
      <c r="X38" s="1064" t="s">
        <v>666</v>
      </c>
      <c r="Y38" s="1064" t="s">
        <v>665</v>
      </c>
      <c r="Z38" s="1065" t="s">
        <v>618</v>
      </c>
      <c r="AA38" s="1065" t="s">
        <v>664</v>
      </c>
      <c r="AB38" s="1064" t="s">
        <v>581</v>
      </c>
      <c r="AC38" s="1064"/>
      <c r="AD38" s="1064"/>
      <c r="AE38" s="1064"/>
      <c r="AF38" s="1064"/>
      <c r="AG38" s="1064"/>
      <c r="AH38" s="1064"/>
      <c r="AJ38" s="1056" t="s">
        <v>580</v>
      </c>
      <c r="AK38" s="1056" t="s">
        <v>489</v>
      </c>
      <c r="AL38" s="1056" t="s">
        <v>579</v>
      </c>
      <c r="AM38" s="1056" t="s">
        <v>663</v>
      </c>
    </row>
    <row r="39" spans="1:34" ht="12.75">
      <c r="A39" s="1071"/>
      <c r="B39" s="1070"/>
      <c r="C39" s="1065"/>
      <c r="D39" s="1077" t="s">
        <v>465</v>
      </c>
      <c r="E39" s="1076">
        <f>SUM(J36:J38)</f>
        <v>0</v>
      </c>
      <c r="F39" s="1074"/>
      <c r="G39" s="1076"/>
      <c r="H39" s="1076">
        <f>SUM(H36:H38)</f>
        <v>0</v>
      </c>
      <c r="I39" s="1076">
        <f>SUM(I36:I38)</f>
        <v>0</v>
      </c>
      <c r="J39" s="1076">
        <f>SUM(J36:J38)</f>
        <v>0</v>
      </c>
      <c r="K39" s="1075"/>
      <c r="L39" s="1075">
        <f>SUM(L36:L38)</f>
        <v>0</v>
      </c>
      <c r="M39" s="1072"/>
      <c r="N39" s="1072">
        <f>SUM(N36:N38)</f>
        <v>0</v>
      </c>
      <c r="O39" s="1074"/>
      <c r="P39" s="1074"/>
      <c r="Q39" s="1072"/>
      <c r="R39" s="1072"/>
      <c r="S39" s="1072"/>
      <c r="T39" s="1073"/>
      <c r="U39" s="1073"/>
      <c r="V39" s="1073"/>
      <c r="W39" s="1072">
        <f>SUM(W36:W38)</f>
        <v>12.815999999999999</v>
      </c>
      <c r="X39" s="1064"/>
      <c r="Y39" s="1064"/>
      <c r="Z39" s="1065"/>
      <c r="AA39" s="1065"/>
      <c r="AB39" s="1064"/>
      <c r="AC39" s="1064"/>
      <c r="AD39" s="1064"/>
      <c r="AE39" s="1064"/>
      <c r="AF39" s="1064"/>
      <c r="AG39" s="1064"/>
      <c r="AH39" s="1064"/>
    </row>
    <row r="40" spans="1:34" ht="12.75">
      <c r="A40" s="1071"/>
      <c r="B40" s="1070"/>
      <c r="C40" s="1065"/>
      <c r="D40" s="1049"/>
      <c r="E40" s="1066"/>
      <c r="F40" s="1064"/>
      <c r="G40" s="1069"/>
      <c r="H40" s="1069"/>
      <c r="I40" s="1069"/>
      <c r="J40" s="1069"/>
      <c r="K40" s="1068"/>
      <c r="L40" s="1068"/>
      <c r="M40" s="1066"/>
      <c r="N40" s="1066"/>
      <c r="O40" s="1064"/>
      <c r="P40" s="1064"/>
      <c r="Q40" s="1066"/>
      <c r="R40" s="1066"/>
      <c r="S40" s="1066"/>
      <c r="T40" s="1067"/>
      <c r="U40" s="1067"/>
      <c r="V40" s="1067"/>
      <c r="W40" s="1066"/>
      <c r="X40" s="1064"/>
      <c r="Y40" s="1064"/>
      <c r="Z40" s="1065"/>
      <c r="AA40" s="1065"/>
      <c r="AB40" s="1064"/>
      <c r="AC40" s="1064"/>
      <c r="AD40" s="1064"/>
      <c r="AE40" s="1064"/>
      <c r="AF40" s="1064"/>
      <c r="AG40" s="1064"/>
      <c r="AH40" s="1064"/>
    </row>
    <row r="41" spans="1:34" ht="12.75">
      <c r="A41" s="1071"/>
      <c r="B41" s="1070"/>
      <c r="C41" s="1079" t="s">
        <v>662</v>
      </c>
      <c r="D41" s="1078" t="s">
        <v>661</v>
      </c>
      <c r="E41" s="1066"/>
      <c r="F41" s="1064"/>
      <c r="G41" s="1069"/>
      <c r="H41" s="1069"/>
      <c r="I41" s="1069"/>
      <c r="J41" s="1069"/>
      <c r="K41" s="1068"/>
      <c r="L41" s="1068"/>
      <c r="M41" s="1066"/>
      <c r="N41" s="1066"/>
      <c r="O41" s="1064"/>
      <c r="P41" s="1064"/>
      <c r="Q41" s="1066"/>
      <c r="R41" s="1066"/>
      <c r="S41" s="1066"/>
      <c r="T41" s="1067"/>
      <c r="U41" s="1067"/>
      <c r="V41" s="1067"/>
      <c r="W41" s="1066"/>
      <c r="X41" s="1064"/>
      <c r="Y41" s="1064"/>
      <c r="Z41" s="1065"/>
      <c r="AA41" s="1065"/>
      <c r="AB41" s="1064"/>
      <c r="AC41" s="1064"/>
      <c r="AD41" s="1064"/>
      <c r="AE41" s="1064"/>
      <c r="AF41" s="1064"/>
      <c r="AG41" s="1064"/>
      <c r="AH41" s="1064"/>
    </row>
    <row r="42" spans="1:39" ht="12.75">
      <c r="A42" s="1071" t="s">
        <v>660</v>
      </c>
      <c r="B42" s="1070" t="s">
        <v>594</v>
      </c>
      <c r="C42" s="1065" t="s">
        <v>656</v>
      </c>
      <c r="D42" s="1049" t="s">
        <v>659</v>
      </c>
      <c r="E42" s="1066">
        <v>9</v>
      </c>
      <c r="F42" s="1064" t="s">
        <v>542</v>
      </c>
      <c r="G42" s="1069"/>
      <c r="H42" s="1069">
        <f>ROUND(E42*G42,2)</f>
        <v>0</v>
      </c>
      <c r="I42" s="1069"/>
      <c r="J42" s="1069">
        <f>ROUND(E42*G42,2)</f>
        <v>0</v>
      </c>
      <c r="K42" s="1068"/>
      <c r="L42" s="1068"/>
      <c r="M42" s="1066"/>
      <c r="N42" s="1066"/>
      <c r="O42" s="1064">
        <v>20</v>
      </c>
      <c r="P42" s="1064" t="s">
        <v>658</v>
      </c>
      <c r="Q42" s="1066"/>
      <c r="R42" s="1066"/>
      <c r="S42" s="1066"/>
      <c r="T42" s="1067"/>
      <c r="U42" s="1067"/>
      <c r="V42" s="1067" t="s">
        <v>415</v>
      </c>
      <c r="W42" s="1066">
        <v>12.546</v>
      </c>
      <c r="X42" s="1064" t="s">
        <v>657</v>
      </c>
      <c r="Y42" s="1064" t="s">
        <v>656</v>
      </c>
      <c r="Z42" s="1065" t="s">
        <v>589</v>
      </c>
      <c r="AA42" s="1065"/>
      <c r="AB42" s="1064" t="s">
        <v>491</v>
      </c>
      <c r="AC42" s="1064"/>
      <c r="AD42" s="1064"/>
      <c r="AE42" s="1064"/>
      <c r="AF42" s="1064"/>
      <c r="AG42" s="1064"/>
      <c r="AH42" s="1064"/>
      <c r="AJ42" s="1056" t="s">
        <v>490</v>
      </c>
      <c r="AK42" s="1056" t="s">
        <v>489</v>
      </c>
      <c r="AL42" s="1056" t="s">
        <v>579</v>
      </c>
      <c r="AM42" s="1056" t="s">
        <v>631</v>
      </c>
    </row>
    <row r="43" spans="1:39" ht="12.75">
      <c r="A43" s="1071" t="s">
        <v>655</v>
      </c>
      <c r="B43" s="1070" t="s">
        <v>43</v>
      </c>
      <c r="C43" s="1065" t="s">
        <v>652</v>
      </c>
      <c r="D43" s="1049" t="s">
        <v>654</v>
      </c>
      <c r="E43" s="1066">
        <v>9</v>
      </c>
      <c r="F43" s="1064" t="s">
        <v>542</v>
      </c>
      <c r="G43" s="1069"/>
      <c r="H43" s="1069"/>
      <c r="I43" s="1069">
        <f>ROUND(E43*G43,2)</f>
        <v>0</v>
      </c>
      <c r="J43" s="1069">
        <f>ROUND(E43*G43,2)</f>
        <v>0</v>
      </c>
      <c r="K43" s="1068">
        <v>0.01</v>
      </c>
      <c r="L43" s="1068">
        <f>E43*K43</f>
        <v>0.09</v>
      </c>
      <c r="M43" s="1066"/>
      <c r="N43" s="1066"/>
      <c r="O43" s="1064">
        <v>20</v>
      </c>
      <c r="P43" s="1064" t="s">
        <v>648</v>
      </c>
      <c r="Q43" s="1066"/>
      <c r="R43" s="1066"/>
      <c r="S43" s="1066"/>
      <c r="T43" s="1067"/>
      <c r="U43" s="1067"/>
      <c r="V43" s="1067" t="s">
        <v>390</v>
      </c>
      <c r="W43" s="1066"/>
      <c r="X43" s="1064" t="s">
        <v>653</v>
      </c>
      <c r="Y43" s="1064" t="s">
        <v>652</v>
      </c>
      <c r="Z43" s="1065" t="s">
        <v>645</v>
      </c>
      <c r="AA43" s="1065" t="s">
        <v>651</v>
      </c>
      <c r="AB43" s="1064" t="s">
        <v>598</v>
      </c>
      <c r="AC43" s="1064"/>
      <c r="AD43" s="1064"/>
      <c r="AE43" s="1064"/>
      <c r="AF43" s="1064"/>
      <c r="AG43" s="1064"/>
      <c r="AH43" s="1064"/>
      <c r="AJ43" s="1056" t="s">
        <v>580</v>
      </c>
      <c r="AK43" s="1056" t="s">
        <v>489</v>
      </c>
      <c r="AL43" s="1056" t="s">
        <v>579</v>
      </c>
      <c r="AM43" s="1056" t="s">
        <v>631</v>
      </c>
    </row>
    <row r="44" spans="1:39" ht="12.75">
      <c r="A44" s="1071" t="s">
        <v>650</v>
      </c>
      <c r="B44" s="1070" t="s">
        <v>43</v>
      </c>
      <c r="C44" s="1065" t="s">
        <v>646</v>
      </c>
      <c r="D44" s="1049" t="s">
        <v>649</v>
      </c>
      <c r="E44" s="1066">
        <v>9</v>
      </c>
      <c r="F44" s="1064" t="s">
        <v>542</v>
      </c>
      <c r="G44" s="1069"/>
      <c r="H44" s="1069"/>
      <c r="I44" s="1069">
        <f>ROUND(E44*G44,2)</f>
        <v>0</v>
      </c>
      <c r="J44" s="1069">
        <f>ROUND(E44*G44,2)</f>
        <v>0</v>
      </c>
      <c r="K44" s="1068">
        <v>0.01</v>
      </c>
      <c r="L44" s="1068">
        <f>E44*K44</f>
        <v>0.09</v>
      </c>
      <c r="M44" s="1066"/>
      <c r="N44" s="1066"/>
      <c r="O44" s="1064">
        <v>20</v>
      </c>
      <c r="P44" s="1064" t="s">
        <v>648</v>
      </c>
      <c r="Q44" s="1066"/>
      <c r="R44" s="1066"/>
      <c r="S44" s="1066"/>
      <c r="T44" s="1067"/>
      <c r="U44" s="1067"/>
      <c r="V44" s="1067" t="s">
        <v>390</v>
      </c>
      <c r="W44" s="1066"/>
      <c r="X44" s="1064" t="s">
        <v>647</v>
      </c>
      <c r="Y44" s="1064" t="s">
        <v>646</v>
      </c>
      <c r="Z44" s="1065" t="s">
        <v>645</v>
      </c>
      <c r="AA44" s="1065" t="s">
        <v>644</v>
      </c>
      <c r="AB44" s="1064" t="s">
        <v>598</v>
      </c>
      <c r="AC44" s="1064"/>
      <c r="AD44" s="1064"/>
      <c r="AE44" s="1064"/>
      <c r="AF44" s="1064"/>
      <c r="AG44" s="1064"/>
      <c r="AH44" s="1064"/>
      <c r="AJ44" s="1056" t="s">
        <v>580</v>
      </c>
      <c r="AK44" s="1056" t="s">
        <v>489</v>
      </c>
      <c r="AL44" s="1056" t="s">
        <v>579</v>
      </c>
      <c r="AM44" s="1056" t="s">
        <v>631</v>
      </c>
    </row>
    <row r="45" spans="1:39" ht="12.75">
      <c r="A45" s="1071" t="s">
        <v>643</v>
      </c>
      <c r="B45" s="1070" t="s">
        <v>594</v>
      </c>
      <c r="C45" s="1065" t="s">
        <v>639</v>
      </c>
      <c r="D45" s="1049" t="s">
        <v>642</v>
      </c>
      <c r="E45" s="1066">
        <v>9</v>
      </c>
      <c r="F45" s="1064" t="s">
        <v>542</v>
      </c>
      <c r="G45" s="1069"/>
      <c r="H45" s="1069">
        <f>ROUND(E45*G45,2)</f>
        <v>0</v>
      </c>
      <c r="I45" s="1069"/>
      <c r="J45" s="1069">
        <f>ROUND(E45*G45,2)</f>
        <v>0</v>
      </c>
      <c r="K45" s="1068"/>
      <c r="L45" s="1068"/>
      <c r="M45" s="1066"/>
      <c r="N45" s="1066"/>
      <c r="O45" s="1064">
        <v>20</v>
      </c>
      <c r="P45" s="1064" t="s">
        <v>641</v>
      </c>
      <c r="Q45" s="1066"/>
      <c r="R45" s="1066"/>
      <c r="S45" s="1066"/>
      <c r="T45" s="1067"/>
      <c r="U45" s="1067"/>
      <c r="V45" s="1067" t="s">
        <v>415</v>
      </c>
      <c r="W45" s="1066">
        <v>11.862</v>
      </c>
      <c r="X45" s="1064" t="s">
        <v>640</v>
      </c>
      <c r="Y45" s="1064" t="s">
        <v>639</v>
      </c>
      <c r="Z45" s="1065" t="s">
        <v>589</v>
      </c>
      <c r="AA45" s="1065"/>
      <c r="AB45" s="1064" t="s">
        <v>491</v>
      </c>
      <c r="AC45" s="1064"/>
      <c r="AD45" s="1064"/>
      <c r="AE45" s="1064"/>
      <c r="AF45" s="1064"/>
      <c r="AG45" s="1064"/>
      <c r="AH45" s="1064"/>
      <c r="AJ45" s="1056" t="s">
        <v>490</v>
      </c>
      <c r="AK45" s="1056" t="s">
        <v>489</v>
      </c>
      <c r="AL45" s="1056" t="s">
        <v>579</v>
      </c>
      <c r="AM45" s="1056" t="s">
        <v>631</v>
      </c>
    </row>
    <row r="46" spans="1:39" ht="12.75">
      <c r="A46" s="1071" t="s">
        <v>638</v>
      </c>
      <c r="B46" s="1070" t="s">
        <v>43</v>
      </c>
      <c r="C46" s="1065" t="s">
        <v>634</v>
      </c>
      <c r="D46" s="1049" t="s">
        <v>637</v>
      </c>
      <c r="E46" s="1066">
        <v>9</v>
      </c>
      <c r="F46" s="1064" t="s">
        <v>542</v>
      </c>
      <c r="G46" s="1069"/>
      <c r="H46" s="1069"/>
      <c r="I46" s="1069">
        <f>ROUND(E46*G46,2)</f>
        <v>0</v>
      </c>
      <c r="J46" s="1069">
        <f>ROUND(E46*G46,2)</f>
        <v>0</v>
      </c>
      <c r="K46" s="1068">
        <v>0.052</v>
      </c>
      <c r="L46" s="1068">
        <f>E46*K46</f>
        <v>0.46799999999999997</v>
      </c>
      <c r="M46" s="1066"/>
      <c r="N46" s="1066"/>
      <c r="O46" s="1064">
        <v>20</v>
      </c>
      <c r="P46" s="1064" t="s">
        <v>636</v>
      </c>
      <c r="Q46" s="1066"/>
      <c r="R46" s="1066"/>
      <c r="S46" s="1066"/>
      <c r="T46" s="1067"/>
      <c r="U46" s="1067"/>
      <c r="V46" s="1067" t="s">
        <v>390</v>
      </c>
      <c r="W46" s="1066"/>
      <c r="X46" s="1064" t="s">
        <v>635</v>
      </c>
      <c r="Y46" s="1064" t="s">
        <v>634</v>
      </c>
      <c r="Z46" s="1065" t="s">
        <v>633</v>
      </c>
      <c r="AA46" s="1065" t="s">
        <v>632</v>
      </c>
      <c r="AB46" s="1064" t="s">
        <v>598</v>
      </c>
      <c r="AC46" s="1064"/>
      <c r="AD46" s="1064"/>
      <c r="AE46" s="1064"/>
      <c r="AF46" s="1064"/>
      <c r="AG46" s="1064"/>
      <c r="AH46" s="1064"/>
      <c r="AJ46" s="1056" t="s">
        <v>580</v>
      </c>
      <c r="AK46" s="1056" t="s">
        <v>489</v>
      </c>
      <c r="AL46" s="1056" t="s">
        <v>579</v>
      </c>
      <c r="AM46" s="1056" t="s">
        <v>631</v>
      </c>
    </row>
    <row r="47" spans="1:34" ht="12.75">
      <c r="A47" s="1071"/>
      <c r="B47" s="1070"/>
      <c r="C47" s="1065"/>
      <c r="D47" s="1077" t="s">
        <v>464</v>
      </c>
      <c r="E47" s="1076">
        <f>SUM(J42:J46)</f>
        <v>0</v>
      </c>
      <c r="F47" s="1074"/>
      <c r="G47" s="1076"/>
      <c r="H47" s="1076">
        <f>SUM(H42:H46)</f>
        <v>0</v>
      </c>
      <c r="I47" s="1076">
        <f>SUM(I42:I46)</f>
        <v>0</v>
      </c>
      <c r="J47" s="1076">
        <f>SUM(J42:J46)</f>
        <v>0</v>
      </c>
      <c r="K47" s="1075"/>
      <c r="L47" s="1075">
        <f>SUM(L42:L46)</f>
        <v>0.6479999999999999</v>
      </c>
      <c r="M47" s="1072"/>
      <c r="N47" s="1072">
        <f>SUM(N42:N46)</f>
        <v>0</v>
      </c>
      <c r="O47" s="1074"/>
      <c r="P47" s="1074"/>
      <c r="Q47" s="1072"/>
      <c r="R47" s="1072"/>
      <c r="S47" s="1072"/>
      <c r="T47" s="1073"/>
      <c r="U47" s="1073"/>
      <c r="V47" s="1073"/>
      <c r="W47" s="1072">
        <f>SUM(W42:W46)</f>
        <v>24.408</v>
      </c>
      <c r="X47" s="1064"/>
      <c r="Y47" s="1064"/>
      <c r="Z47" s="1065"/>
      <c r="AA47" s="1065"/>
      <c r="AB47" s="1064"/>
      <c r="AC47" s="1064"/>
      <c r="AD47" s="1064"/>
      <c r="AE47" s="1064"/>
      <c r="AF47" s="1064"/>
      <c r="AG47" s="1064"/>
      <c r="AH47" s="1064"/>
    </row>
    <row r="48" spans="1:34" ht="12.75">
      <c r="A48" s="1071"/>
      <c r="B48" s="1070"/>
      <c r="C48" s="1065"/>
      <c r="D48" s="1049"/>
      <c r="E48" s="1066"/>
      <c r="F48" s="1064"/>
      <c r="G48" s="1069"/>
      <c r="H48" s="1069"/>
      <c r="I48" s="1069"/>
      <c r="J48" s="1069"/>
      <c r="K48" s="1068"/>
      <c r="L48" s="1068"/>
      <c r="M48" s="1066"/>
      <c r="N48" s="1066"/>
      <c r="O48" s="1064"/>
      <c r="P48" s="1064"/>
      <c r="Q48" s="1066"/>
      <c r="R48" s="1066"/>
      <c r="S48" s="1066"/>
      <c r="T48" s="1067"/>
      <c r="U48" s="1067"/>
      <c r="V48" s="1067"/>
      <c r="W48" s="1066"/>
      <c r="X48" s="1064"/>
      <c r="Y48" s="1064"/>
      <c r="Z48" s="1065"/>
      <c r="AA48" s="1065"/>
      <c r="AB48" s="1064"/>
      <c r="AC48" s="1064"/>
      <c r="AD48" s="1064"/>
      <c r="AE48" s="1064"/>
      <c r="AF48" s="1064"/>
      <c r="AG48" s="1064"/>
      <c r="AH48" s="1064"/>
    </row>
    <row r="49" spans="1:34" ht="12.75">
      <c r="A49" s="1071"/>
      <c r="B49" s="1070"/>
      <c r="C49" s="1079" t="s">
        <v>630</v>
      </c>
      <c r="D49" s="1078" t="s">
        <v>629</v>
      </c>
      <c r="E49" s="1066"/>
      <c r="F49" s="1064"/>
      <c r="G49" s="1069"/>
      <c r="H49" s="1069"/>
      <c r="I49" s="1069"/>
      <c r="J49" s="1069"/>
      <c r="K49" s="1068"/>
      <c r="L49" s="1068"/>
      <c r="M49" s="1066"/>
      <c r="N49" s="1066"/>
      <c r="O49" s="1064"/>
      <c r="P49" s="1064"/>
      <c r="Q49" s="1066"/>
      <c r="R49" s="1066"/>
      <c r="S49" s="1066"/>
      <c r="T49" s="1067"/>
      <c r="U49" s="1067"/>
      <c r="V49" s="1067"/>
      <c r="W49" s="1066"/>
      <c r="X49" s="1064"/>
      <c r="Y49" s="1064"/>
      <c r="Z49" s="1065"/>
      <c r="AA49" s="1065"/>
      <c r="AB49" s="1064"/>
      <c r="AC49" s="1064"/>
      <c r="AD49" s="1064"/>
      <c r="AE49" s="1064"/>
      <c r="AF49" s="1064"/>
      <c r="AG49" s="1064"/>
      <c r="AH49" s="1064"/>
    </row>
    <row r="50" spans="1:39" ht="12.75">
      <c r="A50" s="1071" t="s">
        <v>628</v>
      </c>
      <c r="B50" s="1070" t="s">
        <v>594</v>
      </c>
      <c r="C50" s="1065" t="s">
        <v>624</v>
      </c>
      <c r="D50" s="1049" t="s">
        <v>627</v>
      </c>
      <c r="E50" s="1066">
        <v>90</v>
      </c>
      <c r="F50" s="1064" t="s">
        <v>1</v>
      </c>
      <c r="G50" s="1069"/>
      <c r="H50" s="1069">
        <f>ROUND(E50*G50,2)</f>
        <v>0</v>
      </c>
      <c r="I50" s="1069"/>
      <c r="J50" s="1069">
        <f>ROUND(E50*G50,2)</f>
        <v>0</v>
      </c>
      <c r="K50" s="1068"/>
      <c r="L50" s="1068"/>
      <c r="M50" s="1066"/>
      <c r="N50" s="1066"/>
      <c r="O50" s="1064">
        <v>20</v>
      </c>
      <c r="P50" s="1064" t="s">
        <v>626</v>
      </c>
      <c r="Q50" s="1066"/>
      <c r="R50" s="1066"/>
      <c r="S50" s="1066"/>
      <c r="T50" s="1067"/>
      <c r="U50" s="1067"/>
      <c r="V50" s="1067" t="s">
        <v>415</v>
      </c>
      <c r="W50" s="1066">
        <v>5.94</v>
      </c>
      <c r="X50" s="1064" t="s">
        <v>625</v>
      </c>
      <c r="Y50" s="1064" t="s">
        <v>624</v>
      </c>
      <c r="Z50" s="1065" t="s">
        <v>589</v>
      </c>
      <c r="AA50" s="1065"/>
      <c r="AB50" s="1064" t="s">
        <v>491</v>
      </c>
      <c r="AC50" s="1064"/>
      <c r="AD50" s="1064"/>
      <c r="AE50" s="1064"/>
      <c r="AF50" s="1064"/>
      <c r="AG50" s="1064"/>
      <c r="AH50" s="1064"/>
      <c r="AJ50" s="1056" t="s">
        <v>490</v>
      </c>
      <c r="AK50" s="1056" t="s">
        <v>489</v>
      </c>
      <c r="AL50" s="1056" t="s">
        <v>579</v>
      </c>
      <c r="AM50" s="1056" t="s">
        <v>617</v>
      </c>
    </row>
    <row r="51" spans="1:39" ht="12.75">
      <c r="A51" s="1071" t="s">
        <v>623</v>
      </c>
      <c r="B51" s="1070" t="s">
        <v>43</v>
      </c>
      <c r="C51" s="1065" t="s">
        <v>619</v>
      </c>
      <c r="D51" s="1049" t="s">
        <v>622</v>
      </c>
      <c r="E51" s="1066">
        <v>90</v>
      </c>
      <c r="F51" s="1064" t="s">
        <v>9</v>
      </c>
      <c r="G51" s="1069"/>
      <c r="H51" s="1069"/>
      <c r="I51" s="1069">
        <f>ROUND(E51*G51,2)</f>
        <v>0</v>
      </c>
      <c r="J51" s="1069">
        <f>ROUND(E51*G51,2)</f>
        <v>0</v>
      </c>
      <c r="K51" s="1068">
        <v>0.001</v>
      </c>
      <c r="L51" s="1068">
        <f>E51*K51</f>
        <v>0.09</v>
      </c>
      <c r="M51" s="1066"/>
      <c r="N51" s="1066"/>
      <c r="O51" s="1064">
        <v>20</v>
      </c>
      <c r="P51" s="1064" t="s">
        <v>621</v>
      </c>
      <c r="Q51" s="1066"/>
      <c r="R51" s="1066"/>
      <c r="S51" s="1066"/>
      <c r="T51" s="1067"/>
      <c r="U51" s="1067"/>
      <c r="V51" s="1067" t="s">
        <v>390</v>
      </c>
      <c r="W51" s="1066"/>
      <c r="X51" s="1064" t="s">
        <v>620</v>
      </c>
      <c r="Y51" s="1064" t="s">
        <v>619</v>
      </c>
      <c r="Z51" s="1065" t="s">
        <v>618</v>
      </c>
      <c r="AA51" s="1065" t="s">
        <v>582</v>
      </c>
      <c r="AB51" s="1064" t="s">
        <v>581</v>
      </c>
      <c r="AC51" s="1064"/>
      <c r="AD51" s="1064"/>
      <c r="AE51" s="1064"/>
      <c r="AF51" s="1064"/>
      <c r="AG51" s="1064"/>
      <c r="AH51" s="1064"/>
      <c r="AJ51" s="1056" t="s">
        <v>580</v>
      </c>
      <c r="AK51" s="1056" t="s">
        <v>489</v>
      </c>
      <c r="AL51" s="1056" t="s">
        <v>579</v>
      </c>
      <c r="AM51" s="1056" t="s">
        <v>617</v>
      </c>
    </row>
    <row r="52" spans="1:34" ht="12.75">
      <c r="A52" s="1071"/>
      <c r="B52" s="1070"/>
      <c r="C52" s="1065"/>
      <c r="D52" s="1077" t="s">
        <v>463</v>
      </c>
      <c r="E52" s="1076">
        <f>SUM(J50:J51)</f>
        <v>0</v>
      </c>
      <c r="F52" s="1074"/>
      <c r="G52" s="1076"/>
      <c r="H52" s="1076">
        <f>SUM(H50:H51)</f>
        <v>0</v>
      </c>
      <c r="I52" s="1076">
        <f>SUM(I50:I51)</f>
        <v>0</v>
      </c>
      <c r="J52" s="1076">
        <f>SUM(J50:J51)</f>
        <v>0</v>
      </c>
      <c r="K52" s="1075"/>
      <c r="L52" s="1075">
        <f>SUM(L50:L51)</f>
        <v>0.09</v>
      </c>
      <c r="M52" s="1072"/>
      <c r="N52" s="1072">
        <f>SUM(N50:N51)</f>
        <v>0</v>
      </c>
      <c r="O52" s="1074"/>
      <c r="P52" s="1074"/>
      <c r="Q52" s="1072"/>
      <c r="R52" s="1072"/>
      <c r="S52" s="1072"/>
      <c r="T52" s="1073"/>
      <c r="U52" s="1073"/>
      <c r="V52" s="1073"/>
      <c r="W52" s="1072">
        <f>SUM(W50:W51)</f>
        <v>5.94</v>
      </c>
      <c r="X52" s="1064"/>
      <c r="Y52" s="1064"/>
      <c r="Z52" s="1065"/>
      <c r="AA52" s="1065"/>
      <c r="AB52" s="1064"/>
      <c r="AC52" s="1064"/>
      <c r="AD52" s="1064"/>
      <c r="AE52" s="1064"/>
      <c r="AF52" s="1064"/>
      <c r="AG52" s="1064"/>
      <c r="AH52" s="1064"/>
    </row>
    <row r="53" spans="1:34" ht="12.75">
      <c r="A53" s="1071"/>
      <c r="B53" s="1070"/>
      <c r="C53" s="1065"/>
      <c r="D53" s="1049"/>
      <c r="E53" s="1066"/>
      <c r="F53" s="1064"/>
      <c r="G53" s="1069"/>
      <c r="H53" s="1069"/>
      <c r="I53" s="1069"/>
      <c r="J53" s="1069"/>
      <c r="K53" s="1068"/>
      <c r="L53" s="1068"/>
      <c r="M53" s="1066"/>
      <c r="N53" s="1066"/>
      <c r="O53" s="1064"/>
      <c r="P53" s="1064"/>
      <c r="Q53" s="1066"/>
      <c r="R53" s="1066"/>
      <c r="S53" s="1066"/>
      <c r="T53" s="1067"/>
      <c r="U53" s="1067"/>
      <c r="V53" s="1067"/>
      <c r="W53" s="1066"/>
      <c r="X53" s="1064"/>
      <c r="Y53" s="1064"/>
      <c r="Z53" s="1065"/>
      <c r="AA53" s="1065"/>
      <c r="AB53" s="1064"/>
      <c r="AC53" s="1064"/>
      <c r="AD53" s="1064"/>
      <c r="AE53" s="1064"/>
      <c r="AF53" s="1064"/>
      <c r="AG53" s="1064"/>
      <c r="AH53" s="1064"/>
    </row>
    <row r="54" spans="1:34" ht="12.75">
      <c r="A54" s="1071"/>
      <c r="B54" s="1070"/>
      <c r="C54" s="1079" t="s">
        <v>616</v>
      </c>
      <c r="D54" s="1078" t="s">
        <v>616</v>
      </c>
      <c r="E54" s="1066"/>
      <c r="F54" s="1064"/>
      <c r="G54" s="1069"/>
      <c r="H54" s="1069"/>
      <c r="I54" s="1069"/>
      <c r="J54" s="1069"/>
      <c r="K54" s="1068"/>
      <c r="L54" s="1068"/>
      <c r="M54" s="1066"/>
      <c r="N54" s="1066"/>
      <c r="O54" s="1064"/>
      <c r="P54" s="1064"/>
      <c r="Q54" s="1066"/>
      <c r="R54" s="1066"/>
      <c r="S54" s="1066"/>
      <c r="T54" s="1067"/>
      <c r="U54" s="1067"/>
      <c r="V54" s="1067"/>
      <c r="W54" s="1066"/>
      <c r="X54" s="1064"/>
      <c r="Y54" s="1064"/>
      <c r="Z54" s="1065"/>
      <c r="AA54" s="1065"/>
      <c r="AB54" s="1064"/>
      <c r="AC54" s="1064"/>
      <c r="AD54" s="1064"/>
      <c r="AE54" s="1064"/>
      <c r="AF54" s="1064"/>
      <c r="AG54" s="1064"/>
      <c r="AH54" s="1064"/>
    </row>
    <row r="55" spans="1:39" ht="12.75">
      <c r="A55" s="1071" t="s">
        <v>615</v>
      </c>
      <c r="B55" s="1070" t="s">
        <v>594</v>
      </c>
      <c r="C55" s="1065" t="s">
        <v>611</v>
      </c>
      <c r="D55" s="1049" t="s">
        <v>614</v>
      </c>
      <c r="E55" s="1066">
        <v>80</v>
      </c>
      <c r="F55" s="1064" t="s">
        <v>1</v>
      </c>
      <c r="G55" s="1069"/>
      <c r="H55" s="1069">
        <f>ROUND(E55*G55,2)</f>
        <v>0</v>
      </c>
      <c r="I55" s="1069"/>
      <c r="J55" s="1069">
        <f>ROUND(E55*G55,2)</f>
        <v>0</v>
      </c>
      <c r="K55" s="1068"/>
      <c r="L55" s="1068"/>
      <c r="M55" s="1066"/>
      <c r="N55" s="1066"/>
      <c r="O55" s="1064">
        <v>20</v>
      </c>
      <c r="P55" s="1064" t="s">
        <v>613</v>
      </c>
      <c r="Q55" s="1066"/>
      <c r="R55" s="1066"/>
      <c r="S55" s="1066"/>
      <c r="T55" s="1067"/>
      <c r="U55" s="1067"/>
      <c r="V55" s="1067" t="s">
        <v>415</v>
      </c>
      <c r="W55" s="1066">
        <v>3.2</v>
      </c>
      <c r="X55" s="1064" t="s">
        <v>612</v>
      </c>
      <c r="Y55" s="1064" t="s">
        <v>611</v>
      </c>
      <c r="Z55" s="1065" t="s">
        <v>589</v>
      </c>
      <c r="AA55" s="1065"/>
      <c r="AB55" s="1064" t="s">
        <v>491</v>
      </c>
      <c r="AC55" s="1064"/>
      <c r="AD55" s="1064"/>
      <c r="AE55" s="1064"/>
      <c r="AF55" s="1064"/>
      <c r="AG55" s="1064"/>
      <c r="AH55" s="1064"/>
      <c r="AJ55" s="1056" t="s">
        <v>490</v>
      </c>
      <c r="AK55" s="1056" t="s">
        <v>489</v>
      </c>
      <c r="AL55" s="1056" t="s">
        <v>579</v>
      </c>
      <c r="AM55" s="1056" t="s">
        <v>597</v>
      </c>
    </row>
    <row r="56" spans="1:39" ht="12.75">
      <c r="A56" s="1071" t="s">
        <v>610</v>
      </c>
      <c r="B56" s="1070" t="s">
        <v>43</v>
      </c>
      <c r="C56" s="1065" t="s">
        <v>606</v>
      </c>
      <c r="D56" s="1049" t="s">
        <v>609</v>
      </c>
      <c r="E56" s="1066">
        <v>80</v>
      </c>
      <c r="F56" s="1064" t="s">
        <v>1</v>
      </c>
      <c r="G56" s="1069"/>
      <c r="H56" s="1069"/>
      <c r="I56" s="1069">
        <f>ROUND(E56*G56,2)</f>
        <v>0</v>
      </c>
      <c r="J56" s="1069">
        <f>ROUND(E56*G56,2)</f>
        <v>0</v>
      </c>
      <c r="K56" s="1068">
        <v>0.00022</v>
      </c>
      <c r="L56" s="1068">
        <f>E56*K56</f>
        <v>0.0176</v>
      </c>
      <c r="M56" s="1066"/>
      <c r="N56" s="1066"/>
      <c r="O56" s="1064">
        <v>20</v>
      </c>
      <c r="P56" s="1064" t="s">
        <v>608</v>
      </c>
      <c r="Q56" s="1066"/>
      <c r="R56" s="1066"/>
      <c r="S56" s="1066"/>
      <c r="T56" s="1067"/>
      <c r="U56" s="1067"/>
      <c r="V56" s="1067" t="s">
        <v>390</v>
      </c>
      <c r="W56" s="1066"/>
      <c r="X56" s="1064" t="s">
        <v>607</v>
      </c>
      <c r="Y56" s="1064" t="s">
        <v>606</v>
      </c>
      <c r="Z56" s="1065" t="s">
        <v>583</v>
      </c>
      <c r="AA56" s="1065" t="s">
        <v>582</v>
      </c>
      <c r="AB56" s="1064" t="s">
        <v>581</v>
      </c>
      <c r="AC56" s="1064"/>
      <c r="AD56" s="1064"/>
      <c r="AE56" s="1064"/>
      <c r="AF56" s="1064"/>
      <c r="AG56" s="1064"/>
      <c r="AH56" s="1064"/>
      <c r="AJ56" s="1056" t="s">
        <v>580</v>
      </c>
      <c r="AK56" s="1056" t="s">
        <v>489</v>
      </c>
      <c r="AL56" s="1056" t="s">
        <v>579</v>
      </c>
      <c r="AM56" s="1056" t="s">
        <v>597</v>
      </c>
    </row>
    <row r="57" spans="1:39" ht="12.75">
      <c r="A57" s="1071" t="s">
        <v>605</v>
      </c>
      <c r="B57" s="1070" t="s">
        <v>43</v>
      </c>
      <c r="C57" s="1065" t="s">
        <v>601</v>
      </c>
      <c r="D57" s="1049" t="s">
        <v>604</v>
      </c>
      <c r="E57" s="1066">
        <v>9</v>
      </c>
      <c r="F57" s="1064" t="s">
        <v>542</v>
      </c>
      <c r="G57" s="1069"/>
      <c r="H57" s="1069"/>
      <c r="I57" s="1069">
        <f>ROUND(E57*G57,2)</f>
        <v>0</v>
      </c>
      <c r="J57" s="1069">
        <f>ROUND(E57*G57,2)</f>
        <v>0</v>
      </c>
      <c r="K57" s="1068"/>
      <c r="L57" s="1068"/>
      <c r="M57" s="1066"/>
      <c r="N57" s="1066"/>
      <c r="O57" s="1064">
        <v>20</v>
      </c>
      <c r="P57" s="1064" t="s">
        <v>603</v>
      </c>
      <c r="Q57" s="1066"/>
      <c r="R57" s="1066"/>
      <c r="S57" s="1066"/>
      <c r="T57" s="1067"/>
      <c r="U57" s="1067"/>
      <c r="V57" s="1067" t="s">
        <v>390</v>
      </c>
      <c r="W57" s="1066"/>
      <c r="X57" s="1064" t="s">
        <v>602</v>
      </c>
      <c r="Y57" s="1064" t="s">
        <v>601</v>
      </c>
      <c r="Z57" s="1065" t="s">
        <v>600</v>
      </c>
      <c r="AA57" s="1065" t="s">
        <v>599</v>
      </c>
      <c r="AB57" s="1064" t="s">
        <v>598</v>
      </c>
      <c r="AC57" s="1064"/>
      <c r="AD57" s="1064"/>
      <c r="AE57" s="1064"/>
      <c r="AF57" s="1064"/>
      <c r="AG57" s="1064"/>
      <c r="AH57" s="1064"/>
      <c r="AJ57" s="1056" t="s">
        <v>580</v>
      </c>
      <c r="AK57" s="1056" t="s">
        <v>489</v>
      </c>
      <c r="AL57" s="1056" t="s">
        <v>579</v>
      </c>
      <c r="AM57" s="1056" t="s">
        <v>597</v>
      </c>
    </row>
    <row r="58" spans="1:34" ht="12.75">
      <c r="A58" s="1071"/>
      <c r="B58" s="1070"/>
      <c r="C58" s="1065"/>
      <c r="D58" s="1077" t="s">
        <v>462</v>
      </c>
      <c r="E58" s="1076">
        <f>SUM(J55:J57)</f>
        <v>0</v>
      </c>
      <c r="F58" s="1074"/>
      <c r="G58" s="1076"/>
      <c r="H58" s="1076">
        <f>SUM(H55:H57)</f>
        <v>0</v>
      </c>
      <c r="I58" s="1076">
        <f>SUM(I55:I57)</f>
        <v>0</v>
      </c>
      <c r="J58" s="1076">
        <f>SUM(J55:J57)</f>
        <v>0</v>
      </c>
      <c r="K58" s="1075"/>
      <c r="L58" s="1075">
        <f>SUM(L55:L57)</f>
        <v>0.0176</v>
      </c>
      <c r="M58" s="1072"/>
      <c r="N58" s="1072">
        <f>SUM(N55:N57)</f>
        <v>0</v>
      </c>
      <c r="O58" s="1074"/>
      <c r="P58" s="1074"/>
      <c r="Q58" s="1072"/>
      <c r="R58" s="1072"/>
      <c r="S58" s="1072"/>
      <c r="T58" s="1073"/>
      <c r="U58" s="1073"/>
      <c r="V58" s="1073"/>
      <c r="W58" s="1072">
        <f>SUM(W55:W57)</f>
        <v>3.2</v>
      </c>
      <c r="X58" s="1064"/>
      <c r="Y58" s="1064"/>
      <c r="Z58" s="1065"/>
      <c r="AA58" s="1065"/>
      <c r="AB58" s="1064"/>
      <c r="AC58" s="1064"/>
      <c r="AD58" s="1064"/>
      <c r="AE58" s="1064"/>
      <c r="AF58" s="1064"/>
      <c r="AG58" s="1064"/>
      <c r="AH58" s="1064"/>
    </row>
    <row r="59" spans="1:34" ht="12.75">
      <c r="A59" s="1071"/>
      <c r="B59" s="1070"/>
      <c r="C59" s="1065"/>
      <c r="D59" s="1049"/>
      <c r="E59" s="1066"/>
      <c r="F59" s="1064"/>
      <c r="G59" s="1069"/>
      <c r="H59" s="1069"/>
      <c r="I59" s="1069"/>
      <c r="J59" s="1069"/>
      <c r="K59" s="1068"/>
      <c r="L59" s="1068"/>
      <c r="M59" s="1066"/>
      <c r="N59" s="1066"/>
      <c r="O59" s="1064"/>
      <c r="P59" s="1064"/>
      <c r="Q59" s="1066"/>
      <c r="R59" s="1066"/>
      <c r="S59" s="1066"/>
      <c r="T59" s="1067"/>
      <c r="U59" s="1067"/>
      <c r="V59" s="1067"/>
      <c r="W59" s="1066"/>
      <c r="X59" s="1064"/>
      <c r="Y59" s="1064"/>
      <c r="Z59" s="1065"/>
      <c r="AA59" s="1065"/>
      <c r="AB59" s="1064"/>
      <c r="AC59" s="1064"/>
      <c r="AD59" s="1064"/>
      <c r="AE59" s="1064"/>
      <c r="AF59" s="1064"/>
      <c r="AG59" s="1064"/>
      <c r="AH59" s="1064"/>
    </row>
    <row r="60" spans="1:34" ht="12.75">
      <c r="A60" s="1071"/>
      <c r="B60" s="1070"/>
      <c r="C60" s="1079" t="s">
        <v>596</v>
      </c>
      <c r="D60" s="1078" t="s">
        <v>596</v>
      </c>
      <c r="E60" s="1066"/>
      <c r="F60" s="1064"/>
      <c r="G60" s="1069"/>
      <c r="H60" s="1069"/>
      <c r="I60" s="1069"/>
      <c r="J60" s="1069"/>
      <c r="K60" s="1068"/>
      <c r="L60" s="1068"/>
      <c r="M60" s="1066"/>
      <c r="N60" s="1066"/>
      <c r="O60" s="1064"/>
      <c r="P60" s="1064"/>
      <c r="Q60" s="1066"/>
      <c r="R60" s="1066"/>
      <c r="S60" s="1066"/>
      <c r="T60" s="1067"/>
      <c r="U60" s="1067"/>
      <c r="V60" s="1067"/>
      <c r="W60" s="1066"/>
      <c r="X60" s="1064"/>
      <c r="Y60" s="1064"/>
      <c r="Z60" s="1065"/>
      <c r="AA60" s="1065"/>
      <c r="AB60" s="1064"/>
      <c r="AC60" s="1064"/>
      <c r="AD60" s="1064"/>
      <c r="AE60" s="1064"/>
      <c r="AF60" s="1064"/>
      <c r="AG60" s="1064"/>
      <c r="AH60" s="1064"/>
    </row>
    <row r="61" spans="1:39" ht="12.75">
      <c r="A61" s="1071" t="s">
        <v>595</v>
      </c>
      <c r="B61" s="1070" t="s">
        <v>594</v>
      </c>
      <c r="C61" s="1065" t="s">
        <v>590</v>
      </c>
      <c r="D61" s="1049" t="s">
        <v>593</v>
      </c>
      <c r="E61" s="1066">
        <v>90</v>
      </c>
      <c r="F61" s="1064" t="s">
        <v>1</v>
      </c>
      <c r="G61" s="1069"/>
      <c r="H61" s="1069">
        <f>ROUND(E61*G61,2)</f>
        <v>0</v>
      </c>
      <c r="I61" s="1069"/>
      <c r="J61" s="1069">
        <f>ROUND(E61*G61,2)</f>
        <v>0</v>
      </c>
      <c r="K61" s="1068"/>
      <c r="L61" s="1068"/>
      <c r="M61" s="1066"/>
      <c r="N61" s="1066"/>
      <c r="O61" s="1064">
        <v>20</v>
      </c>
      <c r="P61" s="1064" t="s">
        <v>592</v>
      </c>
      <c r="Q61" s="1066"/>
      <c r="R61" s="1066"/>
      <c r="S61" s="1066"/>
      <c r="T61" s="1067"/>
      <c r="U61" s="1067"/>
      <c r="V61" s="1067" t="s">
        <v>415</v>
      </c>
      <c r="W61" s="1066">
        <v>7.38</v>
      </c>
      <c r="X61" s="1064" t="s">
        <v>591</v>
      </c>
      <c r="Y61" s="1064" t="s">
        <v>590</v>
      </c>
      <c r="Z61" s="1065" t="s">
        <v>589</v>
      </c>
      <c r="AA61" s="1065"/>
      <c r="AB61" s="1064" t="s">
        <v>491</v>
      </c>
      <c r="AC61" s="1064"/>
      <c r="AD61" s="1064"/>
      <c r="AE61" s="1064"/>
      <c r="AF61" s="1064"/>
      <c r="AG61" s="1064"/>
      <c r="AH61" s="1064"/>
      <c r="AJ61" s="1056" t="s">
        <v>490</v>
      </c>
      <c r="AK61" s="1056" t="s">
        <v>489</v>
      </c>
      <c r="AL61" s="1056" t="s">
        <v>579</v>
      </c>
      <c r="AM61" s="1056" t="s">
        <v>578</v>
      </c>
    </row>
    <row r="62" spans="1:39" ht="12.75">
      <c r="A62" s="1071" t="s">
        <v>588</v>
      </c>
      <c r="B62" s="1070" t="s">
        <v>43</v>
      </c>
      <c r="C62" s="1065" t="s">
        <v>584</v>
      </c>
      <c r="D62" s="1049" t="s">
        <v>587</v>
      </c>
      <c r="E62" s="1066">
        <v>90</v>
      </c>
      <c r="F62" s="1064" t="s">
        <v>1</v>
      </c>
      <c r="G62" s="1069"/>
      <c r="H62" s="1069"/>
      <c r="I62" s="1069">
        <f>ROUND(E62*G62,2)</f>
        <v>0</v>
      </c>
      <c r="J62" s="1069">
        <f>ROUND(E62*G62,2)</f>
        <v>0</v>
      </c>
      <c r="K62" s="1068"/>
      <c r="L62" s="1068"/>
      <c r="M62" s="1066"/>
      <c r="N62" s="1066"/>
      <c r="O62" s="1064">
        <v>20</v>
      </c>
      <c r="P62" s="1064" t="s">
        <v>586</v>
      </c>
      <c r="Q62" s="1066"/>
      <c r="R62" s="1066"/>
      <c r="S62" s="1066"/>
      <c r="T62" s="1067"/>
      <c r="U62" s="1067"/>
      <c r="V62" s="1067" t="s">
        <v>390</v>
      </c>
      <c r="W62" s="1066"/>
      <c r="X62" s="1064" t="s">
        <v>585</v>
      </c>
      <c r="Y62" s="1064" t="s">
        <v>584</v>
      </c>
      <c r="Z62" s="1065" t="s">
        <v>583</v>
      </c>
      <c r="AA62" s="1065" t="s">
        <v>582</v>
      </c>
      <c r="AB62" s="1064" t="s">
        <v>581</v>
      </c>
      <c r="AC62" s="1064"/>
      <c r="AD62" s="1064"/>
      <c r="AE62" s="1064"/>
      <c r="AF62" s="1064"/>
      <c r="AG62" s="1064"/>
      <c r="AH62" s="1064"/>
      <c r="AJ62" s="1056" t="s">
        <v>580</v>
      </c>
      <c r="AK62" s="1056" t="s">
        <v>489</v>
      </c>
      <c r="AL62" s="1056" t="s">
        <v>579</v>
      </c>
      <c r="AM62" s="1056" t="s">
        <v>578</v>
      </c>
    </row>
    <row r="63" spans="1:34" ht="12.75">
      <c r="A63" s="1071"/>
      <c r="B63" s="1070"/>
      <c r="C63" s="1065"/>
      <c r="D63" s="1077" t="s">
        <v>461</v>
      </c>
      <c r="E63" s="1076">
        <f>SUM(J61:J62)</f>
        <v>0</v>
      </c>
      <c r="F63" s="1074"/>
      <c r="G63" s="1076"/>
      <c r="H63" s="1076">
        <f>SUM(H61:H62)</f>
        <v>0</v>
      </c>
      <c r="I63" s="1076">
        <f>SUM(I61:I62)</f>
        <v>0</v>
      </c>
      <c r="J63" s="1076">
        <f>SUM(J61:J62)</f>
        <v>0</v>
      </c>
      <c r="K63" s="1075"/>
      <c r="L63" s="1075">
        <f>SUM(L61:L62)</f>
        <v>0</v>
      </c>
      <c r="M63" s="1072"/>
      <c r="N63" s="1072">
        <f>SUM(N61:N62)</f>
        <v>0</v>
      </c>
      <c r="O63" s="1074"/>
      <c r="P63" s="1074"/>
      <c r="Q63" s="1072"/>
      <c r="R63" s="1072"/>
      <c r="S63" s="1072"/>
      <c r="T63" s="1073"/>
      <c r="U63" s="1073"/>
      <c r="V63" s="1073"/>
      <c r="W63" s="1072">
        <f>SUM(W61:W62)</f>
        <v>7.38</v>
      </c>
      <c r="X63" s="1064"/>
      <c r="Y63" s="1064"/>
      <c r="Z63" s="1065"/>
      <c r="AA63" s="1065"/>
      <c r="AB63" s="1064"/>
      <c r="AC63" s="1064"/>
      <c r="AD63" s="1064"/>
      <c r="AE63" s="1064"/>
      <c r="AF63" s="1064"/>
      <c r="AG63" s="1064"/>
      <c r="AH63" s="1064"/>
    </row>
    <row r="64" spans="1:34" ht="12.75">
      <c r="A64" s="1071"/>
      <c r="B64" s="1070"/>
      <c r="C64" s="1065"/>
      <c r="D64" s="1049"/>
      <c r="E64" s="1066"/>
      <c r="F64" s="1064"/>
      <c r="G64" s="1069"/>
      <c r="H64" s="1069"/>
      <c r="I64" s="1069"/>
      <c r="J64" s="1069"/>
      <c r="K64" s="1068"/>
      <c r="L64" s="1068"/>
      <c r="M64" s="1066"/>
      <c r="N64" s="1066"/>
      <c r="O64" s="1064"/>
      <c r="P64" s="1064"/>
      <c r="Q64" s="1066"/>
      <c r="R64" s="1066"/>
      <c r="S64" s="1066"/>
      <c r="T64" s="1067"/>
      <c r="U64" s="1067"/>
      <c r="V64" s="1067"/>
      <c r="W64" s="1066"/>
      <c r="X64" s="1064"/>
      <c r="Y64" s="1064"/>
      <c r="Z64" s="1065"/>
      <c r="AA64" s="1065"/>
      <c r="AB64" s="1064"/>
      <c r="AC64" s="1064"/>
      <c r="AD64" s="1064"/>
      <c r="AE64" s="1064"/>
      <c r="AF64" s="1064"/>
      <c r="AG64" s="1064"/>
      <c r="AH64" s="1064"/>
    </row>
    <row r="65" spans="1:34" ht="12.75">
      <c r="A65" s="1071"/>
      <c r="B65" s="1070"/>
      <c r="C65" s="1065"/>
      <c r="D65" s="1077" t="s">
        <v>460</v>
      </c>
      <c r="E65" s="1076">
        <f>SUMIF(AL10:AL64,"M21/",J10:J64)</f>
        <v>0</v>
      </c>
      <c r="F65" s="1074"/>
      <c r="G65" s="1076"/>
      <c r="H65" s="1076">
        <f>SUMIF(AL10:AL64,"M21/",H10:H64)</f>
        <v>0</v>
      </c>
      <c r="I65" s="1076">
        <f>SUMIF(AL10:AL64,"M21/",I10:I64)</f>
        <v>0</v>
      </c>
      <c r="J65" s="1076">
        <f>SUMIF(AL10:AL64,"M21/",J10:J64)</f>
        <v>0</v>
      </c>
      <c r="K65" s="1075"/>
      <c r="L65" s="1075">
        <f>SUMIF(AL10:AL64,"M21/",L10:L64)</f>
        <v>0.7555999999999998</v>
      </c>
      <c r="M65" s="1072"/>
      <c r="N65" s="1072">
        <f>SUMIF(AL10:AL64,"M21/",N10:N64)</f>
        <v>0</v>
      </c>
      <c r="O65" s="1074"/>
      <c r="P65" s="1074"/>
      <c r="Q65" s="1072"/>
      <c r="R65" s="1072"/>
      <c r="S65" s="1072"/>
      <c r="T65" s="1073"/>
      <c r="U65" s="1073"/>
      <c r="V65" s="1073"/>
      <c r="W65" s="1072">
        <f>SUMIF(AL10:AL64,"M21/",W10:W64)</f>
        <v>60.063</v>
      </c>
      <c r="X65" s="1064"/>
      <c r="Y65" s="1064"/>
      <c r="Z65" s="1065"/>
      <c r="AA65" s="1065"/>
      <c r="AB65" s="1064"/>
      <c r="AC65" s="1064"/>
      <c r="AD65" s="1064"/>
      <c r="AE65" s="1064"/>
      <c r="AF65" s="1064"/>
      <c r="AG65" s="1064"/>
      <c r="AH65" s="1064"/>
    </row>
    <row r="66" spans="1:34" ht="12.75">
      <c r="A66" s="1071"/>
      <c r="B66" s="1070"/>
      <c r="C66" s="1065"/>
      <c r="D66" s="1049"/>
      <c r="E66" s="1066"/>
      <c r="F66" s="1064"/>
      <c r="G66" s="1069"/>
      <c r="H66" s="1069"/>
      <c r="I66" s="1069"/>
      <c r="J66" s="1069"/>
      <c r="K66" s="1068"/>
      <c r="L66" s="1068"/>
      <c r="M66" s="1066"/>
      <c r="N66" s="1066"/>
      <c r="O66" s="1064"/>
      <c r="P66" s="1064"/>
      <c r="Q66" s="1066"/>
      <c r="R66" s="1066"/>
      <c r="S66" s="1066"/>
      <c r="T66" s="1067"/>
      <c r="U66" s="1067"/>
      <c r="V66" s="1067"/>
      <c r="W66" s="1066"/>
      <c r="X66" s="1064"/>
      <c r="Y66" s="1064"/>
      <c r="Z66" s="1065"/>
      <c r="AA66" s="1065"/>
      <c r="AB66" s="1064"/>
      <c r="AC66" s="1064"/>
      <c r="AD66" s="1064"/>
      <c r="AE66" s="1064"/>
      <c r="AF66" s="1064"/>
      <c r="AG66" s="1064"/>
      <c r="AH66" s="1064"/>
    </row>
    <row r="67" spans="1:34" ht="12.75">
      <c r="A67" s="1071"/>
      <c r="B67" s="1070"/>
      <c r="C67" s="1079" t="s">
        <v>577</v>
      </c>
      <c r="D67" s="1078" t="s">
        <v>576</v>
      </c>
      <c r="E67" s="1066"/>
      <c r="F67" s="1064"/>
      <c r="G67" s="1069"/>
      <c r="H67" s="1069"/>
      <c r="I67" s="1069"/>
      <c r="J67" s="1069"/>
      <c r="K67" s="1068"/>
      <c r="L67" s="1068"/>
      <c r="M67" s="1066"/>
      <c r="N67" s="1066"/>
      <c r="O67" s="1064"/>
      <c r="P67" s="1064"/>
      <c r="Q67" s="1066"/>
      <c r="R67" s="1066"/>
      <c r="S67" s="1066"/>
      <c r="T67" s="1067"/>
      <c r="U67" s="1067"/>
      <c r="V67" s="1067"/>
      <c r="W67" s="1066"/>
      <c r="X67" s="1064"/>
      <c r="Y67" s="1064"/>
      <c r="Z67" s="1065"/>
      <c r="AA67" s="1065"/>
      <c r="AB67" s="1064"/>
      <c r="AC67" s="1064"/>
      <c r="AD67" s="1064"/>
      <c r="AE67" s="1064"/>
      <c r="AF67" s="1064"/>
      <c r="AG67" s="1064"/>
      <c r="AH67" s="1064"/>
    </row>
    <row r="68" spans="1:34" ht="12.75">
      <c r="A68" s="1071"/>
      <c r="B68" s="1070"/>
      <c r="C68" s="1079" t="s">
        <v>575</v>
      </c>
      <c r="D68" s="1078" t="s">
        <v>574</v>
      </c>
      <c r="E68" s="1066"/>
      <c r="F68" s="1064"/>
      <c r="G68" s="1069"/>
      <c r="H68" s="1069"/>
      <c r="I68" s="1069"/>
      <c r="J68" s="1069"/>
      <c r="K68" s="1068"/>
      <c r="L68" s="1068"/>
      <c r="M68" s="1066"/>
      <c r="N68" s="1066"/>
      <c r="O68" s="1064"/>
      <c r="P68" s="1064"/>
      <c r="Q68" s="1066"/>
      <c r="R68" s="1066"/>
      <c r="S68" s="1066"/>
      <c r="T68" s="1067"/>
      <c r="U68" s="1067"/>
      <c r="V68" s="1067"/>
      <c r="W68" s="1066"/>
      <c r="X68" s="1064"/>
      <c r="Y68" s="1064"/>
      <c r="Z68" s="1065"/>
      <c r="AA68" s="1065"/>
      <c r="AB68" s="1064"/>
      <c r="AC68" s="1064"/>
      <c r="AD68" s="1064"/>
      <c r="AE68" s="1064"/>
      <c r="AF68" s="1064"/>
      <c r="AG68" s="1064"/>
      <c r="AH68" s="1064"/>
    </row>
    <row r="69" spans="1:39" ht="12.75">
      <c r="A69" s="1071" t="s">
        <v>573</v>
      </c>
      <c r="B69" s="1070" t="s">
        <v>498</v>
      </c>
      <c r="C69" s="1065" t="s">
        <v>569</v>
      </c>
      <c r="D69" s="1049" t="s">
        <v>572</v>
      </c>
      <c r="E69" s="1066">
        <v>0.082</v>
      </c>
      <c r="F69" s="1064" t="s">
        <v>83</v>
      </c>
      <c r="G69" s="1069"/>
      <c r="H69" s="1069">
        <f>ROUND(E69*G69,2)</f>
        <v>0</v>
      </c>
      <c r="I69" s="1069"/>
      <c r="J69" s="1069">
        <f>ROUND(E69*G69,2)</f>
        <v>0</v>
      </c>
      <c r="K69" s="1068"/>
      <c r="L69" s="1068"/>
      <c r="M69" s="1066"/>
      <c r="N69" s="1066"/>
      <c r="O69" s="1064">
        <v>20</v>
      </c>
      <c r="P69" s="1064" t="s">
        <v>571</v>
      </c>
      <c r="Q69" s="1066"/>
      <c r="R69" s="1066"/>
      <c r="S69" s="1066"/>
      <c r="T69" s="1067"/>
      <c r="U69" s="1067"/>
      <c r="V69" s="1067" t="s">
        <v>415</v>
      </c>
      <c r="W69" s="1066">
        <v>0.422628</v>
      </c>
      <c r="X69" s="1064" t="s">
        <v>570</v>
      </c>
      <c r="Y69" s="1064" t="s">
        <v>569</v>
      </c>
      <c r="Z69" s="1065" t="s">
        <v>492</v>
      </c>
      <c r="AA69" s="1065"/>
      <c r="AB69" s="1064" t="s">
        <v>491</v>
      </c>
      <c r="AC69" s="1064"/>
      <c r="AD69" s="1064"/>
      <c r="AE69" s="1064"/>
      <c r="AF69" s="1064"/>
      <c r="AG69" s="1064"/>
      <c r="AH69" s="1064"/>
      <c r="AJ69" s="1056" t="s">
        <v>490</v>
      </c>
      <c r="AK69" s="1056" t="s">
        <v>489</v>
      </c>
      <c r="AL69" s="1056" t="s">
        <v>488</v>
      </c>
      <c r="AM69" s="1056" t="s">
        <v>568</v>
      </c>
    </row>
    <row r="70" spans="1:34" ht="12.75">
      <c r="A70" s="1071"/>
      <c r="B70" s="1070"/>
      <c r="C70" s="1065"/>
      <c r="D70" s="1077" t="s">
        <v>459</v>
      </c>
      <c r="E70" s="1076">
        <f>SUM(J69:J69)</f>
        <v>0</v>
      </c>
      <c r="F70" s="1074"/>
      <c r="G70" s="1076"/>
      <c r="H70" s="1076">
        <f>SUM(H69:H69)</f>
        <v>0</v>
      </c>
      <c r="I70" s="1076">
        <f>SUM(I69:I69)</f>
        <v>0</v>
      </c>
      <c r="J70" s="1076">
        <f>SUM(J69:J69)</f>
        <v>0</v>
      </c>
      <c r="K70" s="1075"/>
      <c r="L70" s="1075">
        <f>SUM(L69:L69)</f>
        <v>0</v>
      </c>
      <c r="M70" s="1072"/>
      <c r="N70" s="1072">
        <f>SUM(N69:N69)</f>
        <v>0</v>
      </c>
      <c r="O70" s="1074"/>
      <c r="P70" s="1074"/>
      <c r="Q70" s="1072"/>
      <c r="R70" s="1072"/>
      <c r="S70" s="1072"/>
      <c r="T70" s="1073"/>
      <c r="U70" s="1073"/>
      <c r="V70" s="1073"/>
      <c r="W70" s="1072">
        <f>SUM(W69:W69)</f>
        <v>0.422628</v>
      </c>
      <c r="X70" s="1064"/>
      <c r="Y70" s="1064"/>
      <c r="Z70" s="1065"/>
      <c r="AA70" s="1065"/>
      <c r="AB70" s="1064"/>
      <c r="AC70" s="1064"/>
      <c r="AD70" s="1064"/>
      <c r="AE70" s="1064"/>
      <c r="AF70" s="1064"/>
      <c r="AG70" s="1064"/>
      <c r="AH70" s="1064"/>
    </row>
    <row r="71" spans="1:34" ht="12.75">
      <c r="A71" s="1071"/>
      <c r="B71" s="1070"/>
      <c r="C71" s="1065"/>
      <c r="D71" s="1049"/>
      <c r="E71" s="1066"/>
      <c r="F71" s="1064"/>
      <c r="G71" s="1069"/>
      <c r="H71" s="1069"/>
      <c r="I71" s="1069"/>
      <c r="J71" s="1069"/>
      <c r="K71" s="1068"/>
      <c r="L71" s="1068"/>
      <c r="M71" s="1066"/>
      <c r="N71" s="1066"/>
      <c r="O71" s="1064"/>
      <c r="P71" s="1064"/>
      <c r="Q71" s="1066"/>
      <c r="R71" s="1066"/>
      <c r="S71" s="1066"/>
      <c r="T71" s="1067"/>
      <c r="U71" s="1067"/>
      <c r="V71" s="1067"/>
      <c r="W71" s="1066"/>
      <c r="X71" s="1064"/>
      <c r="Y71" s="1064"/>
      <c r="Z71" s="1065"/>
      <c r="AA71" s="1065"/>
      <c r="AB71" s="1064"/>
      <c r="AC71" s="1064"/>
      <c r="AD71" s="1064"/>
      <c r="AE71" s="1064"/>
      <c r="AF71" s="1064"/>
      <c r="AG71" s="1064"/>
      <c r="AH71" s="1064"/>
    </row>
    <row r="72" spans="1:34" ht="12.75">
      <c r="A72" s="1071"/>
      <c r="B72" s="1070"/>
      <c r="C72" s="1079" t="s">
        <v>567</v>
      </c>
      <c r="D72" s="1078" t="s">
        <v>566</v>
      </c>
      <c r="E72" s="1066"/>
      <c r="F72" s="1064"/>
      <c r="G72" s="1069"/>
      <c r="H72" s="1069"/>
      <c r="I72" s="1069"/>
      <c r="J72" s="1069"/>
      <c r="K72" s="1068"/>
      <c r="L72" s="1068"/>
      <c r="M72" s="1066"/>
      <c r="N72" s="1066"/>
      <c r="O72" s="1064"/>
      <c r="P72" s="1064"/>
      <c r="Q72" s="1066"/>
      <c r="R72" s="1066"/>
      <c r="S72" s="1066"/>
      <c r="T72" s="1067"/>
      <c r="U72" s="1067"/>
      <c r="V72" s="1067"/>
      <c r="W72" s="1066"/>
      <c r="X72" s="1064"/>
      <c r="Y72" s="1064"/>
      <c r="Z72" s="1065"/>
      <c r="AA72" s="1065"/>
      <c r="AB72" s="1064"/>
      <c r="AC72" s="1064"/>
      <c r="AD72" s="1064"/>
      <c r="AE72" s="1064"/>
      <c r="AF72" s="1064"/>
      <c r="AG72" s="1064"/>
      <c r="AH72" s="1064"/>
    </row>
    <row r="73" spans="1:39" ht="12.75">
      <c r="A73" s="1071" t="s">
        <v>565</v>
      </c>
      <c r="B73" s="1070" t="s">
        <v>498</v>
      </c>
      <c r="C73" s="1065" t="s">
        <v>561</v>
      </c>
      <c r="D73" s="1049" t="s">
        <v>564</v>
      </c>
      <c r="E73" s="1066">
        <v>6</v>
      </c>
      <c r="F73" s="1064" t="s">
        <v>507</v>
      </c>
      <c r="G73" s="1069"/>
      <c r="H73" s="1069">
        <f>ROUND(E73*G73,2)</f>
        <v>0</v>
      </c>
      <c r="I73" s="1069"/>
      <c r="J73" s="1069">
        <f>ROUND(E73*G73,2)</f>
        <v>0</v>
      </c>
      <c r="K73" s="1068"/>
      <c r="L73" s="1068"/>
      <c r="M73" s="1066"/>
      <c r="N73" s="1066"/>
      <c r="O73" s="1064">
        <v>20</v>
      </c>
      <c r="P73" s="1064" t="s">
        <v>563</v>
      </c>
      <c r="Q73" s="1066"/>
      <c r="R73" s="1066"/>
      <c r="S73" s="1066"/>
      <c r="T73" s="1067"/>
      <c r="U73" s="1067"/>
      <c r="V73" s="1067" t="s">
        <v>415</v>
      </c>
      <c r="W73" s="1066">
        <v>5.712</v>
      </c>
      <c r="X73" s="1064" t="s">
        <v>562</v>
      </c>
      <c r="Y73" s="1064" t="s">
        <v>561</v>
      </c>
      <c r="Z73" s="1065" t="s">
        <v>492</v>
      </c>
      <c r="AA73" s="1065"/>
      <c r="AB73" s="1064" t="s">
        <v>491</v>
      </c>
      <c r="AC73" s="1064"/>
      <c r="AD73" s="1064"/>
      <c r="AE73" s="1064"/>
      <c r="AF73" s="1064"/>
      <c r="AG73" s="1064"/>
      <c r="AH73" s="1064"/>
      <c r="AJ73" s="1056" t="s">
        <v>490</v>
      </c>
      <c r="AK73" s="1056" t="s">
        <v>489</v>
      </c>
      <c r="AL73" s="1056" t="s">
        <v>488</v>
      </c>
      <c r="AM73" s="1056" t="s">
        <v>560</v>
      </c>
    </row>
    <row r="74" spans="1:34" ht="12.75">
      <c r="A74" s="1071"/>
      <c r="B74" s="1070"/>
      <c r="C74" s="1065"/>
      <c r="D74" s="1077" t="s">
        <v>458</v>
      </c>
      <c r="E74" s="1076">
        <f>SUM(J73:J73)</f>
        <v>0</v>
      </c>
      <c r="F74" s="1074"/>
      <c r="G74" s="1076"/>
      <c r="H74" s="1076">
        <f>SUM(H73:H73)</f>
        <v>0</v>
      </c>
      <c r="I74" s="1076">
        <f>SUM(I73:I73)</f>
        <v>0</v>
      </c>
      <c r="J74" s="1076">
        <f>SUM(J73:J73)</f>
        <v>0</v>
      </c>
      <c r="K74" s="1075"/>
      <c r="L74" s="1075">
        <f>SUM(L73:L73)</f>
        <v>0</v>
      </c>
      <c r="M74" s="1072"/>
      <c r="N74" s="1072">
        <f>SUM(N73:N73)</f>
        <v>0</v>
      </c>
      <c r="O74" s="1074"/>
      <c r="P74" s="1074"/>
      <c r="Q74" s="1072"/>
      <c r="R74" s="1072"/>
      <c r="S74" s="1072"/>
      <c r="T74" s="1073"/>
      <c r="U74" s="1073"/>
      <c r="V74" s="1073"/>
      <c r="W74" s="1072">
        <f>SUM(W73:W73)</f>
        <v>5.712</v>
      </c>
      <c r="X74" s="1064"/>
      <c r="Y74" s="1064"/>
      <c r="Z74" s="1065"/>
      <c r="AA74" s="1065"/>
      <c r="AB74" s="1064"/>
      <c r="AC74" s="1064"/>
      <c r="AD74" s="1064"/>
      <c r="AE74" s="1064"/>
      <c r="AF74" s="1064"/>
      <c r="AG74" s="1064"/>
      <c r="AH74" s="1064"/>
    </row>
    <row r="75" spans="1:34" ht="12.75">
      <c r="A75" s="1071"/>
      <c r="B75" s="1070"/>
      <c r="C75" s="1065"/>
      <c r="D75" s="1049"/>
      <c r="E75" s="1066"/>
      <c r="F75" s="1064"/>
      <c r="G75" s="1069"/>
      <c r="H75" s="1069"/>
      <c r="I75" s="1069"/>
      <c r="J75" s="1069"/>
      <c r="K75" s="1068"/>
      <c r="L75" s="1068"/>
      <c r="M75" s="1066"/>
      <c r="N75" s="1066"/>
      <c r="O75" s="1064"/>
      <c r="P75" s="1064"/>
      <c r="Q75" s="1066"/>
      <c r="R75" s="1066"/>
      <c r="S75" s="1066"/>
      <c r="T75" s="1067"/>
      <c r="U75" s="1067"/>
      <c r="V75" s="1067"/>
      <c r="W75" s="1066"/>
      <c r="X75" s="1064"/>
      <c r="Y75" s="1064"/>
      <c r="Z75" s="1065"/>
      <c r="AA75" s="1065"/>
      <c r="AB75" s="1064"/>
      <c r="AC75" s="1064"/>
      <c r="AD75" s="1064"/>
      <c r="AE75" s="1064"/>
      <c r="AF75" s="1064"/>
      <c r="AG75" s="1064"/>
      <c r="AH75" s="1064"/>
    </row>
    <row r="76" spans="1:34" ht="12.75">
      <c r="A76" s="1071"/>
      <c r="B76" s="1070"/>
      <c r="C76" s="1079" t="s">
        <v>559</v>
      </c>
      <c r="D76" s="1078" t="s">
        <v>558</v>
      </c>
      <c r="E76" s="1066"/>
      <c r="F76" s="1064"/>
      <c r="G76" s="1069"/>
      <c r="H76" s="1069"/>
      <c r="I76" s="1069"/>
      <c r="J76" s="1069"/>
      <c r="K76" s="1068"/>
      <c r="L76" s="1068"/>
      <c r="M76" s="1066"/>
      <c r="N76" s="1066"/>
      <c r="O76" s="1064"/>
      <c r="P76" s="1064"/>
      <c r="Q76" s="1066"/>
      <c r="R76" s="1066"/>
      <c r="S76" s="1066"/>
      <c r="T76" s="1067"/>
      <c r="U76" s="1067"/>
      <c r="V76" s="1067"/>
      <c r="W76" s="1066"/>
      <c r="X76" s="1064"/>
      <c r="Y76" s="1064"/>
      <c r="Z76" s="1065"/>
      <c r="AA76" s="1065"/>
      <c r="AB76" s="1064"/>
      <c r="AC76" s="1064"/>
      <c r="AD76" s="1064"/>
      <c r="AE76" s="1064"/>
      <c r="AF76" s="1064"/>
      <c r="AG76" s="1064"/>
      <c r="AH76" s="1064"/>
    </row>
    <row r="77" spans="1:39" ht="12.75">
      <c r="A77" s="1071" t="s">
        <v>557</v>
      </c>
      <c r="B77" s="1070" t="s">
        <v>498</v>
      </c>
      <c r="C77" s="1065" t="s">
        <v>553</v>
      </c>
      <c r="D77" s="1049" t="s">
        <v>556</v>
      </c>
      <c r="E77" s="1066">
        <v>4</v>
      </c>
      <c r="F77" s="1064" t="s">
        <v>542</v>
      </c>
      <c r="G77" s="1069"/>
      <c r="H77" s="1069">
        <f>ROUND(E77*G77,2)</f>
        <v>0</v>
      </c>
      <c r="I77" s="1069"/>
      <c r="J77" s="1069">
        <f>ROUND(E77*G77,2)</f>
        <v>0</v>
      </c>
      <c r="K77" s="1068"/>
      <c r="L77" s="1068"/>
      <c r="M77" s="1066"/>
      <c r="N77" s="1066"/>
      <c r="O77" s="1064">
        <v>20</v>
      </c>
      <c r="P77" s="1064" t="s">
        <v>555</v>
      </c>
      <c r="Q77" s="1066"/>
      <c r="R77" s="1066"/>
      <c r="S77" s="1066"/>
      <c r="T77" s="1067"/>
      <c r="U77" s="1067"/>
      <c r="V77" s="1067" t="s">
        <v>415</v>
      </c>
      <c r="W77" s="1066">
        <v>9.568</v>
      </c>
      <c r="X77" s="1064" t="s">
        <v>554</v>
      </c>
      <c r="Y77" s="1064" t="s">
        <v>553</v>
      </c>
      <c r="Z77" s="1065" t="s">
        <v>492</v>
      </c>
      <c r="AA77" s="1065"/>
      <c r="AB77" s="1064" t="s">
        <v>491</v>
      </c>
      <c r="AC77" s="1064"/>
      <c r="AD77" s="1064"/>
      <c r="AE77" s="1064"/>
      <c r="AF77" s="1064"/>
      <c r="AG77" s="1064"/>
      <c r="AH77" s="1064"/>
      <c r="AJ77" s="1056" t="s">
        <v>490</v>
      </c>
      <c r="AK77" s="1056" t="s">
        <v>489</v>
      </c>
      <c r="AL77" s="1056" t="s">
        <v>488</v>
      </c>
      <c r="AM77" s="1056" t="s">
        <v>552</v>
      </c>
    </row>
    <row r="78" spans="1:34" ht="12.75">
      <c r="A78" s="1071"/>
      <c r="B78" s="1070"/>
      <c r="C78" s="1065"/>
      <c r="D78" s="1077" t="s">
        <v>457</v>
      </c>
      <c r="E78" s="1076">
        <f>SUM(J77:J77)</f>
        <v>0</v>
      </c>
      <c r="F78" s="1074"/>
      <c r="G78" s="1076"/>
      <c r="H78" s="1076">
        <f>SUM(H77:H77)</f>
        <v>0</v>
      </c>
      <c r="I78" s="1076">
        <f>SUM(I77:I77)</f>
        <v>0</v>
      </c>
      <c r="J78" s="1076">
        <f>SUM(J77:J77)</f>
        <v>0</v>
      </c>
      <c r="K78" s="1075"/>
      <c r="L78" s="1075">
        <f>SUM(L77:L77)</f>
        <v>0</v>
      </c>
      <c r="M78" s="1072"/>
      <c r="N78" s="1072">
        <f>SUM(N77:N77)</f>
        <v>0</v>
      </c>
      <c r="O78" s="1074"/>
      <c r="P78" s="1074"/>
      <c r="Q78" s="1072"/>
      <c r="R78" s="1072"/>
      <c r="S78" s="1072"/>
      <c r="T78" s="1073"/>
      <c r="U78" s="1073"/>
      <c r="V78" s="1073"/>
      <c r="W78" s="1072">
        <f>SUM(W77:W77)</f>
        <v>9.568</v>
      </c>
      <c r="X78" s="1064"/>
      <c r="Y78" s="1064"/>
      <c r="Z78" s="1065"/>
      <c r="AA78" s="1065"/>
      <c r="AB78" s="1064"/>
      <c r="AC78" s="1064"/>
      <c r="AD78" s="1064"/>
      <c r="AE78" s="1064"/>
      <c r="AF78" s="1064"/>
      <c r="AG78" s="1064"/>
      <c r="AH78" s="1064"/>
    </row>
    <row r="79" spans="1:34" ht="12.75">
      <c r="A79" s="1071"/>
      <c r="B79" s="1070"/>
      <c r="C79" s="1065"/>
      <c r="D79" s="1049"/>
      <c r="E79" s="1066"/>
      <c r="F79" s="1064"/>
      <c r="G79" s="1069"/>
      <c r="H79" s="1069"/>
      <c r="I79" s="1069"/>
      <c r="J79" s="1069"/>
      <c r="K79" s="1068"/>
      <c r="L79" s="1068"/>
      <c r="M79" s="1066"/>
      <c r="N79" s="1066"/>
      <c r="O79" s="1064"/>
      <c r="P79" s="1064"/>
      <c r="Q79" s="1066"/>
      <c r="R79" s="1066"/>
      <c r="S79" s="1066"/>
      <c r="T79" s="1067"/>
      <c r="U79" s="1067"/>
      <c r="V79" s="1067"/>
      <c r="W79" s="1066"/>
      <c r="X79" s="1064"/>
      <c r="Y79" s="1064"/>
      <c r="Z79" s="1065"/>
      <c r="AA79" s="1065"/>
      <c r="AB79" s="1064"/>
      <c r="AC79" s="1064"/>
      <c r="AD79" s="1064"/>
      <c r="AE79" s="1064"/>
      <c r="AF79" s="1064"/>
      <c r="AG79" s="1064"/>
      <c r="AH79" s="1064"/>
    </row>
    <row r="80" spans="1:34" ht="12.75">
      <c r="A80" s="1071"/>
      <c r="B80" s="1070"/>
      <c r="C80" s="1079" t="s">
        <v>551</v>
      </c>
      <c r="D80" s="1078" t="s">
        <v>550</v>
      </c>
      <c r="E80" s="1066"/>
      <c r="F80" s="1064"/>
      <c r="G80" s="1069"/>
      <c r="H80" s="1069"/>
      <c r="I80" s="1069"/>
      <c r="J80" s="1069"/>
      <c r="K80" s="1068"/>
      <c r="L80" s="1068"/>
      <c r="M80" s="1066"/>
      <c r="N80" s="1066"/>
      <c r="O80" s="1064"/>
      <c r="P80" s="1064"/>
      <c r="Q80" s="1066"/>
      <c r="R80" s="1066"/>
      <c r="S80" s="1066"/>
      <c r="T80" s="1067"/>
      <c r="U80" s="1067"/>
      <c r="V80" s="1067"/>
      <c r="W80" s="1066"/>
      <c r="X80" s="1064"/>
      <c r="Y80" s="1064"/>
      <c r="Z80" s="1065"/>
      <c r="AA80" s="1065"/>
      <c r="AB80" s="1064"/>
      <c r="AC80" s="1064"/>
      <c r="AD80" s="1064"/>
      <c r="AE80" s="1064"/>
      <c r="AF80" s="1064"/>
      <c r="AG80" s="1064"/>
      <c r="AH80" s="1064"/>
    </row>
    <row r="81" spans="1:39" ht="12.75">
      <c r="A81" s="1071" t="s">
        <v>549</v>
      </c>
      <c r="B81" s="1070" t="s">
        <v>498</v>
      </c>
      <c r="C81" s="1065" t="s">
        <v>545</v>
      </c>
      <c r="D81" s="1049" t="s">
        <v>548</v>
      </c>
      <c r="E81" s="1066">
        <v>2</v>
      </c>
      <c r="F81" s="1064" t="s">
        <v>542</v>
      </c>
      <c r="G81" s="1069"/>
      <c r="H81" s="1069">
        <f>ROUND(E81*G81,2)</f>
        <v>0</v>
      </c>
      <c r="I81" s="1069"/>
      <c r="J81" s="1069">
        <f>ROUND(E81*G81,2)</f>
        <v>0</v>
      </c>
      <c r="K81" s="1068"/>
      <c r="L81" s="1068"/>
      <c r="M81" s="1066"/>
      <c r="N81" s="1066"/>
      <c r="O81" s="1064">
        <v>20</v>
      </c>
      <c r="P81" s="1064" t="s">
        <v>547</v>
      </c>
      <c r="Q81" s="1066"/>
      <c r="R81" s="1066"/>
      <c r="S81" s="1066"/>
      <c r="T81" s="1067"/>
      <c r="U81" s="1067"/>
      <c r="V81" s="1067" t="s">
        <v>415</v>
      </c>
      <c r="W81" s="1066">
        <v>5.948</v>
      </c>
      <c r="X81" s="1064" t="s">
        <v>546</v>
      </c>
      <c r="Y81" s="1064" t="s">
        <v>545</v>
      </c>
      <c r="Z81" s="1065" t="s">
        <v>538</v>
      </c>
      <c r="AA81" s="1065"/>
      <c r="AB81" s="1064" t="s">
        <v>491</v>
      </c>
      <c r="AC81" s="1064"/>
      <c r="AD81" s="1064"/>
      <c r="AE81" s="1064"/>
      <c r="AF81" s="1064"/>
      <c r="AG81" s="1064"/>
      <c r="AH81" s="1064"/>
      <c r="AJ81" s="1056" t="s">
        <v>490</v>
      </c>
      <c r="AK81" s="1056" t="s">
        <v>489</v>
      </c>
      <c r="AL81" s="1056" t="s">
        <v>488</v>
      </c>
      <c r="AM81" s="1056" t="s">
        <v>537</v>
      </c>
    </row>
    <row r="82" spans="1:39" ht="12.75">
      <c r="A82" s="1071" t="s">
        <v>544</v>
      </c>
      <c r="B82" s="1070" t="s">
        <v>498</v>
      </c>
      <c r="C82" s="1065" t="s">
        <v>539</v>
      </c>
      <c r="D82" s="1049" t="s">
        <v>543</v>
      </c>
      <c r="E82" s="1066">
        <v>2</v>
      </c>
      <c r="F82" s="1064" t="s">
        <v>542</v>
      </c>
      <c r="G82" s="1069"/>
      <c r="H82" s="1069">
        <f>ROUND(E82*G82,2)</f>
        <v>0</v>
      </c>
      <c r="I82" s="1069"/>
      <c r="J82" s="1069">
        <f>ROUND(E82*G82,2)</f>
        <v>0</v>
      </c>
      <c r="K82" s="1068"/>
      <c r="L82" s="1068"/>
      <c r="M82" s="1066"/>
      <c r="N82" s="1066"/>
      <c r="O82" s="1064">
        <v>20</v>
      </c>
      <c r="P82" s="1064" t="s">
        <v>541</v>
      </c>
      <c r="Q82" s="1066"/>
      <c r="R82" s="1066"/>
      <c r="S82" s="1066"/>
      <c r="T82" s="1067"/>
      <c r="U82" s="1067"/>
      <c r="V82" s="1067" t="s">
        <v>415</v>
      </c>
      <c r="W82" s="1066">
        <v>6.574</v>
      </c>
      <c r="X82" s="1064" t="s">
        <v>540</v>
      </c>
      <c r="Y82" s="1064" t="s">
        <v>539</v>
      </c>
      <c r="Z82" s="1065" t="s">
        <v>538</v>
      </c>
      <c r="AA82" s="1065"/>
      <c r="AB82" s="1064" t="s">
        <v>491</v>
      </c>
      <c r="AC82" s="1064"/>
      <c r="AD82" s="1064"/>
      <c r="AE82" s="1064"/>
      <c r="AF82" s="1064"/>
      <c r="AG82" s="1064"/>
      <c r="AH82" s="1064"/>
      <c r="AJ82" s="1056" t="s">
        <v>490</v>
      </c>
      <c r="AK82" s="1056" t="s">
        <v>489</v>
      </c>
      <c r="AL82" s="1056" t="s">
        <v>488</v>
      </c>
      <c r="AM82" s="1056" t="s">
        <v>537</v>
      </c>
    </row>
    <row r="83" spans="1:34" ht="12.75">
      <c r="A83" s="1071"/>
      <c r="B83" s="1070"/>
      <c r="C83" s="1065"/>
      <c r="D83" s="1077" t="s">
        <v>456</v>
      </c>
      <c r="E83" s="1076">
        <f>SUM(J81:J82)</f>
        <v>0</v>
      </c>
      <c r="F83" s="1074"/>
      <c r="G83" s="1076"/>
      <c r="H83" s="1076">
        <f>SUM(H81:H82)</f>
        <v>0</v>
      </c>
      <c r="I83" s="1076">
        <f>SUM(I81:I82)</f>
        <v>0</v>
      </c>
      <c r="J83" s="1076">
        <f>SUM(J81:J82)</f>
        <v>0</v>
      </c>
      <c r="K83" s="1075"/>
      <c r="L83" s="1075">
        <f>SUM(L81:L82)</f>
        <v>0</v>
      </c>
      <c r="M83" s="1072"/>
      <c r="N83" s="1072">
        <f>SUM(N81:N82)</f>
        <v>0</v>
      </c>
      <c r="O83" s="1074"/>
      <c r="P83" s="1074"/>
      <c r="Q83" s="1072"/>
      <c r="R83" s="1072"/>
      <c r="S83" s="1072"/>
      <c r="T83" s="1073"/>
      <c r="U83" s="1073"/>
      <c r="V83" s="1073"/>
      <c r="W83" s="1072">
        <f>SUM(W81:W82)</f>
        <v>12.522</v>
      </c>
      <c r="X83" s="1064"/>
      <c r="Y83" s="1064"/>
      <c r="Z83" s="1065"/>
      <c r="AA83" s="1065"/>
      <c r="AB83" s="1064"/>
      <c r="AC83" s="1064"/>
      <c r="AD83" s="1064"/>
      <c r="AE83" s="1064"/>
      <c r="AF83" s="1064"/>
      <c r="AG83" s="1064"/>
      <c r="AH83" s="1064"/>
    </row>
    <row r="84" spans="1:34" ht="12.75">
      <c r="A84" s="1071"/>
      <c r="B84" s="1070"/>
      <c r="C84" s="1065"/>
      <c r="D84" s="1049"/>
      <c r="E84" s="1066"/>
      <c r="F84" s="1064"/>
      <c r="G84" s="1069"/>
      <c r="H84" s="1069"/>
      <c r="I84" s="1069"/>
      <c r="J84" s="1069"/>
      <c r="K84" s="1068"/>
      <c r="L84" s="1068"/>
      <c r="M84" s="1066"/>
      <c r="N84" s="1066"/>
      <c r="O84" s="1064"/>
      <c r="P84" s="1064"/>
      <c r="Q84" s="1066"/>
      <c r="R84" s="1066"/>
      <c r="S84" s="1066"/>
      <c r="T84" s="1067"/>
      <c r="U84" s="1067"/>
      <c r="V84" s="1067"/>
      <c r="W84" s="1066"/>
      <c r="X84" s="1064"/>
      <c r="Y84" s="1064"/>
      <c r="Z84" s="1065"/>
      <c r="AA84" s="1065"/>
      <c r="AB84" s="1064"/>
      <c r="AC84" s="1064"/>
      <c r="AD84" s="1064"/>
      <c r="AE84" s="1064"/>
      <c r="AF84" s="1064"/>
      <c r="AG84" s="1064"/>
      <c r="AH84" s="1064"/>
    </row>
    <row r="85" spans="1:34" ht="12.75">
      <c r="A85" s="1071"/>
      <c r="B85" s="1070"/>
      <c r="C85" s="1079" t="s">
        <v>536</v>
      </c>
      <c r="D85" s="1078" t="s">
        <v>535</v>
      </c>
      <c r="E85" s="1066"/>
      <c r="F85" s="1064"/>
      <c r="G85" s="1069"/>
      <c r="H85" s="1069"/>
      <c r="I85" s="1069"/>
      <c r="J85" s="1069"/>
      <c r="K85" s="1068"/>
      <c r="L85" s="1068"/>
      <c r="M85" s="1066"/>
      <c r="N85" s="1066"/>
      <c r="O85" s="1064"/>
      <c r="P85" s="1064"/>
      <c r="Q85" s="1066"/>
      <c r="R85" s="1066"/>
      <c r="S85" s="1066"/>
      <c r="T85" s="1067"/>
      <c r="U85" s="1067"/>
      <c r="V85" s="1067"/>
      <c r="W85" s="1066"/>
      <c r="X85" s="1064"/>
      <c r="Y85" s="1064"/>
      <c r="Z85" s="1065"/>
      <c r="AA85" s="1065"/>
      <c r="AB85" s="1064"/>
      <c r="AC85" s="1064"/>
      <c r="AD85" s="1064"/>
      <c r="AE85" s="1064"/>
      <c r="AF85" s="1064"/>
      <c r="AG85" s="1064"/>
      <c r="AH85" s="1064"/>
    </row>
    <row r="86" spans="1:39" ht="12.75">
      <c r="A86" s="1071" t="s">
        <v>534</v>
      </c>
      <c r="B86" s="1070" t="s">
        <v>498</v>
      </c>
      <c r="C86" s="1065" t="s">
        <v>530</v>
      </c>
      <c r="D86" s="1049" t="s">
        <v>533</v>
      </c>
      <c r="E86" s="1066">
        <v>71</v>
      </c>
      <c r="F86" s="1064" t="s">
        <v>1</v>
      </c>
      <c r="G86" s="1069"/>
      <c r="H86" s="1069">
        <f>ROUND(E86*G86,2)</f>
        <v>0</v>
      </c>
      <c r="I86" s="1069"/>
      <c r="J86" s="1069">
        <f>ROUND(E86*G86,2)</f>
        <v>0</v>
      </c>
      <c r="K86" s="1068"/>
      <c r="L86" s="1068"/>
      <c r="M86" s="1066"/>
      <c r="N86" s="1066"/>
      <c r="O86" s="1064">
        <v>20</v>
      </c>
      <c r="P86" s="1064" t="s">
        <v>532</v>
      </c>
      <c r="Q86" s="1066"/>
      <c r="R86" s="1066"/>
      <c r="S86" s="1066"/>
      <c r="T86" s="1067"/>
      <c r="U86" s="1067"/>
      <c r="V86" s="1067" t="s">
        <v>415</v>
      </c>
      <c r="W86" s="1066">
        <v>24.779</v>
      </c>
      <c r="X86" s="1064" t="s">
        <v>531</v>
      </c>
      <c r="Y86" s="1064" t="s">
        <v>530</v>
      </c>
      <c r="Z86" s="1065" t="s">
        <v>492</v>
      </c>
      <c r="AA86" s="1065"/>
      <c r="AB86" s="1064" t="s">
        <v>491</v>
      </c>
      <c r="AC86" s="1064"/>
      <c r="AD86" s="1064"/>
      <c r="AE86" s="1064"/>
      <c r="AF86" s="1064"/>
      <c r="AG86" s="1064"/>
      <c r="AH86" s="1064"/>
      <c r="AJ86" s="1056" t="s">
        <v>490</v>
      </c>
      <c r="AK86" s="1056" t="s">
        <v>489</v>
      </c>
      <c r="AL86" s="1056" t="s">
        <v>488</v>
      </c>
      <c r="AM86" s="1056" t="s">
        <v>529</v>
      </c>
    </row>
    <row r="87" spans="1:34" ht="12.75">
      <c r="A87" s="1071"/>
      <c r="B87" s="1070"/>
      <c r="C87" s="1065"/>
      <c r="D87" s="1077" t="s">
        <v>455</v>
      </c>
      <c r="E87" s="1076">
        <f>SUM(J86:J86)</f>
        <v>0</v>
      </c>
      <c r="F87" s="1074"/>
      <c r="G87" s="1076"/>
      <c r="H87" s="1076">
        <f>SUM(H86:H86)</f>
        <v>0</v>
      </c>
      <c r="I87" s="1076">
        <f>SUM(I86:I86)</f>
        <v>0</v>
      </c>
      <c r="J87" s="1076">
        <f>SUM(J86:J86)</f>
        <v>0</v>
      </c>
      <c r="K87" s="1075"/>
      <c r="L87" s="1075">
        <f>SUM(L86:L86)</f>
        <v>0</v>
      </c>
      <c r="M87" s="1072"/>
      <c r="N87" s="1072">
        <f>SUM(N86:N86)</f>
        <v>0</v>
      </c>
      <c r="O87" s="1074"/>
      <c r="P87" s="1074"/>
      <c r="Q87" s="1072"/>
      <c r="R87" s="1072"/>
      <c r="S87" s="1072"/>
      <c r="T87" s="1073"/>
      <c r="U87" s="1073"/>
      <c r="V87" s="1073"/>
      <c r="W87" s="1072">
        <f>SUM(W86:W86)</f>
        <v>24.779</v>
      </c>
      <c r="X87" s="1064"/>
      <c r="Y87" s="1064"/>
      <c r="Z87" s="1065"/>
      <c r="AA87" s="1065"/>
      <c r="AB87" s="1064"/>
      <c r="AC87" s="1064"/>
      <c r="AD87" s="1064"/>
      <c r="AE87" s="1064"/>
      <c r="AF87" s="1064"/>
      <c r="AG87" s="1064"/>
      <c r="AH87" s="1064"/>
    </row>
    <row r="88" spans="1:34" ht="12.75">
      <c r="A88" s="1071"/>
      <c r="B88" s="1070"/>
      <c r="C88" s="1065"/>
      <c r="D88" s="1049"/>
      <c r="E88" s="1066"/>
      <c r="F88" s="1064"/>
      <c r="G88" s="1069"/>
      <c r="H88" s="1069"/>
      <c r="I88" s="1069"/>
      <c r="J88" s="1069"/>
      <c r="K88" s="1068"/>
      <c r="L88" s="1068"/>
      <c r="M88" s="1066"/>
      <c r="N88" s="1066"/>
      <c r="O88" s="1064"/>
      <c r="P88" s="1064"/>
      <c r="Q88" s="1066"/>
      <c r="R88" s="1066"/>
      <c r="S88" s="1066"/>
      <c r="T88" s="1067"/>
      <c r="U88" s="1067"/>
      <c r="V88" s="1067"/>
      <c r="W88" s="1066"/>
      <c r="X88" s="1064"/>
      <c r="Y88" s="1064"/>
      <c r="Z88" s="1065"/>
      <c r="AA88" s="1065"/>
      <c r="AB88" s="1064"/>
      <c r="AC88" s="1064"/>
      <c r="AD88" s="1064"/>
      <c r="AE88" s="1064"/>
      <c r="AF88" s="1064"/>
      <c r="AG88" s="1064"/>
      <c r="AH88" s="1064"/>
    </row>
    <row r="89" spans="1:34" ht="12.75">
      <c r="A89" s="1071"/>
      <c r="B89" s="1070"/>
      <c r="C89" s="1079" t="s">
        <v>528</v>
      </c>
      <c r="D89" s="1078" t="s">
        <v>527</v>
      </c>
      <c r="E89" s="1066"/>
      <c r="F89" s="1064"/>
      <c r="G89" s="1069"/>
      <c r="H89" s="1069"/>
      <c r="I89" s="1069"/>
      <c r="J89" s="1069"/>
      <c r="K89" s="1068"/>
      <c r="L89" s="1068"/>
      <c r="M89" s="1066"/>
      <c r="N89" s="1066"/>
      <c r="O89" s="1064"/>
      <c r="P89" s="1064"/>
      <c r="Q89" s="1066"/>
      <c r="R89" s="1066"/>
      <c r="S89" s="1066"/>
      <c r="T89" s="1067"/>
      <c r="U89" s="1067"/>
      <c r="V89" s="1067"/>
      <c r="W89" s="1066"/>
      <c r="X89" s="1064"/>
      <c r="Y89" s="1064"/>
      <c r="Z89" s="1065"/>
      <c r="AA89" s="1065"/>
      <c r="AB89" s="1064"/>
      <c r="AC89" s="1064"/>
      <c r="AD89" s="1064"/>
      <c r="AE89" s="1064"/>
      <c r="AF89" s="1064"/>
      <c r="AG89" s="1064"/>
      <c r="AH89" s="1064"/>
    </row>
    <row r="90" spans="1:39" ht="12.75">
      <c r="A90" s="1071" t="s">
        <v>526</v>
      </c>
      <c r="B90" s="1070" t="s">
        <v>498</v>
      </c>
      <c r="C90" s="1065" t="s">
        <v>522</v>
      </c>
      <c r="D90" s="1049" t="s">
        <v>525</v>
      </c>
      <c r="E90" s="1066">
        <v>71</v>
      </c>
      <c r="F90" s="1064" t="s">
        <v>1</v>
      </c>
      <c r="G90" s="1069"/>
      <c r="H90" s="1069">
        <f>ROUND(E90*G90,2)</f>
        <v>0</v>
      </c>
      <c r="I90" s="1069"/>
      <c r="J90" s="1069">
        <f>ROUND(E90*G90,2)</f>
        <v>0</v>
      </c>
      <c r="K90" s="1068"/>
      <c r="L90" s="1068"/>
      <c r="M90" s="1066"/>
      <c r="N90" s="1066"/>
      <c r="O90" s="1064">
        <v>20</v>
      </c>
      <c r="P90" s="1064" t="s">
        <v>524</v>
      </c>
      <c r="Q90" s="1066"/>
      <c r="R90" s="1066"/>
      <c r="S90" s="1066"/>
      <c r="T90" s="1067"/>
      <c r="U90" s="1067"/>
      <c r="V90" s="1067" t="s">
        <v>415</v>
      </c>
      <c r="W90" s="1066">
        <v>1.846</v>
      </c>
      <c r="X90" s="1064" t="s">
        <v>523</v>
      </c>
      <c r="Y90" s="1064" t="s">
        <v>522</v>
      </c>
      <c r="Z90" s="1065" t="s">
        <v>521</v>
      </c>
      <c r="AA90" s="1065"/>
      <c r="AB90" s="1064" t="s">
        <v>491</v>
      </c>
      <c r="AC90" s="1064"/>
      <c r="AD90" s="1064"/>
      <c r="AE90" s="1064"/>
      <c r="AF90" s="1064"/>
      <c r="AG90" s="1064"/>
      <c r="AH90" s="1064"/>
      <c r="AJ90" s="1056" t="s">
        <v>490</v>
      </c>
      <c r="AK90" s="1056" t="s">
        <v>489</v>
      </c>
      <c r="AL90" s="1056" t="s">
        <v>488</v>
      </c>
      <c r="AM90" s="1056" t="s">
        <v>520</v>
      </c>
    </row>
    <row r="91" spans="1:34" ht="12.75">
      <c r="A91" s="1071"/>
      <c r="B91" s="1070"/>
      <c r="C91" s="1065"/>
      <c r="D91" s="1077" t="s">
        <v>454</v>
      </c>
      <c r="E91" s="1076">
        <f>SUM(J90:J90)</f>
        <v>0</v>
      </c>
      <c r="F91" s="1074"/>
      <c r="G91" s="1076"/>
      <c r="H91" s="1076">
        <f>SUM(H90:H90)</f>
        <v>0</v>
      </c>
      <c r="I91" s="1076">
        <f>SUM(I90:I90)</f>
        <v>0</v>
      </c>
      <c r="J91" s="1076">
        <f>SUM(J90:J90)</f>
        <v>0</v>
      </c>
      <c r="K91" s="1075"/>
      <c r="L91" s="1075">
        <f>SUM(L90:L90)</f>
        <v>0</v>
      </c>
      <c r="M91" s="1072"/>
      <c r="N91" s="1072">
        <f>SUM(N90:N90)</f>
        <v>0</v>
      </c>
      <c r="O91" s="1074"/>
      <c r="P91" s="1074"/>
      <c r="Q91" s="1072"/>
      <c r="R91" s="1072"/>
      <c r="S91" s="1072"/>
      <c r="T91" s="1073"/>
      <c r="U91" s="1073"/>
      <c r="V91" s="1073"/>
      <c r="W91" s="1072">
        <f>SUM(W90:W90)</f>
        <v>1.846</v>
      </c>
      <c r="X91" s="1064"/>
      <c r="Y91" s="1064"/>
      <c r="Z91" s="1065"/>
      <c r="AA91" s="1065"/>
      <c r="AB91" s="1064"/>
      <c r="AC91" s="1064"/>
      <c r="AD91" s="1064"/>
      <c r="AE91" s="1064"/>
      <c r="AF91" s="1064"/>
      <c r="AG91" s="1064"/>
      <c r="AH91" s="1064"/>
    </row>
    <row r="92" spans="1:34" ht="12.75">
      <c r="A92" s="1071"/>
      <c r="B92" s="1070"/>
      <c r="C92" s="1065"/>
      <c r="D92" s="1049"/>
      <c r="E92" s="1066"/>
      <c r="F92" s="1064"/>
      <c r="G92" s="1069"/>
      <c r="H92" s="1069"/>
      <c r="I92" s="1069"/>
      <c r="J92" s="1069"/>
      <c r="K92" s="1068"/>
      <c r="L92" s="1068"/>
      <c r="M92" s="1066"/>
      <c r="N92" s="1066"/>
      <c r="O92" s="1064"/>
      <c r="P92" s="1064"/>
      <c r="Q92" s="1066"/>
      <c r="R92" s="1066"/>
      <c r="S92" s="1066"/>
      <c r="T92" s="1067"/>
      <c r="U92" s="1067"/>
      <c r="V92" s="1067"/>
      <c r="W92" s="1066"/>
      <c r="X92" s="1064"/>
      <c r="Y92" s="1064"/>
      <c r="Z92" s="1065"/>
      <c r="AA92" s="1065"/>
      <c r="AB92" s="1064"/>
      <c r="AC92" s="1064"/>
      <c r="AD92" s="1064"/>
      <c r="AE92" s="1064"/>
      <c r="AF92" s="1064"/>
      <c r="AG92" s="1064"/>
      <c r="AH92" s="1064"/>
    </row>
    <row r="93" spans="1:34" ht="12.75">
      <c r="A93" s="1071"/>
      <c r="B93" s="1070"/>
      <c r="C93" s="1079" t="s">
        <v>519</v>
      </c>
      <c r="D93" s="1078" t="s">
        <v>518</v>
      </c>
      <c r="E93" s="1066"/>
      <c r="F93" s="1064"/>
      <c r="G93" s="1069"/>
      <c r="H93" s="1069"/>
      <c r="I93" s="1069"/>
      <c r="J93" s="1069"/>
      <c r="K93" s="1068"/>
      <c r="L93" s="1068"/>
      <c r="M93" s="1066"/>
      <c r="N93" s="1066"/>
      <c r="O93" s="1064"/>
      <c r="P93" s="1064"/>
      <c r="Q93" s="1066"/>
      <c r="R93" s="1066"/>
      <c r="S93" s="1066"/>
      <c r="T93" s="1067"/>
      <c r="U93" s="1067"/>
      <c r="V93" s="1067"/>
      <c r="W93" s="1066"/>
      <c r="X93" s="1064"/>
      <c r="Y93" s="1064"/>
      <c r="Z93" s="1065"/>
      <c r="AA93" s="1065"/>
      <c r="AB93" s="1064"/>
      <c r="AC93" s="1064"/>
      <c r="AD93" s="1064"/>
      <c r="AE93" s="1064"/>
      <c r="AF93" s="1064"/>
      <c r="AG93" s="1064"/>
      <c r="AH93" s="1064"/>
    </row>
    <row r="94" spans="1:39" ht="12.75">
      <c r="A94" s="1071" t="s">
        <v>517</v>
      </c>
      <c r="B94" s="1070" t="s">
        <v>498</v>
      </c>
      <c r="C94" s="1065" t="s">
        <v>513</v>
      </c>
      <c r="D94" s="1049" t="s">
        <v>516</v>
      </c>
      <c r="E94" s="1066">
        <v>71</v>
      </c>
      <c r="F94" s="1064" t="s">
        <v>1</v>
      </c>
      <c r="G94" s="1069"/>
      <c r="H94" s="1069">
        <f>ROUND(E94*G94,2)</f>
        <v>0</v>
      </c>
      <c r="I94" s="1069"/>
      <c r="J94" s="1069">
        <f>ROUND(E94*G94,2)</f>
        <v>0</v>
      </c>
      <c r="K94" s="1068"/>
      <c r="L94" s="1068"/>
      <c r="M94" s="1066"/>
      <c r="N94" s="1066"/>
      <c r="O94" s="1064">
        <v>20</v>
      </c>
      <c r="P94" s="1064" t="s">
        <v>515</v>
      </c>
      <c r="Q94" s="1066"/>
      <c r="R94" s="1066"/>
      <c r="S94" s="1066"/>
      <c r="T94" s="1067"/>
      <c r="U94" s="1067"/>
      <c r="V94" s="1067" t="s">
        <v>415</v>
      </c>
      <c r="W94" s="1066">
        <v>9.372</v>
      </c>
      <c r="X94" s="1064" t="s">
        <v>514</v>
      </c>
      <c r="Y94" s="1064" t="s">
        <v>513</v>
      </c>
      <c r="Z94" s="1065" t="s">
        <v>492</v>
      </c>
      <c r="AA94" s="1065"/>
      <c r="AB94" s="1064" t="s">
        <v>491</v>
      </c>
      <c r="AC94" s="1064"/>
      <c r="AD94" s="1064"/>
      <c r="AE94" s="1064"/>
      <c r="AF94" s="1064"/>
      <c r="AG94" s="1064"/>
      <c r="AH94" s="1064"/>
      <c r="AJ94" s="1056" t="s">
        <v>490</v>
      </c>
      <c r="AK94" s="1056" t="s">
        <v>489</v>
      </c>
      <c r="AL94" s="1056" t="s">
        <v>488</v>
      </c>
      <c r="AM94" s="1056" t="s">
        <v>512</v>
      </c>
    </row>
    <row r="95" spans="1:34" ht="12.75">
      <c r="A95" s="1071"/>
      <c r="B95" s="1070"/>
      <c r="C95" s="1065"/>
      <c r="D95" s="1077" t="s">
        <v>453</v>
      </c>
      <c r="E95" s="1076">
        <f>SUM(J94:J94)</f>
        <v>0</v>
      </c>
      <c r="F95" s="1074"/>
      <c r="G95" s="1076"/>
      <c r="H95" s="1076">
        <f>SUM(H94:H94)</f>
        <v>0</v>
      </c>
      <c r="I95" s="1076">
        <f>SUM(I94:I94)</f>
        <v>0</v>
      </c>
      <c r="J95" s="1076">
        <f>SUM(J94:J94)</f>
        <v>0</v>
      </c>
      <c r="K95" s="1075"/>
      <c r="L95" s="1075">
        <f>SUM(L94:L94)</f>
        <v>0</v>
      </c>
      <c r="M95" s="1072"/>
      <c r="N95" s="1072">
        <f>SUM(N94:N94)</f>
        <v>0</v>
      </c>
      <c r="O95" s="1074"/>
      <c r="P95" s="1074"/>
      <c r="Q95" s="1072"/>
      <c r="R95" s="1072"/>
      <c r="S95" s="1072"/>
      <c r="T95" s="1073"/>
      <c r="U95" s="1073"/>
      <c r="V95" s="1073"/>
      <c r="W95" s="1072">
        <f>SUM(W94:W94)</f>
        <v>9.372</v>
      </c>
      <c r="X95" s="1064"/>
      <c r="Y95" s="1064"/>
      <c r="Z95" s="1065"/>
      <c r="AA95" s="1065"/>
      <c r="AB95" s="1064"/>
      <c r="AC95" s="1064"/>
      <c r="AD95" s="1064"/>
      <c r="AE95" s="1064"/>
      <c r="AF95" s="1064"/>
      <c r="AG95" s="1064"/>
      <c r="AH95" s="1064"/>
    </row>
    <row r="96" spans="1:34" ht="12.75">
      <c r="A96" s="1071"/>
      <c r="B96" s="1070"/>
      <c r="C96" s="1065"/>
      <c r="D96" s="1049"/>
      <c r="E96" s="1066"/>
      <c r="F96" s="1064"/>
      <c r="G96" s="1069"/>
      <c r="H96" s="1069"/>
      <c r="I96" s="1069"/>
      <c r="J96" s="1069"/>
      <c r="K96" s="1068"/>
      <c r="L96" s="1068"/>
      <c r="M96" s="1066"/>
      <c r="N96" s="1066"/>
      <c r="O96" s="1064"/>
      <c r="P96" s="1064"/>
      <c r="Q96" s="1066"/>
      <c r="R96" s="1066"/>
      <c r="S96" s="1066"/>
      <c r="T96" s="1067"/>
      <c r="U96" s="1067"/>
      <c r="V96" s="1067"/>
      <c r="W96" s="1066"/>
      <c r="X96" s="1064"/>
      <c r="Y96" s="1064"/>
      <c r="Z96" s="1065"/>
      <c r="AA96" s="1065"/>
      <c r="AB96" s="1064"/>
      <c r="AC96" s="1064"/>
      <c r="AD96" s="1064"/>
      <c r="AE96" s="1064"/>
      <c r="AF96" s="1064"/>
      <c r="AG96" s="1064"/>
      <c r="AH96" s="1064"/>
    </row>
    <row r="97" spans="1:34" ht="12.75">
      <c r="A97" s="1071"/>
      <c r="B97" s="1070"/>
      <c r="C97" s="1079" t="s">
        <v>511</v>
      </c>
      <c r="D97" s="1078" t="s">
        <v>510</v>
      </c>
      <c r="E97" s="1066"/>
      <c r="F97" s="1064"/>
      <c r="G97" s="1069"/>
      <c r="H97" s="1069"/>
      <c r="I97" s="1069"/>
      <c r="J97" s="1069"/>
      <c r="K97" s="1068"/>
      <c r="L97" s="1068"/>
      <c r="M97" s="1066"/>
      <c r="N97" s="1066"/>
      <c r="O97" s="1064"/>
      <c r="P97" s="1064"/>
      <c r="Q97" s="1066"/>
      <c r="R97" s="1066"/>
      <c r="S97" s="1066"/>
      <c r="T97" s="1067"/>
      <c r="U97" s="1067"/>
      <c r="V97" s="1067"/>
      <c r="W97" s="1066"/>
      <c r="X97" s="1064"/>
      <c r="Y97" s="1064"/>
      <c r="Z97" s="1065"/>
      <c r="AA97" s="1065"/>
      <c r="AB97" s="1064"/>
      <c r="AC97" s="1064"/>
      <c r="AD97" s="1064"/>
      <c r="AE97" s="1064"/>
      <c r="AF97" s="1064"/>
      <c r="AG97" s="1064"/>
      <c r="AH97" s="1064"/>
    </row>
    <row r="98" spans="1:39" ht="12.75">
      <c r="A98" s="1071" t="s">
        <v>509</v>
      </c>
      <c r="B98" s="1070" t="s">
        <v>498</v>
      </c>
      <c r="C98" s="1065" t="s">
        <v>504</v>
      </c>
      <c r="D98" s="1049" t="s">
        <v>508</v>
      </c>
      <c r="E98" s="1066">
        <v>6</v>
      </c>
      <c r="F98" s="1064" t="s">
        <v>507</v>
      </c>
      <c r="G98" s="1069"/>
      <c r="H98" s="1069">
        <f>ROUND(E98*G98,2)</f>
        <v>0</v>
      </c>
      <c r="I98" s="1069"/>
      <c r="J98" s="1069">
        <f>ROUND(E98*G98,2)</f>
        <v>0</v>
      </c>
      <c r="K98" s="1068"/>
      <c r="L98" s="1068"/>
      <c r="M98" s="1066"/>
      <c r="N98" s="1066"/>
      <c r="O98" s="1064">
        <v>20</v>
      </c>
      <c r="P98" s="1064" t="s">
        <v>506</v>
      </c>
      <c r="Q98" s="1066"/>
      <c r="R98" s="1066"/>
      <c r="S98" s="1066"/>
      <c r="T98" s="1067"/>
      <c r="U98" s="1067"/>
      <c r="V98" s="1067" t="s">
        <v>415</v>
      </c>
      <c r="W98" s="1066">
        <v>2.436</v>
      </c>
      <c r="X98" s="1064" t="s">
        <v>505</v>
      </c>
      <c r="Y98" s="1064" t="s">
        <v>504</v>
      </c>
      <c r="Z98" s="1065" t="s">
        <v>503</v>
      </c>
      <c r="AA98" s="1065"/>
      <c r="AB98" s="1064" t="s">
        <v>491</v>
      </c>
      <c r="AC98" s="1064"/>
      <c r="AD98" s="1064"/>
      <c r="AE98" s="1064"/>
      <c r="AF98" s="1064"/>
      <c r="AG98" s="1064"/>
      <c r="AH98" s="1064"/>
      <c r="AJ98" s="1056" t="s">
        <v>490</v>
      </c>
      <c r="AK98" s="1056" t="s">
        <v>489</v>
      </c>
      <c r="AL98" s="1056" t="s">
        <v>488</v>
      </c>
      <c r="AM98" s="1056" t="s">
        <v>502</v>
      </c>
    </row>
    <row r="99" spans="1:34" ht="12.75">
      <c r="A99" s="1071"/>
      <c r="B99" s="1070"/>
      <c r="C99" s="1065"/>
      <c r="D99" s="1077" t="s">
        <v>452</v>
      </c>
      <c r="E99" s="1076">
        <f>SUM(J98:J98)</f>
        <v>0</v>
      </c>
      <c r="F99" s="1074"/>
      <c r="G99" s="1076"/>
      <c r="H99" s="1076">
        <f>SUM(H98:H98)</f>
        <v>0</v>
      </c>
      <c r="I99" s="1076">
        <f>SUM(I98:I98)</f>
        <v>0</v>
      </c>
      <c r="J99" s="1076">
        <f>SUM(J98:J98)</f>
        <v>0</v>
      </c>
      <c r="K99" s="1075"/>
      <c r="L99" s="1075">
        <f>SUM(L98:L98)</f>
        <v>0</v>
      </c>
      <c r="M99" s="1072"/>
      <c r="N99" s="1072">
        <f>SUM(N98:N98)</f>
        <v>0</v>
      </c>
      <c r="O99" s="1074"/>
      <c r="P99" s="1074"/>
      <c r="Q99" s="1072"/>
      <c r="R99" s="1072"/>
      <c r="S99" s="1072"/>
      <c r="T99" s="1073"/>
      <c r="U99" s="1073"/>
      <c r="V99" s="1073"/>
      <c r="W99" s="1072">
        <f>SUM(W98:W98)</f>
        <v>2.436</v>
      </c>
      <c r="X99" s="1064"/>
      <c r="Y99" s="1064"/>
      <c r="Z99" s="1065"/>
      <c r="AA99" s="1065"/>
      <c r="AB99" s="1064"/>
      <c r="AC99" s="1064"/>
      <c r="AD99" s="1064"/>
      <c r="AE99" s="1064"/>
      <c r="AF99" s="1064"/>
      <c r="AG99" s="1064"/>
      <c r="AH99" s="1064"/>
    </row>
    <row r="100" spans="1:34" ht="12.75">
      <c r="A100" s="1071"/>
      <c r="B100" s="1070"/>
      <c r="C100" s="1065"/>
      <c r="D100" s="1049"/>
      <c r="E100" s="1066"/>
      <c r="F100" s="1064"/>
      <c r="G100" s="1069"/>
      <c r="H100" s="1069"/>
      <c r="I100" s="1069"/>
      <c r="J100" s="1069"/>
      <c r="K100" s="1068"/>
      <c r="L100" s="1068"/>
      <c r="M100" s="1066"/>
      <c r="N100" s="1066"/>
      <c r="O100" s="1064"/>
      <c r="P100" s="1064"/>
      <c r="Q100" s="1066"/>
      <c r="R100" s="1066"/>
      <c r="S100" s="1066"/>
      <c r="T100" s="1067"/>
      <c r="U100" s="1067"/>
      <c r="V100" s="1067"/>
      <c r="W100" s="1066"/>
      <c r="X100" s="1064"/>
      <c r="Y100" s="1064"/>
      <c r="Z100" s="1065"/>
      <c r="AA100" s="1065"/>
      <c r="AB100" s="1064"/>
      <c r="AC100" s="1064"/>
      <c r="AD100" s="1064"/>
      <c r="AE100" s="1064"/>
      <c r="AF100" s="1064"/>
      <c r="AG100" s="1064"/>
      <c r="AH100" s="1064"/>
    </row>
    <row r="101" spans="1:34" ht="12.75">
      <c r="A101" s="1071"/>
      <c r="B101" s="1070"/>
      <c r="C101" s="1079" t="s">
        <v>501</v>
      </c>
      <c r="D101" s="1078" t="s">
        <v>500</v>
      </c>
      <c r="E101" s="1066"/>
      <c r="F101" s="1064"/>
      <c r="G101" s="1069"/>
      <c r="H101" s="1069"/>
      <c r="I101" s="1069"/>
      <c r="J101" s="1069"/>
      <c r="K101" s="1068"/>
      <c r="L101" s="1068"/>
      <c r="M101" s="1066"/>
      <c r="N101" s="1066"/>
      <c r="O101" s="1064"/>
      <c r="P101" s="1064"/>
      <c r="Q101" s="1066"/>
      <c r="R101" s="1066"/>
      <c r="S101" s="1066"/>
      <c r="T101" s="1067"/>
      <c r="U101" s="1067"/>
      <c r="V101" s="1067"/>
      <c r="W101" s="1066"/>
      <c r="X101" s="1064"/>
      <c r="Y101" s="1064"/>
      <c r="Z101" s="1065"/>
      <c r="AA101" s="1065"/>
      <c r="AB101" s="1064"/>
      <c r="AC101" s="1064"/>
      <c r="AD101" s="1064"/>
      <c r="AE101" s="1064"/>
      <c r="AF101" s="1064"/>
      <c r="AG101" s="1064"/>
      <c r="AH101" s="1064"/>
    </row>
    <row r="102" spans="1:39" ht="12.75">
      <c r="A102" s="1071" t="s">
        <v>499</v>
      </c>
      <c r="B102" s="1070" t="s">
        <v>498</v>
      </c>
      <c r="C102" s="1065" t="s">
        <v>493</v>
      </c>
      <c r="D102" s="1049" t="s">
        <v>497</v>
      </c>
      <c r="E102" s="1066">
        <v>25</v>
      </c>
      <c r="F102" s="1064" t="s">
        <v>496</v>
      </c>
      <c r="G102" s="1069"/>
      <c r="H102" s="1069">
        <f>ROUND(E102*G102,2)</f>
        <v>0</v>
      </c>
      <c r="I102" s="1069"/>
      <c r="J102" s="1069">
        <f>ROUND(E102*G102,2)</f>
        <v>0</v>
      </c>
      <c r="K102" s="1068"/>
      <c r="L102" s="1068"/>
      <c r="M102" s="1066"/>
      <c r="N102" s="1066"/>
      <c r="O102" s="1064">
        <v>20</v>
      </c>
      <c r="P102" s="1064" t="s">
        <v>495</v>
      </c>
      <c r="Q102" s="1066"/>
      <c r="R102" s="1066"/>
      <c r="S102" s="1066"/>
      <c r="T102" s="1067"/>
      <c r="U102" s="1067"/>
      <c r="V102" s="1067" t="s">
        <v>415</v>
      </c>
      <c r="W102" s="1066">
        <v>2.9</v>
      </c>
      <c r="X102" s="1064" t="s">
        <v>494</v>
      </c>
      <c r="Y102" s="1064" t="s">
        <v>493</v>
      </c>
      <c r="Z102" s="1065" t="s">
        <v>492</v>
      </c>
      <c r="AA102" s="1065"/>
      <c r="AB102" s="1064" t="s">
        <v>491</v>
      </c>
      <c r="AC102" s="1064"/>
      <c r="AD102" s="1064"/>
      <c r="AE102" s="1064"/>
      <c r="AF102" s="1064"/>
      <c r="AG102" s="1064"/>
      <c r="AH102" s="1064"/>
      <c r="AJ102" s="1056" t="s">
        <v>490</v>
      </c>
      <c r="AK102" s="1056" t="s">
        <v>489</v>
      </c>
      <c r="AL102" s="1056" t="s">
        <v>488</v>
      </c>
      <c r="AM102" s="1056" t="s">
        <v>487</v>
      </c>
    </row>
    <row r="103" spans="1:34" ht="12.75">
      <c r="A103" s="1071"/>
      <c r="B103" s="1070"/>
      <c r="C103" s="1065"/>
      <c r="D103" s="1077" t="s">
        <v>451</v>
      </c>
      <c r="E103" s="1076">
        <f>SUM(J102:J102)</f>
        <v>0</v>
      </c>
      <c r="F103" s="1074"/>
      <c r="G103" s="1076"/>
      <c r="H103" s="1076">
        <f>SUM(H102:H102)</f>
        <v>0</v>
      </c>
      <c r="I103" s="1076">
        <f>SUM(I102:I102)</f>
        <v>0</v>
      </c>
      <c r="J103" s="1076">
        <f>SUM(J102:J102)</f>
        <v>0</v>
      </c>
      <c r="K103" s="1075"/>
      <c r="L103" s="1075">
        <f>SUM(L102:L102)</f>
        <v>0</v>
      </c>
      <c r="M103" s="1072"/>
      <c r="N103" s="1072">
        <f>SUM(N102:N102)</f>
        <v>0</v>
      </c>
      <c r="O103" s="1074"/>
      <c r="P103" s="1074"/>
      <c r="Q103" s="1072"/>
      <c r="R103" s="1072"/>
      <c r="S103" s="1072"/>
      <c r="T103" s="1073"/>
      <c r="U103" s="1073"/>
      <c r="V103" s="1073"/>
      <c r="W103" s="1072">
        <f>SUM(W102:W102)</f>
        <v>2.9</v>
      </c>
      <c r="X103" s="1064"/>
      <c r="Y103" s="1064"/>
      <c r="Z103" s="1065"/>
      <c r="AA103" s="1065"/>
      <c r="AB103" s="1064"/>
      <c r="AC103" s="1064"/>
      <c r="AD103" s="1064"/>
      <c r="AE103" s="1064"/>
      <c r="AF103" s="1064"/>
      <c r="AG103" s="1064"/>
      <c r="AH103" s="1064"/>
    </row>
    <row r="104" spans="1:34" ht="12.75">
      <c r="A104" s="1071"/>
      <c r="B104" s="1070"/>
      <c r="C104" s="1065"/>
      <c r="D104" s="1049"/>
      <c r="E104" s="1066"/>
      <c r="F104" s="1064"/>
      <c r="G104" s="1069"/>
      <c r="H104" s="1069"/>
      <c r="I104" s="1069"/>
      <c r="J104" s="1069"/>
      <c r="K104" s="1068"/>
      <c r="L104" s="1068"/>
      <c r="M104" s="1066"/>
      <c r="N104" s="1066"/>
      <c r="O104" s="1064"/>
      <c r="P104" s="1064"/>
      <c r="Q104" s="1066"/>
      <c r="R104" s="1066"/>
      <c r="S104" s="1066"/>
      <c r="T104" s="1067"/>
      <c r="U104" s="1067"/>
      <c r="V104" s="1067"/>
      <c r="W104" s="1066"/>
      <c r="X104" s="1064"/>
      <c r="Y104" s="1064"/>
      <c r="Z104" s="1065"/>
      <c r="AA104" s="1065"/>
      <c r="AB104" s="1064"/>
      <c r="AC104" s="1064"/>
      <c r="AD104" s="1064"/>
      <c r="AE104" s="1064"/>
      <c r="AF104" s="1064"/>
      <c r="AG104" s="1064"/>
      <c r="AH104" s="1064"/>
    </row>
    <row r="105" spans="1:34" ht="12.75">
      <c r="A105" s="1071"/>
      <c r="B105" s="1070"/>
      <c r="C105" s="1065"/>
      <c r="D105" s="1077" t="s">
        <v>450</v>
      </c>
      <c r="E105" s="1076">
        <f>SUMIF(AL10:AL104,"M46/",J10:J104)</f>
        <v>0</v>
      </c>
      <c r="F105" s="1074"/>
      <c r="G105" s="1076"/>
      <c r="H105" s="1076">
        <f>SUMIF(AL10:AL104,"M46/",H10:H104)</f>
        <v>0</v>
      </c>
      <c r="I105" s="1076">
        <f>SUMIF(AL10:AL104,"M46/",I10:I104)</f>
        <v>0</v>
      </c>
      <c r="J105" s="1076">
        <f>SUMIF(AL10:AL104,"M46/",J10:J104)</f>
        <v>0</v>
      </c>
      <c r="K105" s="1075"/>
      <c r="L105" s="1075">
        <f>SUMIF(AL10:AL104,"M46/",L10:L104)</f>
        <v>0</v>
      </c>
      <c r="M105" s="1072"/>
      <c r="N105" s="1072">
        <f>SUMIF(AL10:AL104,"M46/",N10:N104)</f>
        <v>0</v>
      </c>
      <c r="O105" s="1074"/>
      <c r="P105" s="1074"/>
      <c r="Q105" s="1072"/>
      <c r="R105" s="1072"/>
      <c r="S105" s="1072"/>
      <c r="T105" s="1073"/>
      <c r="U105" s="1073"/>
      <c r="V105" s="1073"/>
      <c r="W105" s="1072">
        <f>SUMIF(AL10:AL104,"M46/",W10:W104)</f>
        <v>69.557628</v>
      </c>
      <c r="X105" s="1064"/>
      <c r="Y105" s="1064"/>
      <c r="Z105" s="1065"/>
      <c r="AA105" s="1065"/>
      <c r="AB105" s="1064"/>
      <c r="AC105" s="1064"/>
      <c r="AD105" s="1064"/>
      <c r="AE105" s="1064"/>
      <c r="AF105" s="1064"/>
      <c r="AG105" s="1064"/>
      <c r="AH105" s="1064"/>
    </row>
    <row r="106" spans="1:34" ht="12.75">
      <c r="A106" s="1071"/>
      <c r="B106" s="1070"/>
      <c r="C106" s="1065"/>
      <c r="D106" s="1049"/>
      <c r="E106" s="1066"/>
      <c r="F106" s="1064"/>
      <c r="G106" s="1069"/>
      <c r="H106" s="1069"/>
      <c r="I106" s="1069"/>
      <c r="J106" s="1069"/>
      <c r="K106" s="1068"/>
      <c r="L106" s="1068"/>
      <c r="M106" s="1066"/>
      <c r="N106" s="1066"/>
      <c r="O106" s="1064"/>
      <c r="P106" s="1064"/>
      <c r="Q106" s="1066"/>
      <c r="R106" s="1066"/>
      <c r="S106" s="1066"/>
      <c r="T106" s="1067"/>
      <c r="U106" s="1067"/>
      <c r="V106" s="1067"/>
      <c r="W106" s="1066"/>
      <c r="X106" s="1064"/>
      <c r="Y106" s="1064"/>
      <c r="Z106" s="1065"/>
      <c r="AA106" s="1065"/>
      <c r="AB106" s="1064"/>
      <c r="AC106" s="1064"/>
      <c r="AD106" s="1064"/>
      <c r="AE106" s="1064"/>
      <c r="AF106" s="1064"/>
      <c r="AG106" s="1064"/>
      <c r="AH106" s="1064"/>
    </row>
    <row r="107" spans="1:34" ht="12.75">
      <c r="A107" s="1071"/>
      <c r="B107" s="1070"/>
      <c r="C107" s="1065"/>
      <c r="D107" s="1077" t="s">
        <v>449</v>
      </c>
      <c r="E107" s="1076">
        <f>SUMIF(AK10:AK106,"S",J10:J106)</f>
        <v>0</v>
      </c>
      <c r="F107" s="1074"/>
      <c r="G107" s="1076"/>
      <c r="H107" s="1076">
        <f>SUMIF(AK10:AK106,"S",H10:H106)</f>
        <v>0</v>
      </c>
      <c r="I107" s="1076">
        <f>SUMIF(AK10:AK106,"S",I10:I106)</f>
        <v>0</v>
      </c>
      <c r="J107" s="1076">
        <f>SUMIF(AK10:AK106,"S",J10:J106)</f>
        <v>0</v>
      </c>
      <c r="K107" s="1075"/>
      <c r="L107" s="1075">
        <f>SUMIF(AK10:AK106,"S",L10:L106)</f>
        <v>0.7555999999999998</v>
      </c>
      <c r="M107" s="1072"/>
      <c r="N107" s="1072">
        <f>SUMIF(AK10:AK106,"S",N10:N106)</f>
        <v>0</v>
      </c>
      <c r="O107" s="1074"/>
      <c r="P107" s="1074"/>
      <c r="Q107" s="1072"/>
      <c r="R107" s="1072"/>
      <c r="S107" s="1072"/>
      <c r="T107" s="1073"/>
      <c r="U107" s="1073"/>
      <c r="V107" s="1073"/>
      <c r="W107" s="1072">
        <f>SUMIF(AK10:AK106,"S",W10:W106)</f>
        <v>166.620628</v>
      </c>
      <c r="X107" s="1064"/>
      <c r="Y107" s="1064"/>
      <c r="Z107" s="1065"/>
      <c r="AA107" s="1065"/>
      <c r="AB107" s="1064"/>
      <c r="AC107" s="1064"/>
      <c r="AD107" s="1064"/>
      <c r="AE107" s="1064"/>
      <c r="AF107" s="1064"/>
      <c r="AG107" s="1064"/>
      <c r="AH107" s="1064"/>
    </row>
    <row r="108" spans="1:34" ht="12.75">
      <c r="A108" s="1071"/>
      <c r="B108" s="1070"/>
      <c r="C108" s="1065"/>
      <c r="D108" s="1049"/>
      <c r="E108" s="1066"/>
      <c r="F108" s="1064"/>
      <c r="G108" s="1069"/>
      <c r="H108" s="1069"/>
      <c r="I108" s="1069"/>
      <c r="J108" s="1069"/>
      <c r="K108" s="1068"/>
      <c r="L108" s="1068"/>
      <c r="M108" s="1066"/>
      <c r="N108" s="1066"/>
      <c r="O108" s="1064"/>
      <c r="P108" s="1064"/>
      <c r="Q108" s="1066"/>
      <c r="R108" s="1066"/>
      <c r="S108" s="1066"/>
      <c r="T108" s="1067"/>
      <c r="U108" s="1067"/>
      <c r="V108" s="1067"/>
      <c r="W108" s="1066"/>
      <c r="X108" s="1064"/>
      <c r="Y108" s="1064"/>
      <c r="Z108" s="1065"/>
      <c r="AA108" s="1065"/>
      <c r="AB108" s="1064"/>
      <c r="AC108" s="1064"/>
      <c r="AD108" s="1064"/>
      <c r="AE108" s="1064"/>
      <c r="AF108" s="1064"/>
      <c r="AG108" s="1064"/>
      <c r="AH108" s="1064"/>
    </row>
  </sheetData>
  <sheetProtection selectLockedCells="1" selectUnlockedCells="1"/>
  <mergeCells count="2">
    <mergeCell ref="K9:L9"/>
    <mergeCell ref="M9:N9"/>
  </mergeCells>
  <printOptions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</dc:creator>
  <cp:keywords/>
  <dc:description/>
  <cp:lastModifiedBy>Jan Kover</cp:lastModifiedBy>
  <cp:lastPrinted>2022-05-03T06:53:15Z</cp:lastPrinted>
  <dcterms:created xsi:type="dcterms:W3CDTF">2013-06-14T10:36:13Z</dcterms:created>
  <dcterms:modified xsi:type="dcterms:W3CDTF">2022-06-14T20:44:10Z</dcterms:modified>
  <cp:category/>
  <cp:version/>
  <cp:contentType/>
  <cp:contentStatus/>
</cp:coreProperties>
</file>