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HSK\Projekty\SK1186.00_Sanacia Zosuvov na cestach 3.tr\1186.00.04_Prestavlky\5_Vykresy_Zoznamy\51_Vlastne vykresy\Doku\"/>
    </mc:Choice>
  </mc:AlternateContent>
  <bookViews>
    <workbookView xWindow="-120" yWindow="-120" windowWidth="20730" windowHeight="11760" activeTab="1"/>
  </bookViews>
  <sheets>
    <sheet name="Hárok1" sheetId="3" r:id="rId1"/>
    <sheet name="rozpocet" sheetId="2" r:id="rId2"/>
  </sheets>
  <definedNames>
    <definedName name="_xlnm.Print_Titles" localSheetId="1">rozpocet!$2:$5</definedName>
    <definedName name="_xlnm.Print_Area" localSheetId="0">Hárok1!$A$1:$J$4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9" i="2" l="1"/>
  <c r="F232" i="2"/>
  <c r="F230" i="2" l="1"/>
  <c r="F231" i="2"/>
  <c r="F126" i="2" l="1"/>
  <c r="F120" i="2"/>
  <c r="H257" i="2" l="1"/>
  <c r="H244" i="2"/>
  <c r="H243" i="2" s="1"/>
  <c r="H235" i="2"/>
  <c r="H234" i="2" s="1"/>
  <c r="H221" i="2"/>
  <c r="H220" i="2" s="1"/>
  <c r="H156" i="2"/>
  <c r="H155" i="2" s="1"/>
  <c r="H45" i="2"/>
  <c r="F38" i="2" l="1"/>
  <c r="A7" i="2" l="1"/>
  <c r="J234" i="2"/>
  <c r="J243" i="2"/>
  <c r="F252" i="2"/>
  <c r="F253" i="2"/>
  <c r="F250" i="2"/>
  <c r="H249" i="2" s="1"/>
  <c r="F241" i="2"/>
  <c r="F83" i="2"/>
  <c r="F165" i="2"/>
  <c r="F164" i="2"/>
  <c r="F162" i="2"/>
  <c r="H161" i="2" s="1"/>
  <c r="F139" i="2"/>
  <c r="H125" i="2"/>
  <c r="H124" i="2" s="1"/>
  <c r="F121" i="2" s="1"/>
  <c r="F286" i="2"/>
  <c r="F240" i="2"/>
  <c r="H239" i="2" s="1"/>
  <c r="H238" i="2" s="1"/>
  <c r="H228" i="2"/>
  <c r="F187" i="2"/>
  <c r="F99" i="2"/>
  <c r="F98" i="2"/>
  <c r="F93" i="2"/>
  <c r="F69" i="2"/>
  <c r="H68" i="2" s="1"/>
  <c r="H67" i="2" s="1"/>
  <c r="J45" i="2"/>
  <c r="F27" i="2"/>
  <c r="J257" i="2"/>
  <c r="F254" i="2" l="1"/>
  <c r="H251" i="2" s="1"/>
  <c r="H248" i="2" s="1"/>
  <c r="J248" i="2" s="1"/>
  <c r="H163" i="2"/>
  <c r="H160" i="2" s="1"/>
  <c r="J160" i="2" s="1"/>
  <c r="H138" i="2"/>
  <c r="H137" i="2" s="1"/>
  <c r="J137" i="2" s="1"/>
  <c r="H48" i="2"/>
  <c r="J48" i="2" s="1"/>
  <c r="A11" i="2"/>
  <c r="A15" i="2" s="1"/>
  <c r="H53" i="2"/>
  <c r="J53" i="2" s="1"/>
  <c r="A19" i="2" l="1"/>
  <c r="A25" i="2" s="1"/>
  <c r="A33" i="2" s="1"/>
  <c r="A45" i="2" l="1"/>
  <c r="A48" i="2" s="1"/>
  <c r="A53" i="2" s="1"/>
  <c r="A58" i="2" s="1"/>
  <c r="A62" i="2" s="1"/>
  <c r="A67" i="2" s="1"/>
  <c r="A72" i="2" s="1"/>
  <c r="A76" i="2" s="1"/>
  <c r="A80" i="2" s="1"/>
  <c r="A86" i="2" l="1"/>
  <c r="A90" i="2" s="1"/>
  <c r="A96" i="2" s="1"/>
  <c r="A102" i="2" s="1"/>
  <c r="A110" i="2" s="1"/>
  <c r="A116" i="2" l="1"/>
  <c r="A124" i="2" s="1"/>
  <c r="A128" i="2" s="1"/>
  <c r="A132" i="2" s="1"/>
  <c r="A137" i="2" l="1"/>
  <c r="A142" i="2" s="1"/>
  <c r="A148" i="2" s="1"/>
  <c r="A155" i="2" s="1"/>
  <c r="A160" i="2" s="1"/>
  <c r="A168" i="2" s="1"/>
  <c r="A174" i="2" s="1"/>
  <c r="A180" i="2" s="1"/>
  <c r="A186" i="2" s="1"/>
  <c r="A189" i="2" s="1"/>
  <c r="A193" i="2" l="1"/>
  <c r="A196" i="2" s="1"/>
  <c r="A200" i="2" s="1"/>
  <c r="A207" i="2" s="1"/>
  <c r="A211" i="2" s="1"/>
  <c r="A215" i="2" s="1"/>
  <c r="A220" i="2" s="1"/>
  <c r="A224" i="2" s="1"/>
  <c r="A228" i="2" s="1"/>
  <c r="A234" i="2" s="1"/>
  <c r="F273" i="2"/>
  <c r="F267" i="2"/>
  <c r="F268" i="2"/>
  <c r="F266" i="2"/>
  <c r="H272" i="2" l="1"/>
  <c r="H271" i="2" s="1"/>
  <c r="J271" i="2" s="1"/>
  <c r="A238" i="2"/>
  <c r="A243" i="2" s="1"/>
  <c r="F311" i="2"/>
  <c r="F310" i="2"/>
  <c r="F301" i="2"/>
  <c r="F300" i="2"/>
  <c r="F297" i="2"/>
  <c r="F298" i="2"/>
  <c r="F183" i="2"/>
  <c r="F177" i="2"/>
  <c r="F171" i="2"/>
  <c r="F152" i="2"/>
  <c r="F145" i="2"/>
  <c r="F106" i="2"/>
  <c r="F105" i="2"/>
  <c r="F308" i="2"/>
  <c r="F307" i="2"/>
  <c r="F302" i="2" l="1"/>
  <c r="A248" i="2"/>
  <c r="A257" i="2" s="1"/>
  <c r="A262" i="2" s="1"/>
  <c r="A271" i="2" s="1"/>
  <c r="A276" i="2" s="1"/>
  <c r="A280" i="2" s="1"/>
  <c r="A284" i="2" s="1"/>
  <c r="A289" i="2" s="1"/>
  <c r="A294" i="2" s="1"/>
  <c r="A304" i="2" s="1"/>
  <c r="F312" i="2"/>
  <c r="F264" i="2"/>
  <c r="F269" i="2" s="1"/>
  <c r="F204" i="2"/>
  <c r="F182" i="2"/>
  <c r="F184" i="2" s="1"/>
  <c r="F176" i="2"/>
  <c r="F178" i="2" s="1"/>
  <c r="F28" i="2"/>
  <c r="F29" i="2"/>
  <c r="F30" i="2"/>
  <c r="F170" i="2"/>
  <c r="F172" i="2" s="1"/>
  <c r="F151" i="2"/>
  <c r="F153" i="2" s="1"/>
  <c r="F144" i="2"/>
  <c r="F146" i="2" s="1"/>
  <c r="H305" i="2" l="1"/>
  <c r="H304" i="2" s="1"/>
  <c r="J304" i="2" s="1"/>
  <c r="H295" i="2"/>
  <c r="H294" i="2" s="1"/>
  <c r="J294" i="2" s="1"/>
  <c r="H263" i="2"/>
  <c r="H262" i="2" s="1"/>
  <c r="J262" i="2" s="1"/>
  <c r="H201" i="2"/>
  <c r="H200" i="2" s="1"/>
  <c r="J200" i="2" s="1"/>
  <c r="H181" i="2"/>
  <c r="H180" i="2" s="1"/>
  <c r="J180" i="2" s="1"/>
  <c r="H175" i="2"/>
  <c r="H174" i="2" s="1"/>
  <c r="J174" i="2" s="1"/>
  <c r="H169" i="2"/>
  <c r="H168" i="2" s="1"/>
  <c r="J168" i="2" s="1"/>
  <c r="H149" i="2"/>
  <c r="H148" i="2" s="1"/>
  <c r="J148" i="2" s="1"/>
  <c r="H143" i="2"/>
  <c r="H142" i="2" s="1"/>
  <c r="J142" i="2" s="1"/>
  <c r="F31" i="2"/>
  <c r="F282" i="2"/>
  <c r="F291" i="2"/>
  <c r="H290" i="2" s="1"/>
  <c r="H289" i="2" s="1"/>
  <c r="F287" i="2"/>
  <c r="F191" i="2"/>
  <c r="H190" i="2" s="1"/>
  <c r="H189" i="2" s="1"/>
  <c r="F209" i="2"/>
  <c r="H208" i="2" s="1"/>
  <c r="H207" i="2" s="1"/>
  <c r="F198" i="2"/>
  <c r="H197" i="2" s="1"/>
  <c r="H196" i="2" s="1"/>
  <c r="F213" i="2"/>
  <c r="H212" i="2" s="1"/>
  <c r="H211" i="2" s="1"/>
  <c r="F217" i="2"/>
  <c r="F218" i="2"/>
  <c r="F194" i="2"/>
  <c r="F130" i="2"/>
  <c r="H129" i="2" s="1"/>
  <c r="H128" i="2" s="1"/>
  <c r="F134" i="2"/>
  <c r="F74" i="2"/>
  <c r="F82" i="2"/>
  <c r="F107" i="2" s="1"/>
  <c r="J220" i="2"/>
  <c r="F88" i="2"/>
  <c r="H87" i="2" s="1"/>
  <c r="H86" i="2" s="1"/>
  <c r="F278" i="2"/>
  <c r="F92" i="2"/>
  <c r="F100" i="2"/>
  <c r="H97" i="2" s="1"/>
  <c r="H96" i="2" s="1"/>
  <c r="F64" i="2"/>
  <c r="H63" i="2" s="1"/>
  <c r="H62" i="2" s="1"/>
  <c r="F60" i="2"/>
  <c r="H59" i="2" s="1"/>
  <c r="H58" i="2" s="1"/>
  <c r="H277" i="2" l="1"/>
  <c r="H276" i="2" s="1"/>
  <c r="J276" i="2" s="1"/>
  <c r="H281" i="2"/>
  <c r="H280" i="2" s="1"/>
  <c r="J280" i="2" s="1"/>
  <c r="H285" i="2"/>
  <c r="H284" i="2" s="1"/>
  <c r="J284" i="2" s="1"/>
  <c r="H216" i="2"/>
  <c r="H215" i="2" s="1"/>
  <c r="H133" i="2"/>
  <c r="H132" i="2" s="1"/>
  <c r="J132" i="2" s="1"/>
  <c r="H77" i="2"/>
  <c r="H76" i="2" s="1"/>
  <c r="H73" i="2"/>
  <c r="H72" i="2" s="1"/>
  <c r="F37" i="2"/>
  <c r="F40" i="2"/>
  <c r="H26" i="2"/>
  <c r="H25" i="2" s="1"/>
  <c r="F113" i="2"/>
  <c r="F8" i="2" s="1"/>
  <c r="H7" i="2" s="1"/>
  <c r="J7" i="2" s="1"/>
  <c r="F108" i="2"/>
  <c r="J96" i="2"/>
  <c r="F94" i="2"/>
  <c r="F84" i="2"/>
  <c r="H103" i="2" l="1"/>
  <c r="H102" i="2" s="1"/>
  <c r="J102" i="2" s="1"/>
  <c r="H91" i="2"/>
  <c r="H90" i="2" s="1"/>
  <c r="J90" i="2" s="1"/>
  <c r="H81" i="2"/>
  <c r="H80" i="2" s="1"/>
  <c r="J80" i="2" s="1"/>
  <c r="F119" i="2"/>
  <c r="F23" i="2"/>
  <c r="F39" i="2" s="1"/>
  <c r="F17" i="2"/>
  <c r="F36" i="2" s="1"/>
  <c r="F13" i="2"/>
  <c r="F35" i="2" s="1"/>
  <c r="F226" i="2"/>
  <c r="H225" i="2" s="1"/>
  <c r="H224" i="2" s="1"/>
  <c r="F42" i="2" l="1"/>
  <c r="H34" i="2" s="1"/>
  <c r="H33" i="2" s="1"/>
  <c r="J33" i="2" s="1"/>
  <c r="H20" i="2"/>
  <c r="H19" i="2" s="1"/>
  <c r="J19" i="2" s="1"/>
  <c r="H12" i="2"/>
  <c r="H11" i="2" s="1"/>
  <c r="H16" i="2"/>
  <c r="H15" i="2" s="1"/>
  <c r="J25" i="2"/>
  <c r="J155" i="2" l="1"/>
  <c r="J72" i="2" l="1"/>
  <c r="J228" i="2"/>
  <c r="J128" i="2" l="1"/>
  <c r="J224" i="2"/>
  <c r="J62" i="2"/>
  <c r="J58" i="2"/>
  <c r="J289" i="2" l="1"/>
  <c r="J124" i="2" l="1"/>
  <c r="J76" i="2"/>
  <c r="J15" i="2"/>
  <c r="J11" i="2"/>
  <c r="J215" i="2"/>
  <c r="J211" i="2"/>
  <c r="J207" i="2"/>
  <c r="J196" i="2"/>
  <c r="H193" i="2"/>
  <c r="J193" i="2" s="1"/>
  <c r="J189" i="2"/>
  <c r="H186" i="2"/>
  <c r="J186" i="2" s="1"/>
  <c r="J67" i="2" l="1"/>
  <c r="J86" i="2"/>
  <c r="F112" i="2" l="1"/>
  <c r="F114" i="2" s="1"/>
  <c r="F122" i="2"/>
  <c r="H117" i="2" l="1"/>
  <c r="H116" i="2" s="1"/>
  <c r="J116" i="2" s="1"/>
  <c r="H111" i="2"/>
  <c r="H110" i="2" s="1"/>
  <c r="J110" i="2" s="1"/>
  <c r="J238" i="2" l="1"/>
  <c r="J314" i="2" s="1"/>
  <c r="G4" i="3" s="1"/>
  <c r="J4" i="3" s="1"/>
</calcChain>
</file>

<file path=xl/sharedStrings.xml><?xml version="1.0" encoding="utf-8"?>
<sst xmlns="http://schemas.openxmlformats.org/spreadsheetml/2006/main" count="617" uniqueCount="369">
  <si>
    <t>Stavba:</t>
  </si>
  <si>
    <t>Sanácia zosuvov na cestách 3. tr.</t>
  </si>
  <si>
    <t>Objekt:</t>
  </si>
  <si>
    <t>KS:</t>
  </si>
  <si>
    <t>POLOŽKA</t>
  </si>
  <si>
    <t>VÝKAZ VÝMER</t>
  </si>
  <si>
    <t>M.J.</t>
  </si>
  <si>
    <t>MNOŽ.</t>
  </si>
  <si>
    <t>Č.</t>
  </si>
  <si>
    <t>KÓD KP</t>
  </si>
  <si>
    <t>KÓD SP</t>
  </si>
  <si>
    <t>KÓD SPP</t>
  </si>
  <si>
    <t>45.11.11</t>
  </si>
  <si>
    <t>DEMOLAČNÉ  PRÁCE</t>
  </si>
  <si>
    <t>05030162</t>
  </si>
  <si>
    <t>Odstránenie spevnených plôch a vozoviek, krytov bitúmenových</t>
  </si>
  <si>
    <t>m2</t>
  </si>
  <si>
    <t>0503016202</t>
  </si>
  <si>
    <t>Odstránenie spevnených plôch a vozoviek, krytov bitúmenových hr. nad 100 do 200 mm</t>
  </si>
  <si>
    <t>05030264</t>
  </si>
  <si>
    <t>Odstránenie spevnených plôch a vozoviek, podkladov z kameniva hrubého drveného</t>
  </si>
  <si>
    <t>0503026404</t>
  </si>
  <si>
    <t>Odstránenie spevnených plôch a vozoviek, podkladov z kameniva hrubého drveného hr. nad 300 mm</t>
  </si>
  <si>
    <t xml:space="preserve">45.11.23 </t>
  </si>
  <si>
    <t>REKULTIVAČNÉ  PRÁCE</t>
  </si>
  <si>
    <t>01080501</t>
  </si>
  <si>
    <t>Povrchové úpravy terénu, úpravy povrchov rozprestretím ornice</t>
  </si>
  <si>
    <t>0108050102</t>
  </si>
  <si>
    <t>Povrchové úpravy terénu, úpravy povrchov rozprestretím ornice na svahu</t>
  </si>
  <si>
    <t>01080503</t>
  </si>
  <si>
    <t>Povrchové úpravy terénu, úpravy povrchov založením trávnika hydroosevom</t>
  </si>
  <si>
    <t>0108050301</t>
  </si>
  <si>
    <t>Povrchové úpravy terénu, úpravy povrchov založením trávnika hydroosevom na ornicu</t>
  </si>
  <si>
    <t xml:space="preserve">45.11.24 </t>
  </si>
  <si>
    <t>OSTATNÉ  VÝKOPOVÉ  A  SÚVISIACE  ZEMNÉ  PRÁCE</t>
  </si>
  <si>
    <t>01020500</t>
  </si>
  <si>
    <t>Odkopávky a prekopávky zárezov so šikmými stenami</t>
  </si>
  <si>
    <t>m3</t>
  </si>
  <si>
    <t>01030202</t>
  </si>
  <si>
    <t>Hĺbené vykopávky rýh š nad 600 mm</t>
  </si>
  <si>
    <t>0103020202</t>
  </si>
  <si>
    <t>Hĺbené vykopávky rýh š nad 600 mm do 2000 mm, tr.horniny 3</t>
  </si>
  <si>
    <t>01040402</t>
  </si>
  <si>
    <t>Konštrukcie z hornín - zásypy so zhutnením</t>
  </si>
  <si>
    <t>0104040202</t>
  </si>
  <si>
    <t>Konštrukcie z hornín - zásypy so zhutnením, tr.horniny 3</t>
  </si>
  <si>
    <t>45.21.32</t>
  </si>
  <si>
    <t>PRÁCE  NA  STAVBE  OSTATNÝCH  DIAĽKOVÝCH  POTRUBNÝCH  VEDENÍ</t>
  </si>
  <si>
    <t>11200101</t>
  </si>
  <si>
    <t>Podkladné konštrukcie, podkladné vrstvy, z betónu prostého</t>
  </si>
  <si>
    <t>1120010102</t>
  </si>
  <si>
    <t>Podkladné konštrukcie, podkladné vrstvy z betónu prostého, tr. C 8/10</t>
  </si>
  <si>
    <t>11200301</t>
  </si>
  <si>
    <t>Podkladné konštrukcie, dosky, bloky, sedlá, z betónu prostého</t>
  </si>
  <si>
    <t>1120030104</t>
  </si>
  <si>
    <t>Podkladné konštrukcie, dosky, bloky, sedlá z betónu prostého, tr. C 16/20 (B 20)</t>
  </si>
  <si>
    <t>Betónové sedlo C 16/20-X0, hr. 200mm</t>
  </si>
  <si>
    <t xml:space="preserve">45.23.11 </t>
  </si>
  <si>
    <t>PRÁCE  NA  SPODNEJ  STAVBE  DIAĽNÍC  (OKREM VISUTÝCH), CIEST, ULÍC, CHODNÍKOV  A NEKRYTÝCH  PARKOVÍSK</t>
  </si>
  <si>
    <t>11250601</t>
  </si>
  <si>
    <t>Doplňujúce konštrukcie, čelá priepustov a výuste, z betónu prostého</t>
  </si>
  <si>
    <t>1125060107</t>
  </si>
  <si>
    <t>Doplňujúce konštrukcie, čelá priepustov a výuste, z betónu prostého tr. C 30/37</t>
  </si>
  <si>
    <t>11250701</t>
  </si>
  <si>
    <t>Doplňujúce konštrukcie, vtokové nádržky, z betónu prostého</t>
  </si>
  <si>
    <t>1125070107</t>
  </si>
  <si>
    <t>Doplňujúce konštrukcie, vtokové nádržky, z betónu prostého tr.  C 30/37 (B 35)</t>
  </si>
  <si>
    <t>11250901</t>
  </si>
  <si>
    <t>Doplňujúce konštrukcie, obetónovanie potrubia, z betónu prostého</t>
  </si>
  <si>
    <t>1125090104</t>
  </si>
  <si>
    <t>Doplňujúce konštrukcie, obetónovanie potrubia, z betónu prostého tr. C 16/20 (B 20)</t>
  </si>
  <si>
    <t>22010104</t>
  </si>
  <si>
    <t>Podkladné a krycie vrstvy bez spojiva nestmelené, štrkodrva</t>
  </si>
  <si>
    <t>Štrkodrvina; ŠD 31.5 G, hr. 200mm</t>
  </si>
  <si>
    <t>22010201</t>
  </si>
  <si>
    <t>Podkladné a krycie vrstvy bez spojiva, spevnenie krajníc zo zeminy</t>
  </si>
  <si>
    <t>Dosypávka zo zhutneného nenamŕzavého materiálu podľa STN 73 6133</t>
  </si>
  <si>
    <t>22010204</t>
  </si>
  <si>
    <t>Podkladné a krycie vrstvy bez spojiva, spevnenie krajníc, štrkodrva</t>
  </si>
  <si>
    <t>Spevnenie štrkodrvou fr. 16-32, hr. 100mm</t>
  </si>
  <si>
    <t>22020421</t>
  </si>
  <si>
    <t>Podkladné a krycie vrstvy s hydraulickým spojivom, cementobetónové jednovrstvové, kamenivo spevnené cementom</t>
  </si>
  <si>
    <t>Podkladné a krycie vrstvy s hydraulickým spojivom, cementobetónové jednovrstvové, kamenivo spevnené cementom CBGM C 3/4</t>
  </si>
  <si>
    <t>hr. 180mm</t>
  </si>
  <si>
    <t>22251386</t>
  </si>
  <si>
    <t>Doplňujúce konštrukcie,  priepusty, hospodárske prejazdy z rúr železobetónových</t>
  </si>
  <si>
    <t>m</t>
  </si>
  <si>
    <t>2225138601</t>
  </si>
  <si>
    <t>Doplňujúce konštrukcie,  priepusty, hospodárske prejazdy z rúr železobetónových DN do 800 mm</t>
  </si>
  <si>
    <t xml:space="preserve">45.23.12 </t>
  </si>
  <si>
    <t>PRÁCE  NA  VRCHNEJ  STAVBE  DIAĽNÍC  (OKREM VISUTÝCH), CIEST, ULÍC, CHODNÍKOV  A NEKRYTÝCH  PARKOVÍSK</t>
  </si>
  <si>
    <t>22030329</t>
  </si>
  <si>
    <t>Podkladné a krycie vrstvy z asfaltových zmesí, bitúmenové postreky, nátery,posypy infiltračný postrek</t>
  </si>
  <si>
    <t>2203032901</t>
  </si>
  <si>
    <t>Podkladné a krycie vrstvy z asfaltových zmesí, bitúmenové postreky, nátery,posypy infiltračný postrek z asfaltu</t>
  </si>
  <si>
    <t>22030330</t>
  </si>
  <si>
    <t>Podkladné a krycie vrstvy z asfaltových zmesí, bitúmenové postreky, nátery,posypy spojovací postrek</t>
  </si>
  <si>
    <t>2203033003</t>
  </si>
  <si>
    <t>Podkladné a krycie vrstvy z asfaltových zmesí, bitúmenové postreky, nátery,posypy spojovací postrek z emulzie</t>
  </si>
  <si>
    <t>22030640</t>
  </si>
  <si>
    <t>Podkladné a krycie vrstvy z asfaltových zmesí, bitúmenové vrstvy, asfaltový betón</t>
  </si>
  <si>
    <t>2203064002</t>
  </si>
  <si>
    <t>Podkladné a krycie vrstvy z asfaltových zmesí, bitúmenové vrstvy, asfaltový betón  triedy II</t>
  </si>
  <si>
    <t>Asfaltový betón pre podkladovú vrstvu AC 22 P; 35/50, hr. 70mm</t>
  </si>
  <si>
    <t>Asfaltový betón pre obrusnú vrstvu AC 11 O; 50/70; II, hr. 50mm</t>
  </si>
  <si>
    <t>22250362</t>
  </si>
  <si>
    <t>Doplňujúce konštrukcie, zvodidlá oceľové</t>
  </si>
  <si>
    <t>2225036201</t>
  </si>
  <si>
    <t>Doplňujúce konštrukcie, zvodidlá oceľové s jednou zvodnicou</t>
  </si>
  <si>
    <t>Oceľové zvodidlo úroveň zachytenia H2</t>
  </si>
  <si>
    <t>22251161</t>
  </si>
  <si>
    <t>Doplňujúce konštrukcie,  otvorené žľaby z betónových tvárnic</t>
  </si>
  <si>
    <t>2225116102</t>
  </si>
  <si>
    <t>Doplňujúce konštrukcie,  otvorené žľaby z betónových tvárnic š. nad 500 mm</t>
  </si>
  <si>
    <t>45.24.13</t>
  </si>
  <si>
    <t>PRÁCE NA HRUBEJ STAVBE VZDÚVADIEL, STAVIDIEL A OSTATNÝCH HYDROMECHANICKÝCH OBJEKTOV</t>
  </si>
  <si>
    <t>32210708</t>
  </si>
  <si>
    <t>Spevnené plochy, dlažba z lomového kameňa</t>
  </si>
  <si>
    <t>45.11.21</t>
  </si>
  <si>
    <t>VÝKOPOVÉ A SÚVISIACE ZEMNÉ PRÁCE</t>
  </si>
  <si>
    <t>01020101</t>
  </si>
  <si>
    <t>Odkopávky a prekopávky humóznej vrstvy ornice</t>
  </si>
  <si>
    <t>0102010101</t>
  </si>
  <si>
    <t>Odkopávky a prekopávky humóznej vrstvy ornice tr. horniny 1-2</t>
  </si>
  <si>
    <t>05030604</t>
  </si>
  <si>
    <t>Odstránenie spevnených plôch a vozoviek, priepustov betónových</t>
  </si>
  <si>
    <t>0503060402</t>
  </si>
  <si>
    <t>Odstránenie spevnených plôch a vozoviek, priepustov betónových DN nad 500 do 1 200 mm</t>
  </si>
  <si>
    <t>Oceľové zvodidlo úroveň zachytenia N2</t>
  </si>
  <si>
    <t xml:space="preserve">45.11.12 </t>
  </si>
  <si>
    <t>PRÍPRAVA STAVENISKA  A VYČISŤOVACIE PRÁCE</t>
  </si>
  <si>
    <t>01080101</t>
  </si>
  <si>
    <t>Povrchové úpravy terénu, úprava pláne so  zhutnením v zárezoch</t>
  </si>
  <si>
    <t>0108010101</t>
  </si>
  <si>
    <t>Povrchové úpravy terénu, úprava pláne so  zhutnením v zárezoch, tr.horniny 1-4</t>
  </si>
  <si>
    <t>01080102</t>
  </si>
  <si>
    <t>Povrchové úpravy terénu, úprava pláne so  zhutnením v násypoch</t>
  </si>
  <si>
    <t>0108010201</t>
  </si>
  <si>
    <t>Povrchové úpravy terénu, úprava pláne so  zhutnením v násypoch, tr.horniny 1-4</t>
  </si>
  <si>
    <t>01040202</t>
  </si>
  <si>
    <t>Konštrukcie z hornín - násypy so zhutnením</t>
  </si>
  <si>
    <t>01040100</t>
  </si>
  <si>
    <t>Konštrukcie z hornín - skládky</t>
  </si>
  <si>
    <t>0104010007</t>
  </si>
  <si>
    <t>Konštrukcie z hornín - skládky  tr.horniny 1-4</t>
  </si>
  <si>
    <t>uloženie na depóniu (ornica)</t>
  </si>
  <si>
    <t>uloženie na depóniu (zemina z výkopov)</t>
  </si>
  <si>
    <t>Spolu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</si>
  <si>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</si>
  <si>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</si>
  <si>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</si>
  <si>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</si>
  <si>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nakladanie ornice z depónie na spätné použitie</t>
  </si>
  <si>
    <t>01080402</t>
  </si>
  <si>
    <t>Povrchové úpravy terénu, svahovanie v násypoch</t>
  </si>
  <si>
    <t>0108040201</t>
  </si>
  <si>
    <t>Povrchové úpravy terénu, svahovanie v násypoch, tr.horniny 1-4</t>
  </si>
  <si>
    <t xml:space="preserve">45.25.21 </t>
  </si>
  <si>
    <t>ŠPECIÁLNE  ZÁKLADOVÉ  PRÁCE</t>
  </si>
  <si>
    <t>02060905</t>
  </si>
  <si>
    <t>Spevňovanie hornín a konštrukcií, opláštenie, spevnenie geotextíliou a geomrežovinou</t>
  </si>
  <si>
    <t>02060949</t>
  </si>
  <si>
    <t>Spevňovanie hornín a konštrukcií, opláštenie, spevnenie sieťovinou, rohožami</t>
  </si>
  <si>
    <t>22250162</t>
  </si>
  <si>
    <t>Doplňujúce konštrukcie,  zábradlie kovové</t>
  </si>
  <si>
    <t>2225016201</t>
  </si>
  <si>
    <t>Doplňujúce konštrukcie,  zábradlie kovové, mostov a múrov</t>
  </si>
  <si>
    <t xml:space="preserve">zábradlie na čele priepustu a kalovej jame </t>
  </si>
  <si>
    <t xml:space="preserve">Zásyp konštrukcií priepustu </t>
  </si>
  <si>
    <t>Odvoz na depóniu (ornica)</t>
  </si>
  <si>
    <t>Odvoz na depóniu (zemina z výkopov)</t>
  </si>
  <si>
    <t>Odvoz z depónie na stavbu (ornica na zahumusovanie)</t>
  </si>
  <si>
    <t>22040145</t>
  </si>
  <si>
    <t>Kryty dláždené,chodníkov komunikácií,rigolov, prefabrikované panely cestné</t>
  </si>
  <si>
    <t>2204014501</t>
  </si>
  <si>
    <t>Kryty dláždené,chodníkov komunikácií,rigolov, prefabrikované panely cestné zo železobetónu</t>
  </si>
  <si>
    <t>27030422</t>
  </si>
  <si>
    <t>Kanalizácie, rúry plastové, PVC</t>
  </si>
  <si>
    <t>Priekopa vedená potrubím PVC DN 200</t>
  </si>
  <si>
    <t>Kanalizácie, rúry plastové, PVC DN 200</t>
  </si>
  <si>
    <t>2703042204</t>
  </si>
  <si>
    <t>Konštrukcie z hornín - násypy so zhutnením zo zemín nesúdržných</t>
  </si>
  <si>
    <t>0104020202</t>
  </si>
  <si>
    <t>0206094902</t>
  </si>
  <si>
    <t>Spevňovanie hornín a konštrukcií, opláštenie, spevnenie sieťovinou, rohožami, protieróznou výstužnou sieťou z prírodných vlákien</t>
  </si>
  <si>
    <t>01060204</t>
  </si>
  <si>
    <t>Premiestnenie  vodorovné nad 5 000 m</t>
  </si>
  <si>
    <t>0106020401</t>
  </si>
  <si>
    <t>Premiestnenie  výkopku resp. rúbaniny, vodorovné nad 5 000 m, tr. horniny 1-4</t>
  </si>
  <si>
    <t>Odvoz vybúraných podkladných vrstiev vozovky</t>
  </si>
  <si>
    <t>Odvoz štrkového zásypu z dočasne prekrytej priekopy</t>
  </si>
  <si>
    <t xml:space="preserve">Odvoz cestných panelov </t>
  </si>
  <si>
    <t>01020200</t>
  </si>
  <si>
    <t>Odkopávky a prekopávky nezapažené</t>
  </si>
  <si>
    <t>0102020007</t>
  </si>
  <si>
    <t>Odkopávky a prekopávky nezapažené, tr. horniny 1-4</t>
  </si>
  <si>
    <t>Odkop dočasného zásypu priekopy</t>
  </si>
  <si>
    <t>05060105</t>
  </si>
  <si>
    <t>Demolácia objektov, budov z betónu monolitického</t>
  </si>
  <si>
    <t>0506010502</t>
  </si>
  <si>
    <t>Demolácia objektov, budov z betónu monolitického, strojne alebo ručne na suť</t>
  </si>
  <si>
    <t>Odvoz vybúraných asfaltových vrstiev vozovky</t>
  </si>
  <si>
    <t>Separačná geotextília pod spevnením krajnice</t>
  </si>
  <si>
    <t>0102050007</t>
  </si>
  <si>
    <t>Odkopávky a prekopávky zárezov so šikmými stenami, tr. horniny 1-4</t>
  </si>
  <si>
    <t>Priepust č.4</t>
  </si>
  <si>
    <t>Demolácia čela priepustu č.4 na vtoku</t>
  </si>
  <si>
    <t>Demolácia čela priepustu č.5 na vtoku</t>
  </si>
  <si>
    <t>Demolácia čela priepustu č.4 na výusti</t>
  </si>
  <si>
    <t>Demolácia čela priepustu č.5 na výusti</t>
  </si>
  <si>
    <t xml:space="preserve">Štrkový zásyp priekopy dočasne vedenej PVC potrubím </t>
  </si>
  <si>
    <t>Drenážne rebro, fr. 32-63 mm</t>
  </si>
  <si>
    <t>Zjednocujúca vrstva, fr. 0-125 mm</t>
  </si>
  <si>
    <t>Násyp zemného telesa, fr. 0-63 mm</t>
  </si>
  <si>
    <t>Výkop rýh š. 2,0m pre budovanie priepustov</t>
  </si>
  <si>
    <t>Výkop rýh š. 1,0m pre vytvorenie drenážnych rebier</t>
  </si>
  <si>
    <t>Odkop zemného telesa nad drenážnimi rebrami</t>
  </si>
  <si>
    <t>Cestný panel 2x3m +1,5x3m hr. 140mm</t>
  </si>
  <si>
    <t>01080401</t>
  </si>
  <si>
    <t>Povrchové úpravy terénu, svahovanie v zárezoch</t>
  </si>
  <si>
    <t>0108040101</t>
  </si>
  <si>
    <t>Povrchové úpravy terénu, svahovanie v zárezoch, tr.horniny 1-4</t>
  </si>
  <si>
    <t>02010101</t>
  </si>
  <si>
    <t>Zlepšovanie základovej pôdy, výplň odvodňovacích rebier alebo trativodov kamenivom, štrkopieskom</t>
  </si>
  <si>
    <t>0201010101</t>
  </si>
  <si>
    <t>Zlepšovanie základovej pôdy, výplň odvodňovacích rebier alebo trativodov kamenivom, štrkopieskom triedeným</t>
  </si>
  <si>
    <t>Separačná geotextília okolo drenážnych rebier</t>
  </si>
  <si>
    <t>Prestavlky</t>
  </si>
  <si>
    <t>(12km)</t>
  </si>
  <si>
    <t>Priepust v km 0,223 203</t>
  </si>
  <si>
    <t>Priepust v km 0,437 478</t>
  </si>
  <si>
    <t>Čelo priepustu v km 0,223 203</t>
  </si>
  <si>
    <t>Čelo priepustu v km 0,437 478</t>
  </si>
  <si>
    <t xml:space="preserve">45.25.32 </t>
  </si>
  <si>
    <t>OSTATNÉ  BETONÁRSKE  PRÁCE</t>
  </si>
  <si>
    <t>Doplňujúce konštrukcie, čelá priepustov a výuste, výstuž z betonárskej ocele</t>
  </si>
  <si>
    <t>t</t>
  </si>
  <si>
    <t>Doplňujúce konštrukcie, čelá priepustov a výuste, výstuž z betonárskej ocele zo zváraných sietí</t>
  </si>
  <si>
    <t>11250721</t>
  </si>
  <si>
    <t>Doplňujúce konštrukcie, vtokové nádržky, výstuž z betonárskej ocele</t>
  </si>
  <si>
    <t>1125072107</t>
  </si>
  <si>
    <t>Doplňujúce konštrukcie, vtokové nádržky, výstuž zo zváraných sietí</t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</si>
  <si>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2,7x2,9; B500 B, 2ks</t>
    </r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</si>
  <si>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2.86x4.5m; B500 B, 1ks</t>
    </r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</si>
  <si>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2,15x4.5m; B500 B, 1ks</t>
    </r>
  </si>
  <si>
    <t>Kalová jama v km 0,223 203</t>
  </si>
  <si>
    <t>Kalová jama v km 0,437 478</t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</si>
  <si>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2,5x2,9m; B500 B, 2ks</t>
    </r>
  </si>
  <si>
    <t>Kalová jama priepustu v km 0,437 478</t>
  </si>
  <si>
    <t>Kalová jama priepustu v km 0,223 203</t>
  </si>
  <si>
    <t>Spevnené plochy, dlažba z lomového kameňa hr. 200 mm, do bet. lôžka hr. 100 mm</t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</si>
  <si>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3,06x4.5m; B500 B, 1ks</t>
    </r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</si>
  <si>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2,35x4.5m; B500 B, 1ks</t>
    </r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</si>
  <si>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2,25x2,9m; B500 B, 2ks</t>
    </r>
  </si>
  <si>
    <r>
      <t xml:space="preserve">zváraná sieť </t>
    </r>
    <r>
      <rPr>
        <sz val="10"/>
        <rFont val="Arial"/>
        <family val="2"/>
        <charset val="238"/>
      </rPr>
      <t>ø</t>
    </r>
    <r>
      <rPr>
        <i/>
        <sz val="10"/>
        <rFont val="Arial CE"/>
        <family val="2"/>
        <charset val="238"/>
      </rPr>
      <t>8/150xø8/10, 2,25x2,9; B500 B, 2ks</t>
    </r>
  </si>
  <si>
    <t>Priepust č.5</t>
  </si>
  <si>
    <t>Vyústenie priekopy na terén</t>
  </si>
  <si>
    <t>Svahy vyústenia priepustu v km 0,223 203</t>
  </si>
  <si>
    <t>Svahy vyústenia priepustu v km 0,437 478</t>
  </si>
  <si>
    <t>32210709</t>
  </si>
  <si>
    <t>Spevnené plochy, dlažba z betónových dosiek</t>
  </si>
  <si>
    <t>3221070901</t>
  </si>
  <si>
    <t>Spevnené plochy, dlažba z betónových dosiek na sucho</t>
  </si>
  <si>
    <t>Spevnenie priekopy betónovými tvarovkami na výusti priepustu</t>
  </si>
  <si>
    <t>02010309</t>
  </si>
  <si>
    <t>Zlepšovanie základovej pôdy, trativody kompletné z potrubia plastického</t>
  </si>
  <si>
    <t>0201030904</t>
  </si>
  <si>
    <t>Zlepšovanie základovej pôdy, trativody kompletné z potrubia plastického D 100 mm</t>
  </si>
  <si>
    <t>45.24.12</t>
  </si>
  <si>
    <t>PRÁCE  NA  HRUBEJ  STAVBE  ÚPRAV  TOKOV, HRÁDZÍ, ZAVLAŽOVACÍCH  KANÁLOV  A  AKVADUKTOV</t>
  </si>
  <si>
    <t>31260101</t>
  </si>
  <si>
    <t>Dokončovacie práce, drobné prvky kovové</t>
  </si>
  <si>
    <t>kg</t>
  </si>
  <si>
    <t>3126010102</t>
  </si>
  <si>
    <t>Dokončovacie práce, drobné prvky kovové nad 1 do 100 kg</t>
  </si>
  <si>
    <t>Oceľové stupadlá v kalovej jame, fi 16, dl 0.9m, 6ks, vrátane kotvenia</t>
  </si>
  <si>
    <t>45.00.00</t>
  </si>
  <si>
    <t xml:space="preserve">VŠEOBECNÉ POLOŽKY V PROCESE OBSTARÁVANIA STAVIEB  </t>
  </si>
  <si>
    <t>00010403</t>
  </si>
  <si>
    <t>Zmluvné požiadavky poplatky za skládky zeminy</t>
  </si>
  <si>
    <t>Zemina z výkopov</t>
  </si>
  <si>
    <t>01010201</t>
  </si>
  <si>
    <t>Pripravné práce, rúbanie stromov</t>
  </si>
  <si>
    <t>ks</t>
  </si>
  <si>
    <t>0101020101</t>
  </si>
  <si>
    <t>Pripravné práce, rúbanie stromov priemer do 50 cm</t>
  </si>
  <si>
    <t>0101020102</t>
  </si>
  <si>
    <t>Pripravné práce, rúbanie stromov priemer do 90 cm</t>
  </si>
  <si>
    <t>0101020103</t>
  </si>
  <si>
    <t>Pripravné práce, rúbanie stromov priemer nad 90 cm</t>
  </si>
  <si>
    <t>01010202</t>
  </si>
  <si>
    <t>Pripravné práce, rúbanie odstránenie pňov</t>
  </si>
  <si>
    <t>0101020201</t>
  </si>
  <si>
    <t>Pripravné práce, rúbanie odstránenie pňov priemer do 50 cm</t>
  </si>
  <si>
    <t>0101020202</t>
  </si>
  <si>
    <t>Pripravné práce, rúbanie odstránenie pňov priemer do 90 cm</t>
  </si>
  <si>
    <t>0101020203</t>
  </si>
  <si>
    <t>Pripravné práce, rúbanie odstránenie pňov priemer nad 90 cm</t>
  </si>
  <si>
    <t>01010103</t>
  </si>
  <si>
    <t>Pripravné práce, odstránenie porastov krovín</t>
  </si>
  <si>
    <t>0101010301</t>
  </si>
  <si>
    <t>Pripravné práce, odstránenie porastov krovín na suchu</t>
  </si>
  <si>
    <t>hr. 150mm</t>
  </si>
  <si>
    <t>Betónová tvarovka š. 1,0m do betónového lôžka hr. 100mm</t>
  </si>
  <si>
    <t>Biodegradovateľná protierózna rohož vrátane kolíkov</t>
  </si>
  <si>
    <t>45.21.21</t>
  </si>
  <si>
    <t>PRÁCE  NA  HRUBEJ  STAVBE  MOSTOV  A  VISUTÝCH  DIAĽNÍC</t>
  </si>
  <si>
    <t>21250424</t>
  </si>
  <si>
    <t>Doplňujúce konštrukcie, dilatačné zariadenia, tesnenie dilatačných škár</t>
  </si>
  <si>
    <t>2125042402</t>
  </si>
  <si>
    <t>Doplňujúce konštrukcie, dilatačné zariadenia, tesnenie dilatačných škár asf. zálievkou  modifikovanou</t>
  </si>
  <si>
    <t xml:space="preserve">45.22.20 </t>
  </si>
  <si>
    <t>IZOLAČNÉ  PRÁCE  PROTI VODE</t>
  </si>
  <si>
    <t>61010301</t>
  </si>
  <si>
    <t>Izolácie proti vode a zemnej vlhkosti, potrubí, stôk, šachiet náterivami a tmelmi</t>
  </si>
  <si>
    <t>Izolácie proti vode a zemnej vlhkosti, potrubí, stôk, šachiet náterivami a tmelmi na ploche vodorovnej</t>
  </si>
  <si>
    <t>izolačný náter obetonóvania priepustu</t>
  </si>
  <si>
    <t>Izolácie proti vode a zemnej vlhkosti, potrubí, stôk, šachiet náterivami a tmelmi na ploche zvislej</t>
  </si>
  <si>
    <t>izolačný náter čela priepustu</t>
  </si>
  <si>
    <t>izolačný náter kalových jám</t>
  </si>
  <si>
    <t>Betónová tvarovka š. 0,6m do betónového lôžka hr. 100mm</t>
  </si>
  <si>
    <t xml:space="preserve">45.23.15 </t>
  </si>
  <si>
    <t>NATIERAČSKÉ  PRÁCE  CESTNÉHO  DOPRAVNÉHO  ZNAČENIA, PARKOVACÍCH  A  PODOBNÝCH  PLÔCH</t>
  </si>
  <si>
    <t>22250776</t>
  </si>
  <si>
    <t>Doplňujúce konštrukcie,  vodorovné dopravné značenie striekané a náterové</t>
  </si>
  <si>
    <t>2225077601</t>
  </si>
  <si>
    <t>Doplňujúce konštrukcie,  vodorovné dopravné značenie striekané a náterové vodiacich pruhov</t>
  </si>
  <si>
    <t>Trvalé</t>
  </si>
  <si>
    <t>2225077602</t>
  </si>
  <si>
    <t>Doplňujúce konštrukcie,  vodorovné dopravné značenie striekané a náterové deliacich čiar</t>
  </si>
  <si>
    <t xml:space="preserve">Dočasné </t>
  </si>
  <si>
    <t>91200301</t>
  </si>
  <si>
    <t>Svietidlá a osvetľovacie zariadenia - dopravné značky svetelné</t>
  </si>
  <si>
    <t>9120030101</t>
  </si>
  <si>
    <t>Svietidlá a osvetľovacie zariadenia - dopravné značky svetelné malé</t>
  </si>
  <si>
    <t>Prenosné semafóry</t>
  </si>
  <si>
    <t>22250671</t>
  </si>
  <si>
    <t>Doplňujúce konštrukcie,  zvislé dopravné značky, normálny rozmer</t>
  </si>
  <si>
    <t>2225067106</t>
  </si>
  <si>
    <t>Doplňujúce konštrukcie,  zvislé dopravné značky, normálny rozmer hliníkové reflexné</t>
  </si>
  <si>
    <t>Dočasné dopravné značenie</t>
  </si>
  <si>
    <t>CENA JEDNOT.</t>
  </si>
  <si>
    <t>CENA CELKOM</t>
  </si>
  <si>
    <t>CELKOM</t>
  </si>
  <si>
    <t>Odstránenie asfaltových krytov</t>
  </si>
  <si>
    <t>Odstránenie podkladu</t>
  </si>
  <si>
    <t>05080200</t>
  </si>
  <si>
    <t>Doprava vybúraných hmôt vodorovná</t>
  </si>
  <si>
    <t>0508020003</t>
  </si>
  <si>
    <t>Doprava vybúraných hmôt vodorovná, nad 1 km</t>
  </si>
  <si>
    <t>Odvoz vybúraného priepustu</t>
  </si>
  <si>
    <t>Odvoz vybúraného čela priepustu na vtoku+výustí</t>
  </si>
  <si>
    <t>(odvoz do 15km)</t>
  </si>
  <si>
    <t>úprava pláne, zárez</t>
  </si>
  <si>
    <t>úprava pláne, násyp</t>
  </si>
  <si>
    <t>Odhumusovanie</t>
  </si>
  <si>
    <t>odkop zárezov</t>
  </si>
  <si>
    <t>svahovanie, násyp</t>
  </si>
  <si>
    <t>svahovanie, zárez</t>
  </si>
  <si>
    <t>asfaltová zálievka</t>
  </si>
  <si>
    <t>infiltračný postrek</t>
  </si>
  <si>
    <t>spojovací postrek</t>
  </si>
  <si>
    <t>trativod</t>
  </si>
  <si>
    <t>Rozpočet</t>
  </si>
  <si>
    <t>Náklady z rozpočtov:</t>
  </si>
  <si>
    <t>Cena bez DPH (EUR)</t>
  </si>
  <si>
    <t>Cena s DPH (EUR)</t>
  </si>
  <si>
    <t>Sanácia zosuvov na cestách 3. triedy, Železná Breznica, Lovča, Rykynčice, Prestavlky, Rudno-Voznica, 
-III/2497, Prestavlky</t>
  </si>
  <si>
    <t>Dočasné oceľové zvodidlo úroveň zachytenia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</si>
</sst>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_-* #,##0.00\ _S_k_-;\-* #,##0.00\ _S_k_-;_-* &quot;-&quot;??\ _S_k_-;_-@_-"/>
    <numFmt numFmtId="166" formatCode="00000000"/>
    <numFmt numFmtId="167" formatCode="0000000000"/>
    <numFmt numFmtId="168" formatCode="###0.00"/>
    <numFmt numFmtId="169" formatCode="#,##0.0"/>
    <numFmt numFmtId="170" formatCode="#,###,###,###,##0.00"/>
  </numFmts>
  <fonts count="3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b/>
      <u/>
      <sz val="11"/>
      <color theme="1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  <scheme val="minor"/>
    </font>
    <font>
      <i/>
      <u/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Helv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</font>
    <font>
      <b/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10"/>
      <color indexed="12"/>
      <name val="Arial"/>
      <family val="2"/>
    </font>
    <font>
      <sz val="10"/>
      <name val="Arial"/>
      <family val="2"/>
      <charset val="238"/>
    </font>
    <font>
      <b/>
      <sz val="10"/>
      <color rgb="FF0000FF"/>
      <name val="Arial CE"/>
      <family val="2"/>
      <charset val="238"/>
    </font>
    <font>
      <i/>
      <sz val="10"/>
      <color rgb="FF0000FF"/>
      <name val="Arial CE"/>
      <family val="2"/>
      <charset val="238"/>
    </font>
    <font>
      <b/>
      <sz val="10"/>
      <color rgb="FF0000FF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11"/>
      <color theme="1"/>
      <name val="Arial"/>
      <family val="2"/>
      <charset val="238"/>
      <scheme val="minor"/>
    </font>
    <font>
      <b/>
      <sz val="18"/>
      <color theme="1"/>
      <name val="Arial"/>
      <family val="2"/>
      <charset val="238"/>
      <scheme val="minor"/>
    </font>
    <font>
      <b/>
      <sz val="12"/>
      <color rgb="FF960000"/>
      <name val="Arial CE"/>
    </font>
    <font>
      <i/>
      <sz val="10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24" fillId="0" borderId="0"/>
  </cellStyleXfs>
  <cellXfs count="191">
    <xf numFmtId="0" fontId="0" fillId="0" borderId="0" xfId="0"/>
    <xf numFmtId="0" fontId="8" fillId="0" borderId="0" xfId="3" applyFont="1" applyFill="1"/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/>
    <xf numFmtId="4" fontId="8" fillId="0" borderId="0" xfId="3" applyNumberFormat="1" applyFont="1" applyFill="1" applyBorder="1" applyAlignment="1"/>
    <xf numFmtId="0" fontId="8" fillId="0" borderId="0" xfId="3" applyFont="1" applyFill="1" applyBorder="1" applyAlignment="1">
      <alignment horizontal="center"/>
    </xf>
    <xf numFmtId="3" fontId="8" fillId="0" borderId="0" xfId="3" applyNumberFormat="1" applyFont="1" applyFill="1" applyBorder="1" applyAlignment="1">
      <alignment vertical="top"/>
    </xf>
    <xf numFmtId="0" fontId="8" fillId="0" borderId="1" xfId="3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 vertical="top"/>
    </xf>
    <xf numFmtId="0" fontId="8" fillId="0" borderId="1" xfId="3" applyFont="1" applyFill="1" applyBorder="1" applyAlignment="1">
      <alignment horizontal="center"/>
    </xf>
    <xf numFmtId="3" fontId="8" fillId="0" borderId="0" xfId="3" applyNumberFormat="1" applyFont="1" applyFill="1" applyBorder="1" applyAlignment="1">
      <alignment horizontal="right" vertical="top"/>
    </xf>
    <xf numFmtId="0" fontId="8" fillId="0" borderId="3" xfId="3" applyFont="1" applyFill="1" applyBorder="1" applyAlignment="1">
      <alignment horizontal="centerContinuous"/>
    </xf>
    <xf numFmtId="0" fontId="8" fillId="0" borderId="6" xfId="3" applyFont="1" applyFill="1" applyBorder="1" applyAlignment="1">
      <alignment horizontal="center" vertical="top"/>
    </xf>
    <xf numFmtId="0" fontId="8" fillId="0" borderId="7" xfId="3" applyFont="1" applyFill="1" applyBorder="1" applyAlignment="1">
      <alignment horizontal="center"/>
    </xf>
    <xf numFmtId="0" fontId="9" fillId="0" borderId="11" xfId="3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top" wrapText="1"/>
    </xf>
    <xf numFmtId="0" fontId="9" fillId="0" borderId="12" xfId="3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1" fillId="0" borderId="12" xfId="3" applyFont="1" applyFill="1" applyBorder="1" applyAlignment="1">
      <alignment horizontal="center" vertical="top" wrapText="1"/>
    </xf>
    <xf numFmtId="49" fontId="9" fillId="0" borderId="12" xfId="0" quotePrefix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49" fontId="8" fillId="0" borderId="14" xfId="0" quotePrefix="1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center" vertical="top"/>
    </xf>
    <xf numFmtId="49" fontId="9" fillId="0" borderId="12" xfId="0" quotePrefix="1" applyNumberFormat="1" applyFont="1" applyFill="1" applyBorder="1" applyAlignment="1">
      <alignment horizontal="left" vertical="top"/>
    </xf>
    <xf numFmtId="0" fontId="8" fillId="0" borderId="12" xfId="3" applyNumberFormat="1" applyFont="1" applyFill="1" applyBorder="1" applyAlignment="1" applyProtection="1">
      <alignment horizontal="left" vertical="top" wrapText="1"/>
      <protection locked="0"/>
    </xf>
    <xf numFmtId="0" fontId="9" fillId="0" borderId="12" xfId="3" applyNumberFormat="1" applyFont="1" applyFill="1" applyBorder="1" applyAlignment="1" applyProtection="1">
      <alignment horizontal="left" vertical="top" wrapText="1"/>
      <protection locked="0"/>
    </xf>
    <xf numFmtId="49" fontId="14" fillId="0" borderId="12" xfId="0" applyNumberFormat="1" applyFont="1" applyFill="1" applyBorder="1" applyAlignment="1">
      <alignment vertical="top"/>
    </xf>
    <xf numFmtId="49" fontId="9" fillId="0" borderId="14" xfId="0" applyNumberFormat="1" applyFont="1" applyFill="1" applyBorder="1" applyAlignment="1">
      <alignment horizontal="left" vertical="top"/>
    </xf>
    <xf numFmtId="0" fontId="14" fillId="0" borderId="14" xfId="0" applyFont="1" applyFill="1" applyBorder="1" applyAlignment="1">
      <alignment vertical="top"/>
    </xf>
    <xf numFmtId="49" fontId="14" fillId="0" borderId="14" xfId="0" applyNumberFormat="1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 wrapText="1"/>
    </xf>
    <xf numFmtId="0" fontId="11" fillId="0" borderId="0" xfId="3" applyNumberFormat="1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>
      <alignment vertical="top" wrapText="1"/>
    </xf>
    <xf numFmtId="49" fontId="14" fillId="0" borderId="14" xfId="0" applyNumberFormat="1" applyFont="1" applyFill="1" applyBorder="1" applyAlignment="1">
      <alignment horizontal="left" vertical="top" wrapText="1"/>
    </xf>
    <xf numFmtId="49" fontId="14" fillId="0" borderId="12" xfId="0" applyNumberFormat="1" applyFont="1" applyFill="1" applyBorder="1" applyAlignment="1">
      <alignment vertical="top" wrapText="1"/>
    </xf>
    <xf numFmtId="0" fontId="11" fillId="0" borderId="13" xfId="3" applyNumberFormat="1" applyFont="1" applyFill="1" applyBorder="1" applyAlignment="1" applyProtection="1">
      <alignment horizontal="left" vertical="top" wrapText="1"/>
      <protection locked="0"/>
    </xf>
    <xf numFmtId="0" fontId="11" fillId="0" borderId="12" xfId="3" applyNumberFormat="1" applyFont="1" applyFill="1" applyBorder="1" applyAlignment="1" applyProtection="1">
      <alignment horizontal="center" vertical="top" wrapText="1"/>
      <protection locked="0"/>
    </xf>
    <xf numFmtId="0" fontId="9" fillId="0" borderId="15" xfId="3" applyFont="1" applyFill="1" applyBorder="1" applyAlignment="1">
      <alignment horizontal="center" vertical="top" wrapText="1"/>
    </xf>
    <xf numFmtId="0" fontId="9" fillId="0" borderId="9" xfId="3" applyFont="1" applyFill="1" applyBorder="1" applyAlignment="1">
      <alignment horizontal="center" vertical="top" wrapText="1"/>
    </xf>
    <xf numFmtId="0" fontId="8" fillId="0" borderId="9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11" fillId="0" borderId="7" xfId="3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left" vertical="top"/>
    </xf>
    <xf numFmtId="0" fontId="7" fillId="0" borderId="11" xfId="3" applyFont="1" applyFill="1" applyBorder="1" applyAlignment="1">
      <alignment vertical="top" wrapText="1"/>
    </xf>
    <xf numFmtId="0" fontId="8" fillId="0" borderId="12" xfId="3" applyFont="1" applyFill="1" applyBorder="1" applyAlignment="1">
      <alignment vertical="top" wrapText="1"/>
    </xf>
    <xf numFmtId="49" fontId="9" fillId="0" borderId="12" xfId="3" applyNumberFormat="1" applyFont="1" applyFill="1" applyBorder="1" applyAlignment="1">
      <alignment horizontal="left" vertical="top" wrapText="1"/>
    </xf>
    <xf numFmtId="49" fontId="8" fillId="0" borderId="12" xfId="3" applyNumberFormat="1" applyFont="1" applyFill="1" applyBorder="1" applyAlignment="1">
      <alignment horizontal="left" vertical="top" wrapText="1"/>
    </xf>
    <xf numFmtId="0" fontId="7" fillId="0" borderId="0" xfId="3" applyFont="1" applyFill="1"/>
    <xf numFmtId="0" fontId="9" fillId="0" borderId="0" xfId="3" applyFont="1" applyFill="1"/>
    <xf numFmtId="4" fontId="7" fillId="0" borderId="0" xfId="3" applyNumberFormat="1" applyFont="1" applyFill="1"/>
    <xf numFmtId="3" fontId="7" fillId="0" borderId="0" xfId="3" applyNumberFormat="1" applyFont="1" applyFill="1"/>
    <xf numFmtId="0" fontId="10" fillId="0" borderId="0" xfId="3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0" fillId="0" borderId="11" xfId="3" applyFont="1" applyFill="1" applyBorder="1" applyAlignment="1">
      <alignment horizontal="center" vertical="top"/>
    </xf>
    <xf numFmtId="0" fontId="7" fillId="0" borderId="12" xfId="3" applyFont="1" applyFill="1" applyBorder="1" applyAlignment="1">
      <alignment vertical="top"/>
    </xf>
    <xf numFmtId="49" fontId="15" fillId="0" borderId="12" xfId="3" applyNumberFormat="1" applyFont="1" applyFill="1" applyBorder="1" applyAlignment="1">
      <alignment vertical="top"/>
    </xf>
    <xf numFmtId="0" fontId="0" fillId="0" borderId="0" xfId="0" applyFill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49" fontId="9" fillId="0" borderId="14" xfId="3" quotePrefix="1" applyNumberFormat="1" applyFont="1" applyFill="1" applyBorder="1" applyAlignment="1">
      <alignment horizontal="left" vertical="top"/>
    </xf>
    <xf numFmtId="0" fontId="11" fillId="0" borderId="12" xfId="3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12" xfId="3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9" fillId="0" borderId="7" xfId="3" applyFont="1" applyFill="1" applyBorder="1" applyAlignment="1">
      <alignment vertical="top" wrapText="1"/>
    </xf>
    <xf numFmtId="49" fontId="8" fillId="0" borderId="14" xfId="3" applyNumberFormat="1" applyFont="1" applyFill="1" applyBorder="1" applyAlignment="1">
      <alignment horizontal="left" vertical="top" wrapText="1"/>
    </xf>
    <xf numFmtId="49" fontId="9" fillId="0" borderId="14" xfId="3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top" wrapText="1"/>
    </xf>
    <xf numFmtId="0" fontId="11" fillId="0" borderId="12" xfId="3" applyFont="1" applyBorder="1" applyAlignment="1">
      <alignment horizontal="center" vertical="top" wrapText="1"/>
    </xf>
    <xf numFmtId="0" fontId="8" fillId="0" borderId="12" xfId="3" applyFont="1" applyBorder="1" applyAlignment="1">
      <alignment vertical="top" wrapText="1"/>
    </xf>
    <xf numFmtId="49" fontId="9" fillId="0" borderId="12" xfId="3" applyNumberFormat="1" applyFont="1" applyBorder="1" applyAlignment="1">
      <alignment horizontal="left" vertical="top" wrapText="1"/>
    </xf>
    <xf numFmtId="49" fontId="8" fillId="0" borderId="12" xfId="3" applyNumberFormat="1" applyFont="1" applyBorder="1" applyAlignment="1">
      <alignment horizontal="left" vertical="top" wrapText="1"/>
    </xf>
    <xf numFmtId="0" fontId="11" fillId="0" borderId="0" xfId="3" applyNumberFormat="1" applyFont="1" applyFill="1" applyBorder="1" applyAlignment="1" applyProtection="1">
      <alignment horizontal="right" vertical="top" wrapText="1"/>
      <protection locked="0"/>
    </xf>
    <xf numFmtId="0" fontId="8" fillId="0" borderId="11" xfId="3" applyFont="1" applyFill="1" applyBorder="1" applyAlignment="1">
      <alignment horizontal="center" vertical="top"/>
    </xf>
    <xf numFmtId="0" fontId="14" fillId="0" borderId="13" xfId="0" applyFont="1" applyBorder="1" applyAlignment="1">
      <alignment vertical="top" wrapText="1"/>
    </xf>
    <xf numFmtId="166" fontId="14" fillId="0" borderId="12" xfId="0" applyNumberFormat="1" applyFont="1" applyBorder="1" applyAlignment="1">
      <alignment horizontal="left" vertical="top" wrapText="1"/>
    </xf>
    <xf numFmtId="167" fontId="14" fillId="0" borderId="14" xfId="0" applyNumberFormat="1" applyFont="1" applyBorder="1" applyAlignment="1">
      <alignment horizontal="left" vertical="top" wrapText="1"/>
    </xf>
    <xf numFmtId="0" fontId="7" fillId="0" borderId="12" xfId="3" applyFill="1" applyBorder="1" applyAlignment="1">
      <alignment vertical="top"/>
    </xf>
    <xf numFmtId="0" fontId="9" fillId="0" borderId="0" xfId="0" applyFont="1" applyFill="1" applyAlignment="1">
      <alignment vertical="top" wrapText="1"/>
    </xf>
    <xf numFmtId="4" fontId="12" fillId="0" borderId="0" xfId="3" applyNumberFormat="1" applyFont="1" applyFill="1" applyAlignment="1">
      <alignment horizontal="right" vertical="top"/>
    </xf>
    <xf numFmtId="2" fontId="9" fillId="0" borderId="12" xfId="3" applyNumberFormat="1" applyFont="1" applyFill="1" applyBorder="1" applyAlignment="1">
      <alignment vertical="top"/>
    </xf>
    <xf numFmtId="49" fontId="11" fillId="0" borderId="12" xfId="0" quotePrefix="1" applyNumberFormat="1" applyFont="1" applyFill="1" applyBorder="1" applyAlignment="1">
      <alignment horizontal="left" vertical="top"/>
    </xf>
    <xf numFmtId="49" fontId="11" fillId="0" borderId="1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top" wrapText="1"/>
    </xf>
    <xf numFmtId="0" fontId="11" fillId="0" borderId="12" xfId="0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vertical="top"/>
    </xf>
    <xf numFmtId="166" fontId="8" fillId="0" borderId="14" xfId="0" applyNumberFormat="1" applyFont="1" applyFill="1" applyBorder="1" applyAlignment="1">
      <alignment horizontal="left" vertical="top" wrapText="1"/>
    </xf>
    <xf numFmtId="0" fontId="8" fillId="0" borderId="12" xfId="5" applyFont="1" applyFill="1" applyBorder="1" applyAlignment="1">
      <alignment horizontal="center" vertical="top" wrapText="1"/>
    </xf>
    <xf numFmtId="0" fontId="21" fillId="0" borderId="13" xfId="3" applyFont="1" applyBorder="1" applyAlignment="1">
      <alignment vertical="top" wrapText="1"/>
    </xf>
    <xf numFmtId="168" fontId="22" fillId="0" borderId="14" xfId="3" applyNumberFormat="1" applyFont="1" applyBorder="1" applyAlignment="1" applyProtection="1">
      <alignment horizontal="right" vertical="top" wrapText="1"/>
      <protection locked="0"/>
    </xf>
    <xf numFmtId="0" fontId="22" fillId="0" borderId="12" xfId="3" applyFont="1" applyBorder="1" applyAlignment="1" applyProtection="1">
      <alignment horizontal="center" vertical="top" wrapText="1"/>
      <protection locked="0"/>
    </xf>
    <xf numFmtId="168" fontId="23" fillId="0" borderId="12" xfId="0" applyNumberFormat="1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4" fontId="12" fillId="0" borderId="0" xfId="3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 wrapText="1"/>
    </xf>
    <xf numFmtId="2" fontId="11" fillId="0" borderId="0" xfId="0" applyNumberFormat="1" applyFont="1" applyFill="1" applyBorder="1" applyAlignment="1">
      <alignment vertical="top" wrapText="1"/>
    </xf>
    <xf numFmtId="2" fontId="9" fillId="0" borderId="13" xfId="3" applyNumberFormat="1" applyFont="1" applyFill="1" applyBorder="1" applyAlignment="1">
      <alignment vertical="top"/>
    </xf>
    <xf numFmtId="168" fontId="21" fillId="0" borderId="13" xfId="3" applyNumberFormat="1" applyFont="1" applyBorder="1" applyAlignment="1">
      <alignment vertical="top" wrapText="1"/>
    </xf>
    <xf numFmtId="169" fontId="23" fillId="0" borderId="20" xfId="0" applyNumberFormat="1" applyFont="1" applyBorder="1" applyAlignment="1">
      <alignment vertical="top"/>
    </xf>
    <xf numFmtId="170" fontId="25" fillId="0" borderId="20" xfId="6" applyNumberFormat="1" applyFont="1" applyFill="1" applyBorder="1" applyAlignment="1">
      <alignment vertical="top"/>
    </xf>
    <xf numFmtId="0" fontId="7" fillId="0" borderId="0" xfId="3" applyBorder="1" applyAlignment="1">
      <alignment horizontal="center" vertical="top" wrapText="1"/>
    </xf>
    <xf numFmtId="0" fontId="7" fillId="0" borderId="12" xfId="3" quotePrefix="1" applyBorder="1" applyAlignment="1">
      <alignment horizontal="center" vertical="top"/>
    </xf>
    <xf numFmtId="3" fontId="7" fillId="0" borderId="13" xfId="3" applyNumberFormat="1" applyBorder="1" applyAlignment="1">
      <alignment horizontal="center" vertical="top"/>
    </xf>
    <xf numFmtId="0" fontId="7" fillId="0" borderId="18" xfId="3" applyFont="1" applyFill="1" applyBorder="1" applyAlignment="1">
      <alignment vertical="top"/>
    </xf>
    <xf numFmtId="0" fontId="7" fillId="0" borderId="20" xfId="3" applyFont="1" applyFill="1" applyBorder="1" applyAlignment="1">
      <alignment vertical="top"/>
    </xf>
    <xf numFmtId="0" fontId="11" fillId="0" borderId="13" xfId="3" applyFont="1" applyFill="1" applyBorder="1" applyAlignment="1">
      <alignment horizontal="center" vertical="top"/>
    </xf>
    <xf numFmtId="3" fontId="11" fillId="0" borderId="13" xfId="3" applyNumberFormat="1" applyFont="1" applyFill="1" applyBorder="1" applyAlignment="1">
      <alignment horizontal="center" vertical="top"/>
    </xf>
    <xf numFmtId="0" fontId="8" fillId="0" borderId="13" xfId="3" applyFont="1" applyFill="1" applyBorder="1" applyAlignment="1">
      <alignment horizontal="center" vertical="top"/>
    </xf>
    <xf numFmtId="0" fontId="8" fillId="0" borderId="12" xfId="3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center" vertical="top" wrapText="1"/>
    </xf>
    <xf numFmtId="0" fontId="8" fillId="0" borderId="12" xfId="3" quotePrefix="1" applyFont="1" applyFill="1" applyBorder="1" applyAlignment="1">
      <alignment horizontal="center" vertical="top"/>
    </xf>
    <xf numFmtId="3" fontId="8" fillId="0" borderId="13" xfId="3" applyNumberFormat="1" applyFont="1" applyFill="1" applyBorder="1" applyAlignment="1">
      <alignment horizontal="center" vertical="top"/>
    </xf>
    <xf numFmtId="4" fontId="12" fillId="0" borderId="0" xfId="3" applyNumberFormat="1" applyFont="1" applyFill="1" applyBorder="1" applyAlignment="1">
      <alignment horizontal="center" vertical="top"/>
    </xf>
    <xf numFmtId="2" fontId="13" fillId="0" borderId="13" xfId="3" applyNumberFormat="1" applyFont="1" applyFill="1" applyBorder="1" applyAlignment="1">
      <alignment vertical="top" wrapText="1"/>
    </xf>
    <xf numFmtId="2" fontId="13" fillId="0" borderId="13" xfId="3" applyNumberFormat="1" applyFont="1" applyFill="1" applyBorder="1" applyAlignment="1">
      <alignment vertical="top"/>
    </xf>
    <xf numFmtId="0" fontId="18" fillId="0" borderId="0" xfId="0" applyFont="1" applyFill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2" fontId="7" fillId="0" borderId="13" xfId="3" applyNumberFormat="1" applyFont="1" applyFill="1" applyBorder="1" applyAlignment="1">
      <alignment vertical="top" wrapText="1"/>
    </xf>
    <xf numFmtId="49" fontId="11" fillId="0" borderId="0" xfId="3" applyNumberFormat="1" applyFont="1" applyFill="1" applyBorder="1" applyAlignment="1" applyProtection="1">
      <alignment horizontal="left" vertical="top"/>
      <protection locked="0"/>
    </xf>
    <xf numFmtId="49" fontId="9" fillId="0" borderId="12" xfId="3" applyNumberFormat="1" applyFont="1" applyFill="1" applyBorder="1" applyAlignment="1">
      <alignment vertical="top" wrapText="1"/>
    </xf>
    <xf numFmtId="49" fontId="8" fillId="0" borderId="12" xfId="3" applyNumberFormat="1" applyFont="1" applyFill="1" applyBorder="1" applyAlignment="1">
      <alignment vertical="top" wrapText="1"/>
    </xf>
    <xf numFmtId="0" fontId="7" fillId="0" borderId="11" xfId="3" applyFont="1" applyFill="1" applyBorder="1" applyAlignment="1">
      <alignment vertical="top"/>
    </xf>
    <xf numFmtId="2" fontId="18" fillId="0" borderId="0" xfId="0" applyNumberFormat="1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4" fontId="12" fillId="0" borderId="0" xfId="3" applyNumberFormat="1" applyFont="1" applyBorder="1" applyAlignment="1">
      <alignment horizontal="center" vertical="top"/>
    </xf>
    <xf numFmtId="2" fontId="13" fillId="0" borderId="13" xfId="3" applyNumberFormat="1" applyFont="1" applyBorder="1" applyAlignment="1">
      <alignment vertical="top" wrapText="1"/>
    </xf>
    <xf numFmtId="2" fontId="13" fillId="0" borderId="1" xfId="3" applyNumberFormat="1" applyFont="1" applyFill="1" applyBorder="1" applyAlignment="1">
      <alignment vertical="top" wrapText="1"/>
    </xf>
    <xf numFmtId="0" fontId="7" fillId="0" borderId="7" xfId="3" applyFont="1" applyFill="1" applyBorder="1" applyAlignment="1">
      <alignment vertical="top"/>
    </xf>
    <xf numFmtId="0" fontId="7" fillId="0" borderId="16" xfId="3" applyFont="1" applyFill="1" applyBorder="1" applyAlignment="1">
      <alignment vertical="top"/>
    </xf>
    <xf numFmtId="0" fontId="20" fillId="0" borderId="11" xfId="3" applyFont="1" applyFill="1" applyBorder="1" applyAlignment="1">
      <alignment horizontal="center" vertical="top"/>
    </xf>
    <xf numFmtId="0" fontId="8" fillId="0" borderId="0" xfId="0" applyFont="1" applyFill="1" applyAlignment="1">
      <alignment vertical="top" wrapText="1"/>
    </xf>
    <xf numFmtId="0" fontId="7" fillId="0" borderId="0" xfId="3" applyFill="1" applyAlignment="1">
      <alignment vertical="top"/>
    </xf>
    <xf numFmtId="2" fontId="7" fillId="0" borderId="12" xfId="3" applyNumberFormat="1" applyFill="1" applyBorder="1" applyAlignment="1">
      <alignment vertical="top"/>
    </xf>
    <xf numFmtId="0" fontId="7" fillId="0" borderId="20" xfId="3" applyFill="1" applyBorder="1" applyAlignment="1">
      <alignment vertical="top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0" fontId="26" fillId="0" borderId="11" xfId="3" applyFont="1" applyFill="1" applyBorder="1" applyAlignment="1">
      <alignment horizontal="center" vertical="top"/>
    </xf>
    <xf numFmtId="0" fontId="27" fillId="0" borderId="12" xfId="3" applyFont="1" applyFill="1" applyBorder="1" applyAlignment="1">
      <alignment horizontal="center" vertical="top" wrapText="1"/>
    </xf>
    <xf numFmtId="0" fontId="27" fillId="0" borderId="12" xfId="3" applyFont="1" applyFill="1" applyBorder="1" applyAlignment="1" applyProtection="1">
      <alignment horizontal="left" vertical="top" wrapText="1"/>
      <protection locked="0"/>
    </xf>
    <xf numFmtId="49" fontId="11" fillId="0" borderId="14" xfId="0" quotePrefix="1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 wrapText="1"/>
    </xf>
    <xf numFmtId="4" fontId="17" fillId="0" borderId="0" xfId="3" applyNumberFormat="1" applyFont="1" applyFill="1" applyAlignment="1">
      <alignment horizontal="right" vertical="top"/>
    </xf>
    <xf numFmtId="2" fontId="27" fillId="0" borderId="12" xfId="3" applyNumberFormat="1" applyFont="1" applyFill="1" applyBorder="1" applyAlignment="1">
      <alignment vertical="top" wrapText="1"/>
    </xf>
    <xf numFmtId="0" fontId="11" fillId="0" borderId="12" xfId="3" applyFont="1" applyFill="1" applyBorder="1" applyAlignment="1">
      <alignment vertical="top"/>
    </xf>
    <xf numFmtId="0" fontId="11" fillId="0" borderId="20" xfId="3" applyFont="1" applyFill="1" applyBorder="1" applyAlignment="1">
      <alignment vertical="top"/>
    </xf>
    <xf numFmtId="0" fontId="11" fillId="0" borderId="0" xfId="3" applyFont="1" applyFill="1" applyAlignment="1">
      <alignment vertical="top"/>
    </xf>
    <xf numFmtId="0" fontId="28" fillId="0" borderId="0" xfId="0" applyFont="1" applyFill="1" applyAlignment="1">
      <alignment horizontal="center" vertical="top"/>
    </xf>
    <xf numFmtId="164" fontId="28" fillId="0" borderId="0" xfId="0" applyNumberFormat="1" applyFont="1" applyFill="1" applyAlignment="1">
      <alignment horizontal="center" vertical="top"/>
    </xf>
    <xf numFmtId="2" fontId="11" fillId="0" borderId="17" xfId="0" applyNumberFormat="1" applyFont="1" applyFill="1" applyBorder="1" applyAlignment="1">
      <alignment vertical="top" wrapText="1"/>
    </xf>
    <xf numFmtId="0" fontId="7" fillId="0" borderId="12" xfId="3" applyFill="1" applyBorder="1" applyAlignment="1" applyProtection="1">
      <alignment horizontal="left" vertical="top" wrapText="1"/>
      <protection locked="0"/>
    </xf>
    <xf numFmtId="2" fontId="9" fillId="0" borderId="12" xfId="3" applyNumberFormat="1" applyFont="1" applyFill="1" applyBorder="1" applyAlignment="1">
      <alignment vertical="top" wrapText="1"/>
    </xf>
    <xf numFmtId="0" fontId="7" fillId="0" borderId="12" xfId="3" applyFill="1" applyBorder="1" applyAlignment="1">
      <alignment horizontal="center" vertical="top" wrapText="1"/>
    </xf>
    <xf numFmtId="0" fontId="7" fillId="0" borderId="0" xfId="3" applyFill="1" applyAlignment="1">
      <alignment horizontal="right" vertical="top"/>
    </xf>
    <xf numFmtId="2" fontId="7" fillId="0" borderId="12" xfId="3" applyNumberForma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horizontal="left" wrapText="1"/>
    </xf>
    <xf numFmtId="4" fontId="30" fillId="2" borderId="0" xfId="0" applyNumberFormat="1" applyFont="1" applyFill="1" applyAlignment="1">
      <alignment vertical="center"/>
    </xf>
    <xf numFmtId="0" fontId="0" fillId="2" borderId="0" xfId="0" applyFill="1"/>
    <xf numFmtId="4" fontId="30" fillId="0" borderId="0" xfId="0" applyNumberFormat="1" applyFont="1" applyAlignment="1">
      <alignment vertical="center"/>
    </xf>
    <xf numFmtId="0" fontId="29" fillId="2" borderId="0" xfId="0" applyFont="1" applyFill="1" applyAlignment="1">
      <alignment horizontal="center"/>
    </xf>
    <xf numFmtId="0" fontId="9" fillId="0" borderId="0" xfId="3" applyFont="1" applyFill="1" applyAlignment="1">
      <alignment horizontal="left" wrapText="1"/>
    </xf>
    <xf numFmtId="0" fontId="9" fillId="0" borderId="0" xfId="3" applyFont="1" applyFill="1" applyAlignment="1">
      <alignment horizontal="right" wrapText="1"/>
    </xf>
    <xf numFmtId="0" fontId="7" fillId="0" borderId="19" xfId="3" quotePrefix="1" applyBorder="1" applyAlignment="1">
      <alignment horizontal="center" vertical="top" wrapText="1"/>
    </xf>
    <xf numFmtId="0" fontId="7" fillId="0" borderId="16" xfId="3" quotePrefix="1" applyBorder="1" applyAlignment="1">
      <alignment horizontal="center" vertical="top" wrapText="1"/>
    </xf>
    <xf numFmtId="0" fontId="8" fillId="0" borderId="2" xfId="3" applyFont="1" applyFill="1" applyBorder="1" applyAlignment="1">
      <alignment horizontal="center" vertical="top"/>
    </xf>
    <xf numFmtId="0" fontId="8" fillId="0" borderId="3" xfId="3" applyFont="1" applyFill="1" applyBorder="1" applyAlignment="1">
      <alignment horizontal="center" vertical="top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3" xfId="3" quotePrefix="1" applyFont="1" applyFill="1" applyBorder="1" applyAlignment="1">
      <alignment horizontal="center" vertical="center"/>
    </xf>
    <xf numFmtId="0" fontId="8" fillId="0" borderId="10" xfId="3" quotePrefix="1" applyFont="1" applyFill="1" applyBorder="1" applyAlignment="1">
      <alignment horizontal="center" vertical="center"/>
    </xf>
    <xf numFmtId="3" fontId="8" fillId="0" borderId="21" xfId="3" applyNumberFormat="1" applyFont="1" applyFill="1" applyBorder="1" applyAlignment="1">
      <alignment horizontal="center" vertical="center"/>
    </xf>
    <xf numFmtId="3" fontId="8" fillId="0" borderId="22" xfId="3" applyNumberFormat="1" applyFont="1" applyFill="1" applyBorder="1" applyAlignment="1">
      <alignment horizontal="center" vertical="center"/>
    </xf>
    <xf numFmtId="0" fontId="7" fillId="0" borderId="18" xfId="3" quotePrefix="1" applyBorder="1" applyAlignment="1">
      <alignment horizontal="center" vertical="top" wrapText="1"/>
    </xf>
    <xf numFmtId="0" fontId="7" fillId="0" borderId="7" xfId="3" quotePrefix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2" fontId="31" fillId="0" borderId="0" xfId="0" applyNumberFormat="1" applyFont="1" applyFill="1" applyBorder="1" applyAlignment="1">
      <alignment vertical="top" wrapText="1"/>
    </xf>
    <xf numFmtId="0" fontId="31" fillId="0" borderId="12" xfId="0" applyFont="1" applyFill="1" applyBorder="1" applyAlignment="1">
      <alignment horizontal="center" vertical="top"/>
    </xf>
  </cellXfs>
  <cellStyles count="7">
    <cellStyle name="Čiarka 2" xfId="4"/>
    <cellStyle name="Font_Ariel_Small" xfId="6"/>
    <cellStyle name="Normálna" xfId="0" builtinId="0"/>
    <cellStyle name="Normálna 2" xfId="3"/>
    <cellStyle name="normálne_7331-R2_Orientačný rozpočet-def_exp_nový" xfId="1"/>
    <cellStyle name="normálne_popisovník-10.08.06" xfId="5"/>
    <cellStyle name="Štýl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HZ">
  <a:themeElements>
    <a:clrScheme name="BHZ">
      <a:dk1>
        <a:srgbClr val="000000"/>
      </a:dk1>
      <a:lt1>
        <a:srgbClr val="FFFFFF"/>
      </a:lt1>
      <a:dk2>
        <a:srgbClr val="B46EAF"/>
      </a:dk2>
      <a:lt2>
        <a:srgbClr val="965096"/>
      </a:lt2>
      <a:accent1>
        <a:srgbClr val="82C3EB"/>
      </a:accent1>
      <a:accent2>
        <a:srgbClr val="50AAE1"/>
      </a:accent2>
      <a:accent3>
        <a:srgbClr val="A0CD5F"/>
      </a:accent3>
      <a:accent4>
        <a:srgbClr val="6EB946"/>
      </a:accent4>
      <a:accent5>
        <a:srgbClr val="F5A04B"/>
      </a:accent5>
      <a:accent6>
        <a:srgbClr val="EB6932"/>
      </a:accent6>
      <a:hlink>
        <a:srgbClr val="50AAE1"/>
      </a:hlink>
      <a:folHlink>
        <a:srgbClr val="327DAA"/>
      </a:folHlink>
    </a:clrScheme>
    <a:fontScheme name="BH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00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>
          <a:defRPr sz="100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BreakPreview" zoomScale="60" zoomScaleNormal="100" workbookViewId="0">
      <selection activeCell="H27" sqref="H27"/>
    </sheetView>
  </sheetViews>
  <sheetFormatPr defaultRowHeight="14.25" x14ac:dyDescent="0.2"/>
  <cols>
    <col min="7" max="7" width="12.75" bestFit="1" customWidth="1"/>
    <col min="9" max="9" width="11.125" bestFit="1" customWidth="1"/>
    <col min="10" max="10" width="12.75" bestFit="1" customWidth="1"/>
  </cols>
  <sheetData>
    <row r="1" spans="1:13" ht="23.25" x14ac:dyDescent="0.35">
      <c r="A1" s="171" t="s">
        <v>363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3" ht="28.5" customHeight="1" x14ac:dyDescent="0.2">
      <c r="A2" s="166" t="s">
        <v>0</v>
      </c>
      <c r="B2" s="172" t="s">
        <v>367</v>
      </c>
      <c r="C2" s="172"/>
      <c r="D2" s="172"/>
      <c r="E2" s="172"/>
      <c r="F2" s="172"/>
      <c r="G2" s="172"/>
      <c r="H2" s="172"/>
      <c r="I2" s="172"/>
      <c r="J2" s="172"/>
    </row>
    <row r="3" spans="1:13" x14ac:dyDescent="0.2">
      <c r="A3" s="166" t="s">
        <v>364</v>
      </c>
      <c r="B3" s="167"/>
      <c r="C3" s="167"/>
      <c r="D3" s="167"/>
      <c r="E3" s="167"/>
      <c r="F3" s="173" t="s">
        <v>365</v>
      </c>
      <c r="G3" s="173"/>
      <c r="H3" s="167"/>
      <c r="I3" s="173" t="s">
        <v>366</v>
      </c>
      <c r="J3" s="173"/>
    </row>
    <row r="4" spans="1:13" ht="15.75" x14ac:dyDescent="0.2">
      <c r="A4" s="168"/>
      <c r="B4" s="169"/>
      <c r="C4" s="169"/>
      <c r="D4" s="169"/>
      <c r="E4" s="169"/>
      <c r="F4" s="169"/>
      <c r="G4" s="168">
        <f>rozpocet!J314</f>
        <v>0</v>
      </c>
      <c r="H4" s="169"/>
      <c r="I4" s="169"/>
      <c r="J4" s="168">
        <f>G4*1.2</f>
        <v>0</v>
      </c>
    </row>
    <row r="12" spans="1:13" ht="15.75" x14ac:dyDescent="0.2">
      <c r="G12" s="170"/>
      <c r="H12" s="170"/>
      <c r="I12" s="170"/>
      <c r="J12" s="170"/>
      <c r="K12" s="170"/>
      <c r="L12" s="170"/>
      <c r="M12" s="170"/>
    </row>
  </sheetData>
  <mergeCells count="4">
    <mergeCell ref="A1:J1"/>
    <mergeCell ref="B2:J2"/>
    <mergeCell ref="F3:G3"/>
    <mergeCell ref="I3:J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6"/>
  <sheetViews>
    <sheetView tabSelected="1" view="pageBreakPreview" zoomScaleNormal="100" zoomScaleSheetLayoutView="100" workbookViewId="0">
      <pane ySplit="5" topLeftCell="A222" activePane="bottomLeft" state="frozen"/>
      <selection pane="bottomLeft" activeCell="E227" sqref="E227"/>
    </sheetView>
  </sheetViews>
  <sheetFormatPr defaultRowHeight="12.75" x14ac:dyDescent="0.2"/>
  <cols>
    <col min="1" max="1" width="4.125" style="54" customWidth="1"/>
    <col min="2" max="2" width="7.125" style="54" customWidth="1"/>
    <col min="3" max="3" width="7.875" style="54" customWidth="1"/>
    <col min="4" max="4" width="10.25" style="54" customWidth="1"/>
    <col min="5" max="5" width="46.125" style="54" customWidth="1"/>
    <col min="6" max="6" width="8.625" style="56" customWidth="1"/>
    <col min="7" max="7" width="5" style="54" customWidth="1"/>
    <col min="8" max="8" width="7.625" style="57" customWidth="1"/>
    <col min="9" max="9" width="9" style="54"/>
    <col min="10" max="10" width="10.625" style="54" customWidth="1"/>
    <col min="11" max="256" width="9" style="54"/>
    <col min="257" max="257" width="4.125" style="54" customWidth="1"/>
    <col min="258" max="258" width="7.125" style="54" customWidth="1"/>
    <col min="259" max="259" width="7.875" style="54" customWidth="1"/>
    <col min="260" max="260" width="9.5" style="54" customWidth="1"/>
    <col min="261" max="261" width="46.125" style="54" customWidth="1"/>
    <col min="262" max="262" width="8.625" style="54" customWidth="1"/>
    <col min="263" max="263" width="5" style="54" customWidth="1"/>
    <col min="264" max="264" width="7.625" style="54" customWidth="1"/>
    <col min="265" max="512" width="9" style="54"/>
    <col min="513" max="513" width="4.125" style="54" customWidth="1"/>
    <col min="514" max="514" width="7.125" style="54" customWidth="1"/>
    <col min="515" max="515" width="7.875" style="54" customWidth="1"/>
    <col min="516" max="516" width="9.5" style="54" customWidth="1"/>
    <col min="517" max="517" width="46.125" style="54" customWidth="1"/>
    <col min="518" max="518" width="8.625" style="54" customWidth="1"/>
    <col min="519" max="519" width="5" style="54" customWidth="1"/>
    <col min="520" max="520" width="7.625" style="54" customWidth="1"/>
    <col min="521" max="768" width="9" style="54"/>
    <col min="769" max="769" width="4.125" style="54" customWidth="1"/>
    <col min="770" max="770" width="7.125" style="54" customWidth="1"/>
    <col min="771" max="771" width="7.875" style="54" customWidth="1"/>
    <col min="772" max="772" width="9.5" style="54" customWidth="1"/>
    <col min="773" max="773" width="46.125" style="54" customWidth="1"/>
    <col min="774" max="774" width="8.625" style="54" customWidth="1"/>
    <col min="775" max="775" width="5" style="54" customWidth="1"/>
    <col min="776" max="776" width="7.625" style="54" customWidth="1"/>
    <col min="777" max="1024" width="9" style="54"/>
    <col min="1025" max="1025" width="4.125" style="54" customWidth="1"/>
    <col min="1026" max="1026" width="7.125" style="54" customWidth="1"/>
    <col min="1027" max="1027" width="7.875" style="54" customWidth="1"/>
    <col min="1028" max="1028" width="9.5" style="54" customWidth="1"/>
    <col min="1029" max="1029" width="46.125" style="54" customWidth="1"/>
    <col min="1030" max="1030" width="8.625" style="54" customWidth="1"/>
    <col min="1031" max="1031" width="5" style="54" customWidth="1"/>
    <col min="1032" max="1032" width="7.625" style="54" customWidth="1"/>
    <col min="1033" max="1280" width="9" style="54"/>
    <col min="1281" max="1281" width="4.125" style="54" customWidth="1"/>
    <col min="1282" max="1282" width="7.125" style="54" customWidth="1"/>
    <col min="1283" max="1283" width="7.875" style="54" customWidth="1"/>
    <col min="1284" max="1284" width="9.5" style="54" customWidth="1"/>
    <col min="1285" max="1285" width="46.125" style="54" customWidth="1"/>
    <col min="1286" max="1286" width="8.625" style="54" customWidth="1"/>
    <col min="1287" max="1287" width="5" style="54" customWidth="1"/>
    <col min="1288" max="1288" width="7.625" style="54" customWidth="1"/>
    <col min="1289" max="1536" width="9" style="54"/>
    <col min="1537" max="1537" width="4.125" style="54" customWidth="1"/>
    <col min="1538" max="1538" width="7.125" style="54" customWidth="1"/>
    <col min="1539" max="1539" width="7.875" style="54" customWidth="1"/>
    <col min="1540" max="1540" width="9.5" style="54" customWidth="1"/>
    <col min="1541" max="1541" width="46.125" style="54" customWidth="1"/>
    <col min="1542" max="1542" width="8.625" style="54" customWidth="1"/>
    <col min="1543" max="1543" width="5" style="54" customWidth="1"/>
    <col min="1544" max="1544" width="7.625" style="54" customWidth="1"/>
    <col min="1545" max="1792" width="9" style="54"/>
    <col min="1793" max="1793" width="4.125" style="54" customWidth="1"/>
    <col min="1794" max="1794" width="7.125" style="54" customWidth="1"/>
    <col min="1795" max="1795" width="7.875" style="54" customWidth="1"/>
    <col min="1796" max="1796" width="9.5" style="54" customWidth="1"/>
    <col min="1797" max="1797" width="46.125" style="54" customWidth="1"/>
    <col min="1798" max="1798" width="8.625" style="54" customWidth="1"/>
    <col min="1799" max="1799" width="5" style="54" customWidth="1"/>
    <col min="1800" max="1800" width="7.625" style="54" customWidth="1"/>
    <col min="1801" max="2048" width="9" style="54"/>
    <col min="2049" max="2049" width="4.125" style="54" customWidth="1"/>
    <col min="2050" max="2050" width="7.125" style="54" customWidth="1"/>
    <col min="2051" max="2051" width="7.875" style="54" customWidth="1"/>
    <col min="2052" max="2052" width="9.5" style="54" customWidth="1"/>
    <col min="2053" max="2053" width="46.125" style="54" customWidth="1"/>
    <col min="2054" max="2054" width="8.625" style="54" customWidth="1"/>
    <col min="2055" max="2055" width="5" style="54" customWidth="1"/>
    <col min="2056" max="2056" width="7.625" style="54" customWidth="1"/>
    <col min="2057" max="2304" width="9" style="54"/>
    <col min="2305" max="2305" width="4.125" style="54" customWidth="1"/>
    <col min="2306" max="2306" width="7.125" style="54" customWidth="1"/>
    <col min="2307" max="2307" width="7.875" style="54" customWidth="1"/>
    <col min="2308" max="2308" width="9.5" style="54" customWidth="1"/>
    <col min="2309" max="2309" width="46.125" style="54" customWidth="1"/>
    <col min="2310" max="2310" width="8.625" style="54" customWidth="1"/>
    <col min="2311" max="2311" width="5" style="54" customWidth="1"/>
    <col min="2312" max="2312" width="7.625" style="54" customWidth="1"/>
    <col min="2313" max="2560" width="9" style="54"/>
    <col min="2561" max="2561" width="4.125" style="54" customWidth="1"/>
    <col min="2562" max="2562" width="7.125" style="54" customWidth="1"/>
    <col min="2563" max="2563" width="7.875" style="54" customWidth="1"/>
    <col min="2564" max="2564" width="9.5" style="54" customWidth="1"/>
    <col min="2565" max="2565" width="46.125" style="54" customWidth="1"/>
    <col min="2566" max="2566" width="8.625" style="54" customWidth="1"/>
    <col min="2567" max="2567" width="5" style="54" customWidth="1"/>
    <col min="2568" max="2568" width="7.625" style="54" customWidth="1"/>
    <col min="2569" max="2816" width="9" style="54"/>
    <col min="2817" max="2817" width="4.125" style="54" customWidth="1"/>
    <col min="2818" max="2818" width="7.125" style="54" customWidth="1"/>
    <col min="2819" max="2819" width="7.875" style="54" customWidth="1"/>
    <col min="2820" max="2820" width="9.5" style="54" customWidth="1"/>
    <col min="2821" max="2821" width="46.125" style="54" customWidth="1"/>
    <col min="2822" max="2822" width="8.625" style="54" customWidth="1"/>
    <col min="2823" max="2823" width="5" style="54" customWidth="1"/>
    <col min="2824" max="2824" width="7.625" style="54" customWidth="1"/>
    <col min="2825" max="3072" width="9" style="54"/>
    <col min="3073" max="3073" width="4.125" style="54" customWidth="1"/>
    <col min="3074" max="3074" width="7.125" style="54" customWidth="1"/>
    <col min="3075" max="3075" width="7.875" style="54" customWidth="1"/>
    <col min="3076" max="3076" width="9.5" style="54" customWidth="1"/>
    <col min="3077" max="3077" width="46.125" style="54" customWidth="1"/>
    <col min="3078" max="3078" width="8.625" style="54" customWidth="1"/>
    <col min="3079" max="3079" width="5" style="54" customWidth="1"/>
    <col min="3080" max="3080" width="7.625" style="54" customWidth="1"/>
    <col min="3081" max="3328" width="9" style="54"/>
    <col min="3329" max="3329" width="4.125" style="54" customWidth="1"/>
    <col min="3330" max="3330" width="7.125" style="54" customWidth="1"/>
    <col min="3331" max="3331" width="7.875" style="54" customWidth="1"/>
    <col min="3332" max="3332" width="9.5" style="54" customWidth="1"/>
    <col min="3333" max="3333" width="46.125" style="54" customWidth="1"/>
    <col min="3334" max="3334" width="8.625" style="54" customWidth="1"/>
    <col min="3335" max="3335" width="5" style="54" customWidth="1"/>
    <col min="3336" max="3336" width="7.625" style="54" customWidth="1"/>
    <col min="3337" max="3584" width="9" style="54"/>
    <col min="3585" max="3585" width="4.125" style="54" customWidth="1"/>
    <col min="3586" max="3586" width="7.125" style="54" customWidth="1"/>
    <col min="3587" max="3587" width="7.875" style="54" customWidth="1"/>
    <col min="3588" max="3588" width="9.5" style="54" customWidth="1"/>
    <col min="3589" max="3589" width="46.125" style="54" customWidth="1"/>
    <col min="3590" max="3590" width="8.625" style="54" customWidth="1"/>
    <col min="3591" max="3591" width="5" style="54" customWidth="1"/>
    <col min="3592" max="3592" width="7.625" style="54" customWidth="1"/>
    <col min="3593" max="3840" width="9" style="54"/>
    <col min="3841" max="3841" width="4.125" style="54" customWidth="1"/>
    <col min="3842" max="3842" width="7.125" style="54" customWidth="1"/>
    <col min="3843" max="3843" width="7.875" style="54" customWidth="1"/>
    <col min="3844" max="3844" width="9.5" style="54" customWidth="1"/>
    <col min="3845" max="3845" width="46.125" style="54" customWidth="1"/>
    <col min="3846" max="3846" width="8.625" style="54" customWidth="1"/>
    <col min="3847" max="3847" width="5" style="54" customWidth="1"/>
    <col min="3848" max="3848" width="7.625" style="54" customWidth="1"/>
    <col min="3849" max="4096" width="9" style="54"/>
    <col min="4097" max="4097" width="4.125" style="54" customWidth="1"/>
    <col min="4098" max="4098" width="7.125" style="54" customWidth="1"/>
    <col min="4099" max="4099" width="7.875" style="54" customWidth="1"/>
    <col min="4100" max="4100" width="9.5" style="54" customWidth="1"/>
    <col min="4101" max="4101" width="46.125" style="54" customWidth="1"/>
    <col min="4102" max="4102" width="8.625" style="54" customWidth="1"/>
    <col min="4103" max="4103" width="5" style="54" customWidth="1"/>
    <col min="4104" max="4104" width="7.625" style="54" customWidth="1"/>
    <col min="4105" max="4352" width="9" style="54"/>
    <col min="4353" max="4353" width="4.125" style="54" customWidth="1"/>
    <col min="4354" max="4354" width="7.125" style="54" customWidth="1"/>
    <col min="4355" max="4355" width="7.875" style="54" customWidth="1"/>
    <col min="4356" max="4356" width="9.5" style="54" customWidth="1"/>
    <col min="4357" max="4357" width="46.125" style="54" customWidth="1"/>
    <col min="4358" max="4358" width="8.625" style="54" customWidth="1"/>
    <col min="4359" max="4359" width="5" style="54" customWidth="1"/>
    <col min="4360" max="4360" width="7.625" style="54" customWidth="1"/>
    <col min="4361" max="4608" width="9" style="54"/>
    <col min="4609" max="4609" width="4.125" style="54" customWidth="1"/>
    <col min="4610" max="4610" width="7.125" style="54" customWidth="1"/>
    <col min="4611" max="4611" width="7.875" style="54" customWidth="1"/>
    <col min="4612" max="4612" width="9.5" style="54" customWidth="1"/>
    <col min="4613" max="4613" width="46.125" style="54" customWidth="1"/>
    <col min="4614" max="4614" width="8.625" style="54" customWidth="1"/>
    <col min="4615" max="4615" width="5" style="54" customWidth="1"/>
    <col min="4616" max="4616" width="7.625" style="54" customWidth="1"/>
    <col min="4617" max="4864" width="9" style="54"/>
    <col min="4865" max="4865" width="4.125" style="54" customWidth="1"/>
    <col min="4866" max="4866" width="7.125" style="54" customWidth="1"/>
    <col min="4867" max="4867" width="7.875" style="54" customWidth="1"/>
    <col min="4868" max="4868" width="9.5" style="54" customWidth="1"/>
    <col min="4869" max="4869" width="46.125" style="54" customWidth="1"/>
    <col min="4870" max="4870" width="8.625" style="54" customWidth="1"/>
    <col min="4871" max="4871" width="5" style="54" customWidth="1"/>
    <col min="4872" max="4872" width="7.625" style="54" customWidth="1"/>
    <col min="4873" max="5120" width="9" style="54"/>
    <col min="5121" max="5121" width="4.125" style="54" customWidth="1"/>
    <col min="5122" max="5122" width="7.125" style="54" customWidth="1"/>
    <col min="5123" max="5123" width="7.875" style="54" customWidth="1"/>
    <col min="5124" max="5124" width="9.5" style="54" customWidth="1"/>
    <col min="5125" max="5125" width="46.125" style="54" customWidth="1"/>
    <col min="5126" max="5126" width="8.625" style="54" customWidth="1"/>
    <col min="5127" max="5127" width="5" style="54" customWidth="1"/>
    <col min="5128" max="5128" width="7.625" style="54" customWidth="1"/>
    <col min="5129" max="5376" width="9" style="54"/>
    <col min="5377" max="5377" width="4.125" style="54" customWidth="1"/>
    <col min="5378" max="5378" width="7.125" style="54" customWidth="1"/>
    <col min="5379" max="5379" width="7.875" style="54" customWidth="1"/>
    <col min="5380" max="5380" width="9.5" style="54" customWidth="1"/>
    <col min="5381" max="5381" width="46.125" style="54" customWidth="1"/>
    <col min="5382" max="5382" width="8.625" style="54" customWidth="1"/>
    <col min="5383" max="5383" width="5" style="54" customWidth="1"/>
    <col min="5384" max="5384" width="7.625" style="54" customWidth="1"/>
    <col min="5385" max="5632" width="9" style="54"/>
    <col min="5633" max="5633" width="4.125" style="54" customWidth="1"/>
    <col min="5634" max="5634" width="7.125" style="54" customWidth="1"/>
    <col min="5635" max="5635" width="7.875" style="54" customWidth="1"/>
    <col min="5636" max="5636" width="9.5" style="54" customWidth="1"/>
    <col min="5637" max="5637" width="46.125" style="54" customWidth="1"/>
    <col min="5638" max="5638" width="8.625" style="54" customWidth="1"/>
    <col min="5639" max="5639" width="5" style="54" customWidth="1"/>
    <col min="5640" max="5640" width="7.625" style="54" customWidth="1"/>
    <col min="5641" max="5888" width="9" style="54"/>
    <col min="5889" max="5889" width="4.125" style="54" customWidth="1"/>
    <col min="5890" max="5890" width="7.125" style="54" customWidth="1"/>
    <col min="5891" max="5891" width="7.875" style="54" customWidth="1"/>
    <col min="5892" max="5892" width="9.5" style="54" customWidth="1"/>
    <col min="5893" max="5893" width="46.125" style="54" customWidth="1"/>
    <col min="5894" max="5894" width="8.625" style="54" customWidth="1"/>
    <col min="5895" max="5895" width="5" style="54" customWidth="1"/>
    <col min="5896" max="5896" width="7.625" style="54" customWidth="1"/>
    <col min="5897" max="6144" width="9" style="54"/>
    <col min="6145" max="6145" width="4.125" style="54" customWidth="1"/>
    <col min="6146" max="6146" width="7.125" style="54" customWidth="1"/>
    <col min="6147" max="6147" width="7.875" style="54" customWidth="1"/>
    <col min="6148" max="6148" width="9.5" style="54" customWidth="1"/>
    <col min="6149" max="6149" width="46.125" style="54" customWidth="1"/>
    <col min="6150" max="6150" width="8.625" style="54" customWidth="1"/>
    <col min="6151" max="6151" width="5" style="54" customWidth="1"/>
    <col min="6152" max="6152" width="7.625" style="54" customWidth="1"/>
    <col min="6153" max="6400" width="9" style="54"/>
    <col min="6401" max="6401" width="4.125" style="54" customWidth="1"/>
    <col min="6402" max="6402" width="7.125" style="54" customWidth="1"/>
    <col min="6403" max="6403" width="7.875" style="54" customWidth="1"/>
    <col min="6404" max="6404" width="9.5" style="54" customWidth="1"/>
    <col min="6405" max="6405" width="46.125" style="54" customWidth="1"/>
    <col min="6406" max="6406" width="8.625" style="54" customWidth="1"/>
    <col min="6407" max="6407" width="5" style="54" customWidth="1"/>
    <col min="6408" max="6408" width="7.625" style="54" customWidth="1"/>
    <col min="6409" max="6656" width="9" style="54"/>
    <col min="6657" max="6657" width="4.125" style="54" customWidth="1"/>
    <col min="6658" max="6658" width="7.125" style="54" customWidth="1"/>
    <col min="6659" max="6659" width="7.875" style="54" customWidth="1"/>
    <col min="6660" max="6660" width="9.5" style="54" customWidth="1"/>
    <col min="6661" max="6661" width="46.125" style="54" customWidth="1"/>
    <col min="6662" max="6662" width="8.625" style="54" customWidth="1"/>
    <col min="6663" max="6663" width="5" style="54" customWidth="1"/>
    <col min="6664" max="6664" width="7.625" style="54" customWidth="1"/>
    <col min="6665" max="6912" width="9" style="54"/>
    <col min="6913" max="6913" width="4.125" style="54" customWidth="1"/>
    <col min="6914" max="6914" width="7.125" style="54" customWidth="1"/>
    <col min="6915" max="6915" width="7.875" style="54" customWidth="1"/>
    <col min="6916" max="6916" width="9.5" style="54" customWidth="1"/>
    <col min="6917" max="6917" width="46.125" style="54" customWidth="1"/>
    <col min="6918" max="6918" width="8.625" style="54" customWidth="1"/>
    <col min="6919" max="6919" width="5" style="54" customWidth="1"/>
    <col min="6920" max="6920" width="7.625" style="54" customWidth="1"/>
    <col min="6921" max="7168" width="9" style="54"/>
    <col min="7169" max="7169" width="4.125" style="54" customWidth="1"/>
    <col min="7170" max="7170" width="7.125" style="54" customWidth="1"/>
    <col min="7171" max="7171" width="7.875" style="54" customWidth="1"/>
    <col min="7172" max="7172" width="9.5" style="54" customWidth="1"/>
    <col min="7173" max="7173" width="46.125" style="54" customWidth="1"/>
    <col min="7174" max="7174" width="8.625" style="54" customWidth="1"/>
    <col min="7175" max="7175" width="5" style="54" customWidth="1"/>
    <col min="7176" max="7176" width="7.625" style="54" customWidth="1"/>
    <col min="7177" max="7424" width="9" style="54"/>
    <col min="7425" max="7425" width="4.125" style="54" customWidth="1"/>
    <col min="7426" max="7426" width="7.125" style="54" customWidth="1"/>
    <col min="7427" max="7427" width="7.875" style="54" customWidth="1"/>
    <col min="7428" max="7428" width="9.5" style="54" customWidth="1"/>
    <col min="7429" max="7429" width="46.125" style="54" customWidth="1"/>
    <col min="7430" max="7430" width="8.625" style="54" customWidth="1"/>
    <col min="7431" max="7431" width="5" style="54" customWidth="1"/>
    <col min="7432" max="7432" width="7.625" style="54" customWidth="1"/>
    <col min="7433" max="7680" width="9" style="54"/>
    <col min="7681" max="7681" width="4.125" style="54" customWidth="1"/>
    <col min="7682" max="7682" width="7.125" style="54" customWidth="1"/>
    <col min="7683" max="7683" width="7.875" style="54" customWidth="1"/>
    <col min="7684" max="7684" width="9.5" style="54" customWidth="1"/>
    <col min="7685" max="7685" width="46.125" style="54" customWidth="1"/>
    <col min="7686" max="7686" width="8.625" style="54" customWidth="1"/>
    <col min="7687" max="7687" width="5" style="54" customWidth="1"/>
    <col min="7688" max="7688" width="7.625" style="54" customWidth="1"/>
    <col min="7689" max="7936" width="9" style="54"/>
    <col min="7937" max="7937" width="4.125" style="54" customWidth="1"/>
    <col min="7938" max="7938" width="7.125" style="54" customWidth="1"/>
    <col min="7939" max="7939" width="7.875" style="54" customWidth="1"/>
    <col min="7940" max="7940" width="9.5" style="54" customWidth="1"/>
    <col min="7941" max="7941" width="46.125" style="54" customWidth="1"/>
    <col min="7942" max="7942" width="8.625" style="54" customWidth="1"/>
    <col min="7943" max="7943" width="5" style="54" customWidth="1"/>
    <col min="7944" max="7944" width="7.625" style="54" customWidth="1"/>
    <col min="7945" max="8192" width="9" style="54"/>
    <col min="8193" max="8193" width="4.125" style="54" customWidth="1"/>
    <col min="8194" max="8194" width="7.125" style="54" customWidth="1"/>
    <col min="8195" max="8195" width="7.875" style="54" customWidth="1"/>
    <col min="8196" max="8196" width="9.5" style="54" customWidth="1"/>
    <col min="8197" max="8197" width="46.125" style="54" customWidth="1"/>
    <col min="8198" max="8198" width="8.625" style="54" customWidth="1"/>
    <col min="8199" max="8199" width="5" style="54" customWidth="1"/>
    <col min="8200" max="8200" width="7.625" style="54" customWidth="1"/>
    <col min="8201" max="8448" width="9" style="54"/>
    <col min="8449" max="8449" width="4.125" style="54" customWidth="1"/>
    <col min="8450" max="8450" width="7.125" style="54" customWidth="1"/>
    <col min="8451" max="8451" width="7.875" style="54" customWidth="1"/>
    <col min="8452" max="8452" width="9.5" style="54" customWidth="1"/>
    <col min="8453" max="8453" width="46.125" style="54" customWidth="1"/>
    <col min="8454" max="8454" width="8.625" style="54" customWidth="1"/>
    <col min="8455" max="8455" width="5" style="54" customWidth="1"/>
    <col min="8456" max="8456" width="7.625" style="54" customWidth="1"/>
    <col min="8457" max="8704" width="9" style="54"/>
    <col min="8705" max="8705" width="4.125" style="54" customWidth="1"/>
    <col min="8706" max="8706" width="7.125" style="54" customWidth="1"/>
    <col min="8707" max="8707" width="7.875" style="54" customWidth="1"/>
    <col min="8708" max="8708" width="9.5" style="54" customWidth="1"/>
    <col min="8709" max="8709" width="46.125" style="54" customWidth="1"/>
    <col min="8710" max="8710" width="8.625" style="54" customWidth="1"/>
    <col min="8711" max="8711" width="5" style="54" customWidth="1"/>
    <col min="8712" max="8712" width="7.625" style="54" customWidth="1"/>
    <col min="8713" max="8960" width="9" style="54"/>
    <col min="8961" max="8961" width="4.125" style="54" customWidth="1"/>
    <col min="8962" max="8962" width="7.125" style="54" customWidth="1"/>
    <col min="8963" max="8963" width="7.875" style="54" customWidth="1"/>
    <col min="8964" max="8964" width="9.5" style="54" customWidth="1"/>
    <col min="8965" max="8965" width="46.125" style="54" customWidth="1"/>
    <col min="8966" max="8966" width="8.625" style="54" customWidth="1"/>
    <col min="8967" max="8967" width="5" style="54" customWidth="1"/>
    <col min="8968" max="8968" width="7.625" style="54" customWidth="1"/>
    <col min="8969" max="9216" width="9" style="54"/>
    <col min="9217" max="9217" width="4.125" style="54" customWidth="1"/>
    <col min="9218" max="9218" width="7.125" style="54" customWidth="1"/>
    <col min="9219" max="9219" width="7.875" style="54" customWidth="1"/>
    <col min="9220" max="9220" width="9.5" style="54" customWidth="1"/>
    <col min="9221" max="9221" width="46.125" style="54" customWidth="1"/>
    <col min="9222" max="9222" width="8.625" style="54" customWidth="1"/>
    <col min="9223" max="9223" width="5" style="54" customWidth="1"/>
    <col min="9224" max="9224" width="7.625" style="54" customWidth="1"/>
    <col min="9225" max="9472" width="9" style="54"/>
    <col min="9473" max="9473" width="4.125" style="54" customWidth="1"/>
    <col min="9474" max="9474" width="7.125" style="54" customWidth="1"/>
    <col min="9475" max="9475" width="7.875" style="54" customWidth="1"/>
    <col min="9476" max="9476" width="9.5" style="54" customWidth="1"/>
    <col min="9477" max="9477" width="46.125" style="54" customWidth="1"/>
    <col min="9478" max="9478" width="8.625" style="54" customWidth="1"/>
    <col min="9479" max="9479" width="5" style="54" customWidth="1"/>
    <col min="9480" max="9480" width="7.625" style="54" customWidth="1"/>
    <col min="9481" max="9728" width="9" style="54"/>
    <col min="9729" max="9729" width="4.125" style="54" customWidth="1"/>
    <col min="9730" max="9730" width="7.125" style="54" customWidth="1"/>
    <col min="9731" max="9731" width="7.875" style="54" customWidth="1"/>
    <col min="9732" max="9732" width="9.5" style="54" customWidth="1"/>
    <col min="9733" max="9733" width="46.125" style="54" customWidth="1"/>
    <col min="9734" max="9734" width="8.625" style="54" customWidth="1"/>
    <col min="9735" max="9735" width="5" style="54" customWidth="1"/>
    <col min="9736" max="9736" width="7.625" style="54" customWidth="1"/>
    <col min="9737" max="9984" width="9" style="54"/>
    <col min="9985" max="9985" width="4.125" style="54" customWidth="1"/>
    <col min="9986" max="9986" width="7.125" style="54" customWidth="1"/>
    <col min="9987" max="9987" width="7.875" style="54" customWidth="1"/>
    <col min="9988" max="9988" width="9.5" style="54" customWidth="1"/>
    <col min="9989" max="9989" width="46.125" style="54" customWidth="1"/>
    <col min="9990" max="9990" width="8.625" style="54" customWidth="1"/>
    <col min="9991" max="9991" width="5" style="54" customWidth="1"/>
    <col min="9992" max="9992" width="7.625" style="54" customWidth="1"/>
    <col min="9993" max="10240" width="9" style="54"/>
    <col min="10241" max="10241" width="4.125" style="54" customWidth="1"/>
    <col min="10242" max="10242" width="7.125" style="54" customWidth="1"/>
    <col min="10243" max="10243" width="7.875" style="54" customWidth="1"/>
    <col min="10244" max="10244" width="9.5" style="54" customWidth="1"/>
    <col min="10245" max="10245" width="46.125" style="54" customWidth="1"/>
    <col min="10246" max="10246" width="8.625" style="54" customWidth="1"/>
    <col min="10247" max="10247" width="5" style="54" customWidth="1"/>
    <col min="10248" max="10248" width="7.625" style="54" customWidth="1"/>
    <col min="10249" max="10496" width="9" style="54"/>
    <col min="10497" max="10497" width="4.125" style="54" customWidth="1"/>
    <col min="10498" max="10498" width="7.125" style="54" customWidth="1"/>
    <col min="10499" max="10499" width="7.875" style="54" customWidth="1"/>
    <col min="10500" max="10500" width="9.5" style="54" customWidth="1"/>
    <col min="10501" max="10501" width="46.125" style="54" customWidth="1"/>
    <col min="10502" max="10502" width="8.625" style="54" customWidth="1"/>
    <col min="10503" max="10503" width="5" style="54" customWidth="1"/>
    <col min="10504" max="10504" width="7.625" style="54" customWidth="1"/>
    <col min="10505" max="10752" width="9" style="54"/>
    <col min="10753" max="10753" width="4.125" style="54" customWidth="1"/>
    <col min="10754" max="10754" width="7.125" style="54" customWidth="1"/>
    <col min="10755" max="10755" width="7.875" style="54" customWidth="1"/>
    <col min="10756" max="10756" width="9.5" style="54" customWidth="1"/>
    <col min="10757" max="10757" width="46.125" style="54" customWidth="1"/>
    <col min="10758" max="10758" width="8.625" style="54" customWidth="1"/>
    <col min="10759" max="10759" width="5" style="54" customWidth="1"/>
    <col min="10760" max="10760" width="7.625" style="54" customWidth="1"/>
    <col min="10761" max="11008" width="9" style="54"/>
    <col min="11009" max="11009" width="4.125" style="54" customWidth="1"/>
    <col min="11010" max="11010" width="7.125" style="54" customWidth="1"/>
    <col min="11011" max="11011" width="7.875" style="54" customWidth="1"/>
    <col min="11012" max="11012" width="9.5" style="54" customWidth="1"/>
    <col min="11013" max="11013" width="46.125" style="54" customWidth="1"/>
    <col min="11014" max="11014" width="8.625" style="54" customWidth="1"/>
    <col min="11015" max="11015" width="5" style="54" customWidth="1"/>
    <col min="11016" max="11016" width="7.625" style="54" customWidth="1"/>
    <col min="11017" max="11264" width="9" style="54"/>
    <col min="11265" max="11265" width="4.125" style="54" customWidth="1"/>
    <col min="11266" max="11266" width="7.125" style="54" customWidth="1"/>
    <col min="11267" max="11267" width="7.875" style="54" customWidth="1"/>
    <col min="11268" max="11268" width="9.5" style="54" customWidth="1"/>
    <col min="11269" max="11269" width="46.125" style="54" customWidth="1"/>
    <col min="11270" max="11270" width="8.625" style="54" customWidth="1"/>
    <col min="11271" max="11271" width="5" style="54" customWidth="1"/>
    <col min="11272" max="11272" width="7.625" style="54" customWidth="1"/>
    <col min="11273" max="11520" width="9" style="54"/>
    <col min="11521" max="11521" width="4.125" style="54" customWidth="1"/>
    <col min="11522" max="11522" width="7.125" style="54" customWidth="1"/>
    <col min="11523" max="11523" width="7.875" style="54" customWidth="1"/>
    <col min="11524" max="11524" width="9.5" style="54" customWidth="1"/>
    <col min="11525" max="11525" width="46.125" style="54" customWidth="1"/>
    <col min="11526" max="11526" width="8.625" style="54" customWidth="1"/>
    <col min="11527" max="11527" width="5" style="54" customWidth="1"/>
    <col min="11528" max="11528" width="7.625" style="54" customWidth="1"/>
    <col min="11529" max="11776" width="9" style="54"/>
    <col min="11777" max="11777" width="4.125" style="54" customWidth="1"/>
    <col min="11778" max="11778" width="7.125" style="54" customWidth="1"/>
    <col min="11779" max="11779" width="7.875" style="54" customWidth="1"/>
    <col min="11780" max="11780" width="9.5" style="54" customWidth="1"/>
    <col min="11781" max="11781" width="46.125" style="54" customWidth="1"/>
    <col min="11782" max="11782" width="8.625" style="54" customWidth="1"/>
    <col min="11783" max="11783" width="5" style="54" customWidth="1"/>
    <col min="11784" max="11784" width="7.625" style="54" customWidth="1"/>
    <col min="11785" max="12032" width="9" style="54"/>
    <col min="12033" max="12033" width="4.125" style="54" customWidth="1"/>
    <col min="12034" max="12034" width="7.125" style="54" customWidth="1"/>
    <col min="12035" max="12035" width="7.875" style="54" customWidth="1"/>
    <col min="12036" max="12036" width="9.5" style="54" customWidth="1"/>
    <col min="12037" max="12037" width="46.125" style="54" customWidth="1"/>
    <col min="12038" max="12038" width="8.625" style="54" customWidth="1"/>
    <col min="12039" max="12039" width="5" style="54" customWidth="1"/>
    <col min="12040" max="12040" width="7.625" style="54" customWidth="1"/>
    <col min="12041" max="12288" width="9" style="54"/>
    <col min="12289" max="12289" width="4.125" style="54" customWidth="1"/>
    <col min="12290" max="12290" width="7.125" style="54" customWidth="1"/>
    <col min="12291" max="12291" width="7.875" style="54" customWidth="1"/>
    <col min="12292" max="12292" width="9.5" style="54" customWidth="1"/>
    <col min="12293" max="12293" width="46.125" style="54" customWidth="1"/>
    <col min="12294" max="12294" width="8.625" style="54" customWidth="1"/>
    <col min="12295" max="12295" width="5" style="54" customWidth="1"/>
    <col min="12296" max="12296" width="7.625" style="54" customWidth="1"/>
    <col min="12297" max="12544" width="9" style="54"/>
    <col min="12545" max="12545" width="4.125" style="54" customWidth="1"/>
    <col min="12546" max="12546" width="7.125" style="54" customWidth="1"/>
    <col min="12547" max="12547" width="7.875" style="54" customWidth="1"/>
    <col min="12548" max="12548" width="9.5" style="54" customWidth="1"/>
    <col min="12549" max="12549" width="46.125" style="54" customWidth="1"/>
    <col min="12550" max="12550" width="8.625" style="54" customWidth="1"/>
    <col min="12551" max="12551" width="5" style="54" customWidth="1"/>
    <col min="12552" max="12552" width="7.625" style="54" customWidth="1"/>
    <col min="12553" max="12800" width="9" style="54"/>
    <col min="12801" max="12801" width="4.125" style="54" customWidth="1"/>
    <col min="12802" max="12802" width="7.125" style="54" customWidth="1"/>
    <col min="12803" max="12803" width="7.875" style="54" customWidth="1"/>
    <col min="12804" max="12804" width="9.5" style="54" customWidth="1"/>
    <col min="12805" max="12805" width="46.125" style="54" customWidth="1"/>
    <col min="12806" max="12806" width="8.625" style="54" customWidth="1"/>
    <col min="12807" max="12807" width="5" style="54" customWidth="1"/>
    <col min="12808" max="12808" width="7.625" style="54" customWidth="1"/>
    <col min="12809" max="13056" width="9" style="54"/>
    <col min="13057" max="13057" width="4.125" style="54" customWidth="1"/>
    <col min="13058" max="13058" width="7.125" style="54" customWidth="1"/>
    <col min="13059" max="13059" width="7.875" style="54" customWidth="1"/>
    <col min="13060" max="13060" width="9.5" style="54" customWidth="1"/>
    <col min="13061" max="13061" width="46.125" style="54" customWidth="1"/>
    <col min="13062" max="13062" width="8.625" style="54" customWidth="1"/>
    <col min="13063" max="13063" width="5" style="54" customWidth="1"/>
    <col min="13064" max="13064" width="7.625" style="54" customWidth="1"/>
    <col min="13065" max="13312" width="9" style="54"/>
    <col min="13313" max="13313" width="4.125" style="54" customWidth="1"/>
    <col min="13314" max="13314" width="7.125" style="54" customWidth="1"/>
    <col min="13315" max="13315" width="7.875" style="54" customWidth="1"/>
    <col min="13316" max="13316" width="9.5" style="54" customWidth="1"/>
    <col min="13317" max="13317" width="46.125" style="54" customWidth="1"/>
    <col min="13318" max="13318" width="8.625" style="54" customWidth="1"/>
    <col min="13319" max="13319" width="5" style="54" customWidth="1"/>
    <col min="13320" max="13320" width="7.625" style="54" customWidth="1"/>
    <col min="13321" max="13568" width="9" style="54"/>
    <col min="13569" max="13569" width="4.125" style="54" customWidth="1"/>
    <col min="13570" max="13570" width="7.125" style="54" customWidth="1"/>
    <col min="13571" max="13571" width="7.875" style="54" customWidth="1"/>
    <col min="13572" max="13572" width="9.5" style="54" customWidth="1"/>
    <col min="13573" max="13573" width="46.125" style="54" customWidth="1"/>
    <col min="13574" max="13574" width="8.625" style="54" customWidth="1"/>
    <col min="13575" max="13575" width="5" style="54" customWidth="1"/>
    <col min="13576" max="13576" width="7.625" style="54" customWidth="1"/>
    <col min="13577" max="13824" width="9" style="54"/>
    <col min="13825" max="13825" width="4.125" style="54" customWidth="1"/>
    <col min="13826" max="13826" width="7.125" style="54" customWidth="1"/>
    <col min="13827" max="13827" width="7.875" style="54" customWidth="1"/>
    <col min="13828" max="13828" width="9.5" style="54" customWidth="1"/>
    <col min="13829" max="13829" width="46.125" style="54" customWidth="1"/>
    <col min="13830" max="13830" width="8.625" style="54" customWidth="1"/>
    <col min="13831" max="13831" width="5" style="54" customWidth="1"/>
    <col min="13832" max="13832" width="7.625" style="54" customWidth="1"/>
    <col min="13833" max="14080" width="9" style="54"/>
    <col min="14081" max="14081" width="4.125" style="54" customWidth="1"/>
    <col min="14082" max="14082" width="7.125" style="54" customWidth="1"/>
    <col min="14083" max="14083" width="7.875" style="54" customWidth="1"/>
    <col min="14084" max="14084" width="9.5" style="54" customWidth="1"/>
    <col min="14085" max="14085" width="46.125" style="54" customWidth="1"/>
    <col min="14086" max="14086" width="8.625" style="54" customWidth="1"/>
    <col min="14087" max="14087" width="5" style="54" customWidth="1"/>
    <col min="14088" max="14088" width="7.625" style="54" customWidth="1"/>
    <col min="14089" max="14336" width="9" style="54"/>
    <col min="14337" max="14337" width="4.125" style="54" customWidth="1"/>
    <col min="14338" max="14338" width="7.125" style="54" customWidth="1"/>
    <col min="14339" max="14339" width="7.875" style="54" customWidth="1"/>
    <col min="14340" max="14340" width="9.5" style="54" customWidth="1"/>
    <col min="14341" max="14341" width="46.125" style="54" customWidth="1"/>
    <col min="14342" max="14342" width="8.625" style="54" customWidth="1"/>
    <col min="14343" max="14343" width="5" style="54" customWidth="1"/>
    <col min="14344" max="14344" width="7.625" style="54" customWidth="1"/>
    <col min="14345" max="14592" width="9" style="54"/>
    <col min="14593" max="14593" width="4.125" style="54" customWidth="1"/>
    <col min="14594" max="14594" width="7.125" style="54" customWidth="1"/>
    <col min="14595" max="14595" width="7.875" style="54" customWidth="1"/>
    <col min="14596" max="14596" width="9.5" style="54" customWidth="1"/>
    <col min="14597" max="14597" width="46.125" style="54" customWidth="1"/>
    <col min="14598" max="14598" width="8.625" style="54" customWidth="1"/>
    <col min="14599" max="14599" width="5" style="54" customWidth="1"/>
    <col min="14600" max="14600" width="7.625" style="54" customWidth="1"/>
    <col min="14601" max="14848" width="9" style="54"/>
    <col min="14849" max="14849" width="4.125" style="54" customWidth="1"/>
    <col min="14850" max="14850" width="7.125" style="54" customWidth="1"/>
    <col min="14851" max="14851" width="7.875" style="54" customWidth="1"/>
    <col min="14852" max="14852" width="9.5" style="54" customWidth="1"/>
    <col min="14853" max="14853" width="46.125" style="54" customWidth="1"/>
    <col min="14854" max="14854" width="8.625" style="54" customWidth="1"/>
    <col min="14855" max="14855" width="5" style="54" customWidth="1"/>
    <col min="14856" max="14856" width="7.625" style="54" customWidth="1"/>
    <col min="14857" max="15104" width="9" style="54"/>
    <col min="15105" max="15105" width="4.125" style="54" customWidth="1"/>
    <col min="15106" max="15106" width="7.125" style="54" customWidth="1"/>
    <col min="15107" max="15107" width="7.875" style="54" customWidth="1"/>
    <col min="15108" max="15108" width="9.5" style="54" customWidth="1"/>
    <col min="15109" max="15109" width="46.125" style="54" customWidth="1"/>
    <col min="15110" max="15110" width="8.625" style="54" customWidth="1"/>
    <col min="15111" max="15111" width="5" style="54" customWidth="1"/>
    <col min="15112" max="15112" width="7.625" style="54" customWidth="1"/>
    <col min="15113" max="15360" width="9" style="54"/>
    <col min="15361" max="15361" width="4.125" style="54" customWidth="1"/>
    <col min="15362" max="15362" width="7.125" style="54" customWidth="1"/>
    <col min="15363" max="15363" width="7.875" style="54" customWidth="1"/>
    <col min="15364" max="15364" width="9.5" style="54" customWidth="1"/>
    <col min="15365" max="15365" width="46.125" style="54" customWidth="1"/>
    <col min="15366" max="15366" width="8.625" style="54" customWidth="1"/>
    <col min="15367" max="15367" width="5" style="54" customWidth="1"/>
    <col min="15368" max="15368" width="7.625" style="54" customWidth="1"/>
    <col min="15369" max="15616" width="9" style="54"/>
    <col min="15617" max="15617" width="4.125" style="54" customWidth="1"/>
    <col min="15618" max="15618" width="7.125" style="54" customWidth="1"/>
    <col min="15619" max="15619" width="7.875" style="54" customWidth="1"/>
    <col min="15620" max="15620" width="9.5" style="54" customWidth="1"/>
    <col min="15621" max="15621" width="46.125" style="54" customWidth="1"/>
    <col min="15622" max="15622" width="8.625" style="54" customWidth="1"/>
    <col min="15623" max="15623" width="5" style="54" customWidth="1"/>
    <col min="15624" max="15624" width="7.625" style="54" customWidth="1"/>
    <col min="15625" max="15872" width="9" style="54"/>
    <col min="15873" max="15873" width="4.125" style="54" customWidth="1"/>
    <col min="15874" max="15874" width="7.125" style="54" customWidth="1"/>
    <col min="15875" max="15875" width="7.875" style="54" customWidth="1"/>
    <col min="15876" max="15876" width="9.5" style="54" customWidth="1"/>
    <col min="15877" max="15877" width="46.125" style="54" customWidth="1"/>
    <col min="15878" max="15878" width="8.625" style="54" customWidth="1"/>
    <col min="15879" max="15879" width="5" style="54" customWidth="1"/>
    <col min="15880" max="15880" width="7.625" style="54" customWidth="1"/>
    <col min="15881" max="16128" width="9" style="54"/>
    <col min="16129" max="16129" width="4.125" style="54" customWidth="1"/>
    <col min="16130" max="16130" width="7.125" style="54" customWidth="1"/>
    <col min="16131" max="16131" width="7.875" style="54" customWidth="1"/>
    <col min="16132" max="16132" width="9.5" style="54" customWidth="1"/>
    <col min="16133" max="16133" width="46.125" style="54" customWidth="1"/>
    <col min="16134" max="16134" width="8.625" style="54" customWidth="1"/>
    <col min="16135" max="16135" width="5" style="54" customWidth="1"/>
    <col min="16136" max="16136" width="7.625" style="54" customWidth="1"/>
    <col min="16137" max="16384" width="9" style="54"/>
  </cols>
  <sheetData>
    <row r="1" spans="1:15" x14ac:dyDescent="0.2">
      <c r="A1" s="1" t="s">
        <v>0</v>
      </c>
      <c r="E1" s="55" t="s">
        <v>1</v>
      </c>
    </row>
    <row r="2" spans="1:15" x14ac:dyDescent="0.2">
      <c r="A2" s="2" t="s">
        <v>2</v>
      </c>
      <c r="B2" s="2"/>
      <c r="C2" s="3"/>
      <c r="D2" s="4"/>
      <c r="E2" s="58" t="s">
        <v>227</v>
      </c>
      <c r="F2" s="5"/>
      <c r="G2" s="6"/>
      <c r="H2" s="7"/>
    </row>
    <row r="3" spans="1:15" ht="13.5" thickBot="1" x14ac:dyDescent="0.25">
      <c r="A3" s="8" t="s">
        <v>3</v>
      </c>
      <c r="B3" s="2"/>
      <c r="C3" s="3"/>
      <c r="D3" s="4"/>
      <c r="E3" s="9">
        <v>2111</v>
      </c>
      <c r="F3" s="5"/>
      <c r="G3" s="10"/>
      <c r="H3" s="11"/>
    </row>
    <row r="4" spans="1:15" x14ac:dyDescent="0.2">
      <c r="A4" s="176" t="s">
        <v>4</v>
      </c>
      <c r="B4" s="177"/>
      <c r="C4" s="177"/>
      <c r="D4" s="12"/>
      <c r="E4" s="178" t="s">
        <v>5</v>
      </c>
      <c r="F4" s="179"/>
      <c r="G4" s="182" t="s">
        <v>6</v>
      </c>
      <c r="H4" s="184" t="s">
        <v>7</v>
      </c>
      <c r="I4" s="186" t="s">
        <v>341</v>
      </c>
      <c r="J4" s="174" t="s">
        <v>342</v>
      </c>
    </row>
    <row r="5" spans="1:15" ht="15.75" thickBot="1" x14ac:dyDescent="0.25">
      <c r="A5" s="13" t="s">
        <v>8</v>
      </c>
      <c r="B5" s="14" t="s">
        <v>9</v>
      </c>
      <c r="C5" s="14" t="s">
        <v>10</v>
      </c>
      <c r="D5" s="14" t="s">
        <v>11</v>
      </c>
      <c r="E5" s="180"/>
      <c r="F5" s="181"/>
      <c r="G5" s="183"/>
      <c r="H5" s="185"/>
      <c r="I5" s="187"/>
      <c r="J5" s="175"/>
      <c r="L5" s="59"/>
      <c r="M5" s="60"/>
      <c r="N5" s="60"/>
      <c r="O5" s="60"/>
    </row>
    <row r="6" spans="1:15" ht="25.5" x14ac:dyDescent="0.2">
      <c r="A6" s="82"/>
      <c r="B6" s="83" t="s">
        <v>276</v>
      </c>
      <c r="C6" s="84"/>
      <c r="D6" s="85"/>
      <c r="E6" s="101" t="s">
        <v>277</v>
      </c>
      <c r="F6" s="109"/>
      <c r="G6" s="110"/>
      <c r="H6" s="111"/>
      <c r="I6" s="112"/>
      <c r="J6" s="113"/>
      <c r="L6" s="59"/>
      <c r="M6" s="60"/>
      <c r="N6" s="60"/>
      <c r="O6" s="60"/>
    </row>
    <row r="7" spans="1:15" ht="15" x14ac:dyDescent="0.2">
      <c r="A7" s="62">
        <f>MAX(A$2:A5)+1</f>
        <v>1</v>
      </c>
      <c r="B7" s="86"/>
      <c r="C7" s="20" t="s">
        <v>278</v>
      </c>
      <c r="D7" s="64"/>
      <c r="E7" s="21" t="s">
        <v>279</v>
      </c>
      <c r="F7" s="102"/>
      <c r="G7" s="22" t="s">
        <v>37</v>
      </c>
      <c r="H7" s="105">
        <f>F8</f>
        <v>8053.6343000000006</v>
      </c>
      <c r="I7" s="89">
        <v>0</v>
      </c>
      <c r="J7" s="108">
        <f>ROUND(I7,2)*H7</f>
        <v>0</v>
      </c>
      <c r="L7" s="59"/>
      <c r="M7" s="60"/>
      <c r="N7" s="60"/>
      <c r="O7" s="60"/>
    </row>
    <row r="8" spans="1:15" ht="15" x14ac:dyDescent="0.2">
      <c r="A8" s="82"/>
      <c r="B8" s="114"/>
      <c r="C8" s="90"/>
      <c r="D8" s="91"/>
      <c r="E8" s="103" t="s">
        <v>280</v>
      </c>
      <c r="F8" s="104">
        <f>F113</f>
        <v>8053.6343000000006</v>
      </c>
      <c r="G8" s="93" t="s">
        <v>37</v>
      </c>
      <c r="H8" s="115"/>
      <c r="I8" s="63"/>
      <c r="J8" s="113"/>
      <c r="L8" s="59"/>
      <c r="M8" s="60"/>
      <c r="N8" s="60"/>
      <c r="O8" s="60"/>
    </row>
    <row r="9" spans="1:15" ht="15" x14ac:dyDescent="0.2">
      <c r="A9" s="82"/>
      <c r="B9" s="116"/>
      <c r="C9" s="117"/>
      <c r="D9" s="117"/>
      <c r="E9" s="118"/>
      <c r="F9" s="118"/>
      <c r="G9" s="119"/>
      <c r="H9" s="120"/>
      <c r="I9" s="63"/>
      <c r="J9" s="113"/>
      <c r="L9" s="59"/>
      <c r="M9" s="60"/>
      <c r="N9" s="60"/>
      <c r="O9" s="60"/>
    </row>
    <row r="10" spans="1:15" ht="14.25" x14ac:dyDescent="0.2">
      <c r="A10" s="15"/>
      <c r="B10" s="16" t="s">
        <v>12</v>
      </c>
      <c r="C10" s="17"/>
      <c r="D10" s="17"/>
      <c r="E10" s="18" t="s">
        <v>13</v>
      </c>
      <c r="F10" s="121"/>
      <c r="G10" s="19"/>
      <c r="H10" s="122"/>
      <c r="I10" s="63"/>
      <c r="J10" s="113"/>
      <c r="L10" s="59"/>
      <c r="M10" s="59"/>
      <c r="N10" s="61"/>
      <c r="O10" s="59"/>
    </row>
    <row r="11" spans="1:15" ht="25.5" x14ac:dyDescent="0.2">
      <c r="A11" s="62">
        <f>MAX(A$2:A9)+1</f>
        <v>2</v>
      </c>
      <c r="B11" s="86"/>
      <c r="C11" s="20" t="s">
        <v>14</v>
      </c>
      <c r="D11" s="64"/>
      <c r="E11" s="21" t="s">
        <v>15</v>
      </c>
      <c r="F11" s="102"/>
      <c r="G11" s="22" t="s">
        <v>16</v>
      </c>
      <c r="H11" s="105">
        <f>H12</f>
        <v>4581.2047499999999</v>
      </c>
      <c r="I11" s="89">
        <v>0</v>
      </c>
      <c r="J11" s="108">
        <f>ROUND(I11,2)*H11</f>
        <v>0</v>
      </c>
      <c r="L11" s="59"/>
      <c r="M11" s="60"/>
      <c r="N11" s="60"/>
      <c r="O11" s="60"/>
    </row>
    <row r="12" spans="1:15" s="142" customFormat="1" ht="25.5" x14ac:dyDescent="0.2">
      <c r="A12" s="140"/>
      <c r="B12" s="86"/>
      <c r="C12" s="86"/>
      <c r="D12" s="23" t="s">
        <v>17</v>
      </c>
      <c r="E12" s="141" t="s">
        <v>18</v>
      </c>
      <c r="G12" s="25" t="s">
        <v>16</v>
      </c>
      <c r="H12" s="143">
        <f>F13</f>
        <v>4581.2047499999999</v>
      </c>
      <c r="I12" s="86"/>
      <c r="J12" s="144"/>
      <c r="L12" s="145"/>
      <c r="M12" s="145"/>
      <c r="N12" s="146"/>
      <c r="O12" s="145"/>
    </row>
    <row r="13" spans="1:15" ht="15" x14ac:dyDescent="0.2">
      <c r="A13" s="82"/>
      <c r="B13" s="114"/>
      <c r="C13" s="90"/>
      <c r="D13" s="91"/>
      <c r="E13" s="92" t="s">
        <v>344</v>
      </c>
      <c r="F13" s="104">
        <f>(1.598*2.5+1.78*(2.5+7.13)+1.09*(7.13+12.5)+1.1*25+1.08*25+1.16*25+1.28*25+1.218*25+1.19*25+1.12*25+1.17*(12.5+25)+1.17*(25+12.5)+1.12*25+1.18*25+1.16*25+1.17*25+1.22*25+1.33*25+1.23*25+1.29*25+1.06*25+1.22*25+1.18*25+1.27*25+1.27*25+1.2*25+1.2*25+1.25*25+1.19*25+1.21*25+1.175*(12.5+8.47)+1.205*(8.47+1.51)+1.22*1.51)/0.2</f>
        <v>4581.2047499999999</v>
      </c>
      <c r="G13" s="93" t="s">
        <v>16</v>
      </c>
      <c r="H13" s="115"/>
      <c r="I13" s="63"/>
      <c r="J13" s="113"/>
      <c r="L13" s="59"/>
      <c r="M13" s="60"/>
      <c r="N13" s="60"/>
      <c r="O13" s="60"/>
    </row>
    <row r="14" spans="1:15" ht="14.25" x14ac:dyDescent="0.2">
      <c r="A14" s="62"/>
      <c r="B14" s="63"/>
      <c r="C14" s="63"/>
      <c r="D14" s="23"/>
      <c r="E14" s="24"/>
      <c r="F14" s="121"/>
      <c r="G14" s="25"/>
      <c r="H14" s="123"/>
      <c r="I14" s="63"/>
      <c r="J14" s="113"/>
      <c r="L14" s="59"/>
      <c r="M14" s="65"/>
      <c r="N14" s="61"/>
      <c r="O14" s="59"/>
    </row>
    <row r="15" spans="1:15" ht="25.5" x14ac:dyDescent="0.2">
      <c r="A15" s="62">
        <f>MAX(A$2:A12)+1</f>
        <v>3</v>
      </c>
      <c r="B15" s="86"/>
      <c r="C15" s="20" t="s">
        <v>19</v>
      </c>
      <c r="D15" s="64"/>
      <c r="E15" s="21" t="s">
        <v>20</v>
      </c>
      <c r="F15" s="102"/>
      <c r="G15" s="22" t="s">
        <v>16</v>
      </c>
      <c r="H15" s="105">
        <f>H16</f>
        <v>5843.21</v>
      </c>
      <c r="I15" s="89">
        <v>0</v>
      </c>
      <c r="J15" s="108">
        <f>ROUND(I15,2)*H15</f>
        <v>0</v>
      </c>
      <c r="L15" s="59"/>
      <c r="M15" s="60"/>
      <c r="N15" s="60"/>
      <c r="O15" s="60"/>
    </row>
    <row r="16" spans="1:15" s="142" customFormat="1" ht="25.5" x14ac:dyDescent="0.2">
      <c r="A16" s="140"/>
      <c r="B16" s="86"/>
      <c r="C16" s="86"/>
      <c r="D16" s="23" t="s">
        <v>21</v>
      </c>
      <c r="E16" s="141" t="s">
        <v>22</v>
      </c>
      <c r="G16" s="25" t="s">
        <v>16</v>
      </c>
      <c r="H16" s="143">
        <f>F17</f>
        <v>5843.21</v>
      </c>
      <c r="I16" s="86"/>
      <c r="J16" s="144"/>
      <c r="L16" s="145"/>
      <c r="M16" s="145"/>
      <c r="N16" s="146"/>
      <c r="O16" s="145"/>
    </row>
    <row r="17" spans="1:15" ht="15" x14ac:dyDescent="0.2">
      <c r="A17" s="82"/>
      <c r="B17" s="114"/>
      <c r="C17" s="90"/>
      <c r="D17" s="91"/>
      <c r="E17" s="92" t="s">
        <v>345</v>
      </c>
      <c r="F17" s="104">
        <f>(4.16*2.5+4.8*(2.5+7.13)+2.99*(7.13+12.5)+2.33*25+1.81*25+1.36*25+2.27*25+3.64*25+3.69*25+3.2*25+4.18*(12.5+25)+2.52*(25+12.5)+2.63*25+2.5*25+2.66*25+2.55*25+2.37*25+3.09*25+2.75*25+2.72*25+2.18*25+2.4*25+4.26*25+2.38*25+2.29*25+2.14*25+1.81*25+2.38*25+2.45*25+2.26*25+1.87*(12.5+8.47)+3.18*(8.47+1.51)+3.05*1.51)/0.35</f>
        <v>5843.21</v>
      </c>
      <c r="G17" s="93" t="s">
        <v>16</v>
      </c>
      <c r="H17" s="115"/>
      <c r="I17" s="63"/>
      <c r="J17" s="113"/>
      <c r="L17" s="59"/>
      <c r="M17" s="60"/>
      <c r="N17" s="60"/>
      <c r="O17" s="60"/>
    </row>
    <row r="18" spans="1:15" ht="14.25" x14ac:dyDescent="0.2">
      <c r="A18" s="62"/>
      <c r="B18" s="17"/>
      <c r="C18" s="28"/>
      <c r="D18" s="23"/>
      <c r="E18" s="24"/>
      <c r="F18" s="121"/>
      <c r="G18" s="25"/>
      <c r="H18" s="122"/>
      <c r="I18" s="63"/>
      <c r="J18" s="113"/>
      <c r="L18" s="59"/>
      <c r="M18" s="59"/>
      <c r="N18" s="61"/>
      <c r="O18" s="59"/>
    </row>
    <row r="19" spans="1:15" ht="25.5" x14ac:dyDescent="0.2">
      <c r="A19" s="62">
        <f>MAX(A$2:A16)+1</f>
        <v>4</v>
      </c>
      <c r="B19" s="86"/>
      <c r="C19" s="20" t="s">
        <v>124</v>
      </c>
      <c r="D19" s="64"/>
      <c r="E19" s="21" t="s">
        <v>125</v>
      </c>
      <c r="F19" s="102"/>
      <c r="G19" s="22" t="s">
        <v>86</v>
      </c>
      <c r="H19" s="105">
        <f>H20</f>
        <v>18.7</v>
      </c>
      <c r="I19" s="89">
        <v>0</v>
      </c>
      <c r="J19" s="108">
        <f>ROUND(I19,2)*H19</f>
        <v>0</v>
      </c>
      <c r="L19" s="59"/>
      <c r="M19" s="60"/>
      <c r="N19" s="60"/>
      <c r="O19" s="60"/>
    </row>
    <row r="20" spans="1:15" s="142" customFormat="1" ht="25.5" x14ac:dyDescent="0.2">
      <c r="A20" s="140"/>
      <c r="B20" s="86"/>
      <c r="C20" s="86"/>
      <c r="D20" s="23" t="s">
        <v>126</v>
      </c>
      <c r="E20" s="141" t="s">
        <v>127</v>
      </c>
      <c r="G20" s="25" t="s">
        <v>86</v>
      </c>
      <c r="H20" s="143">
        <f>F23</f>
        <v>18.7</v>
      </c>
      <c r="I20" s="86"/>
      <c r="J20" s="144"/>
      <c r="L20" s="145"/>
      <c r="M20" s="145"/>
      <c r="N20" s="146"/>
      <c r="O20" s="145"/>
    </row>
    <row r="21" spans="1:15" ht="15" x14ac:dyDescent="0.2">
      <c r="A21" s="82"/>
      <c r="B21" s="114"/>
      <c r="C21" s="90"/>
      <c r="D21" s="91"/>
      <c r="E21" s="103" t="s">
        <v>205</v>
      </c>
      <c r="F21" s="104">
        <v>7.45</v>
      </c>
      <c r="G21" s="93" t="s">
        <v>86</v>
      </c>
      <c r="H21" s="115"/>
      <c r="I21" s="63"/>
      <c r="J21" s="113"/>
      <c r="L21" s="59"/>
      <c r="M21" s="60"/>
      <c r="N21" s="60"/>
      <c r="O21" s="60"/>
    </row>
    <row r="22" spans="1:15" ht="15" x14ac:dyDescent="0.2">
      <c r="A22" s="82"/>
      <c r="B22" s="114"/>
      <c r="C22" s="90"/>
      <c r="D22" s="91"/>
      <c r="E22" s="103" t="s">
        <v>255</v>
      </c>
      <c r="F22" s="159">
        <v>11.25</v>
      </c>
      <c r="G22" s="93" t="s">
        <v>86</v>
      </c>
      <c r="H22" s="115"/>
      <c r="I22" s="63"/>
      <c r="J22" s="113"/>
      <c r="L22" s="59"/>
      <c r="M22" s="60"/>
      <c r="N22" s="60"/>
      <c r="O22" s="60"/>
    </row>
    <row r="23" spans="1:15" s="156" customFormat="1" ht="14.25" x14ac:dyDescent="0.2">
      <c r="A23" s="147"/>
      <c r="B23" s="148"/>
      <c r="C23" s="149"/>
      <c r="D23" s="150"/>
      <c r="E23" s="151" t="s">
        <v>147</v>
      </c>
      <c r="F23" s="152">
        <f>SUM(F21:F22)</f>
        <v>18.7</v>
      </c>
      <c r="G23" s="93" t="s">
        <v>86</v>
      </c>
      <c r="H23" s="153"/>
      <c r="I23" s="154"/>
      <c r="J23" s="155"/>
      <c r="L23" s="157"/>
      <c r="M23" s="157"/>
      <c r="N23" s="158"/>
      <c r="O23" s="157"/>
    </row>
    <row r="24" spans="1:15" ht="14.25" x14ac:dyDescent="0.2">
      <c r="A24" s="62"/>
      <c r="B24" s="17"/>
      <c r="C24" s="28"/>
      <c r="D24" s="23"/>
      <c r="E24" s="24"/>
      <c r="F24" s="124"/>
      <c r="G24" s="25"/>
      <c r="H24" s="122"/>
      <c r="I24" s="63"/>
      <c r="J24" s="113"/>
      <c r="L24" s="59"/>
      <c r="M24" s="59"/>
      <c r="N24" s="61"/>
      <c r="O24" s="59"/>
    </row>
    <row r="25" spans="1:15" ht="15" x14ac:dyDescent="0.2">
      <c r="A25" s="62">
        <f>MAX(A$2:A23)+1</f>
        <v>5</v>
      </c>
      <c r="B25" s="86"/>
      <c r="C25" s="20" t="s">
        <v>197</v>
      </c>
      <c r="D25" s="64"/>
      <c r="E25" s="21" t="s">
        <v>198</v>
      </c>
      <c r="F25" s="102"/>
      <c r="G25" s="22" t="s">
        <v>37</v>
      </c>
      <c r="H25" s="105">
        <f>H26</f>
        <v>37.26</v>
      </c>
      <c r="I25" s="89">
        <v>0</v>
      </c>
      <c r="J25" s="108">
        <f>ROUND(I25,2)*H25</f>
        <v>0</v>
      </c>
      <c r="L25" s="59"/>
      <c r="M25" s="60"/>
      <c r="N25" s="60"/>
      <c r="O25" s="60"/>
    </row>
    <row r="26" spans="1:15" s="142" customFormat="1" ht="25.5" x14ac:dyDescent="0.2">
      <c r="A26" s="140"/>
      <c r="B26" s="86"/>
      <c r="C26" s="86"/>
      <c r="D26" s="23" t="s">
        <v>199</v>
      </c>
      <c r="E26" s="141" t="s">
        <v>200</v>
      </c>
      <c r="G26" s="25" t="s">
        <v>37</v>
      </c>
      <c r="H26" s="143">
        <f>F31</f>
        <v>37.26</v>
      </c>
      <c r="I26" s="86"/>
      <c r="J26" s="144"/>
      <c r="L26" s="145"/>
      <c r="M26" s="145"/>
      <c r="N26" s="146"/>
      <c r="O26" s="145"/>
    </row>
    <row r="27" spans="1:15" ht="15" x14ac:dyDescent="0.2">
      <c r="A27" s="82"/>
      <c r="B27" s="114"/>
      <c r="C27" s="90"/>
      <c r="D27" s="91"/>
      <c r="E27" s="103" t="s">
        <v>206</v>
      </c>
      <c r="F27" s="104">
        <f>4.6*2.25*0.9</f>
        <v>9.3149999999999995</v>
      </c>
      <c r="G27" s="93" t="s">
        <v>37</v>
      </c>
      <c r="H27" s="115"/>
      <c r="I27" s="63"/>
      <c r="J27" s="113"/>
      <c r="L27" s="59"/>
      <c r="M27" s="60"/>
      <c r="N27" s="60"/>
      <c r="O27" s="60"/>
    </row>
    <row r="28" spans="1:15" ht="15" x14ac:dyDescent="0.2">
      <c r="A28" s="82"/>
      <c r="B28" s="114"/>
      <c r="C28" s="90"/>
      <c r="D28" s="91"/>
      <c r="E28" s="103" t="s">
        <v>208</v>
      </c>
      <c r="F28" s="104">
        <f t="shared" ref="F28:F30" si="0">4.6*2.25*0.9</f>
        <v>9.3149999999999995</v>
      </c>
      <c r="G28" s="93" t="s">
        <v>37</v>
      </c>
      <c r="H28" s="115"/>
      <c r="I28" s="63"/>
      <c r="J28" s="113"/>
      <c r="L28" s="59"/>
      <c r="M28" s="60"/>
      <c r="N28" s="60"/>
      <c r="O28" s="60"/>
    </row>
    <row r="29" spans="1:15" ht="15" x14ac:dyDescent="0.2">
      <c r="A29" s="82"/>
      <c r="B29" s="114"/>
      <c r="C29" s="90"/>
      <c r="D29" s="91"/>
      <c r="E29" s="103" t="s">
        <v>207</v>
      </c>
      <c r="F29" s="104">
        <f t="shared" si="0"/>
        <v>9.3149999999999995</v>
      </c>
      <c r="G29" s="93" t="s">
        <v>37</v>
      </c>
      <c r="H29" s="115"/>
      <c r="I29" s="63"/>
      <c r="J29" s="113"/>
      <c r="L29" s="59"/>
      <c r="M29" s="60"/>
      <c r="N29" s="60"/>
      <c r="O29" s="60"/>
    </row>
    <row r="30" spans="1:15" ht="15" x14ac:dyDescent="0.2">
      <c r="A30" s="82"/>
      <c r="B30" s="114"/>
      <c r="C30" s="90"/>
      <c r="D30" s="91"/>
      <c r="E30" s="103" t="s">
        <v>209</v>
      </c>
      <c r="F30" s="159">
        <f t="shared" si="0"/>
        <v>9.3149999999999995</v>
      </c>
      <c r="G30" s="93" t="s">
        <v>37</v>
      </c>
      <c r="H30" s="115"/>
      <c r="I30" s="63"/>
      <c r="J30" s="113"/>
      <c r="L30" s="59"/>
      <c r="M30" s="60"/>
      <c r="N30" s="60"/>
      <c r="O30" s="60"/>
    </row>
    <row r="31" spans="1:15" s="156" customFormat="1" ht="14.25" x14ac:dyDescent="0.2">
      <c r="A31" s="147"/>
      <c r="B31" s="148"/>
      <c r="C31" s="149"/>
      <c r="D31" s="150"/>
      <c r="E31" s="151" t="s">
        <v>147</v>
      </c>
      <c r="F31" s="152">
        <f>SUM(F27:F30)</f>
        <v>37.26</v>
      </c>
      <c r="G31" s="93" t="s">
        <v>37</v>
      </c>
      <c r="H31" s="153"/>
      <c r="I31" s="154"/>
      <c r="J31" s="155"/>
      <c r="L31" s="157"/>
      <c r="M31" s="157"/>
      <c r="N31" s="158"/>
      <c r="O31" s="157"/>
    </row>
    <row r="32" spans="1:15" ht="14.25" x14ac:dyDescent="0.2">
      <c r="A32" s="62"/>
      <c r="B32" s="17"/>
      <c r="C32" s="28"/>
      <c r="D32" s="23"/>
      <c r="E32" s="47"/>
      <c r="F32" s="125"/>
      <c r="G32" s="25"/>
      <c r="H32" s="122"/>
      <c r="I32" s="63"/>
      <c r="J32" s="113"/>
      <c r="L32" s="59"/>
      <c r="M32" s="59"/>
      <c r="N32" s="61"/>
      <c r="O32" s="59"/>
    </row>
    <row r="33" spans="1:15" ht="14.25" x14ac:dyDescent="0.2">
      <c r="A33" s="62">
        <f>MAX(A$7:A31)+1</f>
        <v>6</v>
      </c>
      <c r="B33" s="17"/>
      <c r="C33" s="26" t="s">
        <v>346</v>
      </c>
      <c r="D33" s="160"/>
      <c r="E33" s="87" t="s">
        <v>347</v>
      </c>
      <c r="F33" s="88"/>
      <c r="G33" s="22" t="s">
        <v>236</v>
      </c>
      <c r="H33" s="161">
        <f>H34</f>
        <v>8163.8239000000003</v>
      </c>
      <c r="I33" s="89">
        <v>0</v>
      </c>
      <c r="J33" s="108">
        <f>ROUND(I33,2)*H33</f>
        <v>0</v>
      </c>
      <c r="L33" s="59"/>
      <c r="M33" s="59"/>
      <c r="N33" s="61"/>
      <c r="O33" s="59"/>
    </row>
    <row r="34" spans="1:15" ht="14.25" x14ac:dyDescent="0.2">
      <c r="A34" s="140"/>
      <c r="B34" s="162"/>
      <c r="C34" s="160"/>
      <c r="D34" s="23" t="s">
        <v>348</v>
      </c>
      <c r="E34" s="141" t="s">
        <v>349</v>
      </c>
      <c r="F34" s="163"/>
      <c r="G34" s="25" t="s">
        <v>236</v>
      </c>
      <c r="H34" s="164">
        <f>F42</f>
        <v>8163.8239000000003</v>
      </c>
      <c r="I34" s="86"/>
      <c r="J34" s="144"/>
      <c r="L34" s="59"/>
      <c r="M34" s="59"/>
      <c r="N34" s="61"/>
      <c r="O34" s="59"/>
    </row>
    <row r="35" spans="1:15" ht="15" x14ac:dyDescent="0.2">
      <c r="A35" s="82"/>
      <c r="B35" s="114"/>
      <c r="C35" s="90"/>
      <c r="D35" s="91"/>
      <c r="E35" s="103" t="s">
        <v>201</v>
      </c>
      <c r="F35" s="104">
        <f>F13*0.4</f>
        <v>1832.4819</v>
      </c>
      <c r="G35" s="93" t="s">
        <v>236</v>
      </c>
      <c r="H35" s="115"/>
      <c r="I35" s="63"/>
      <c r="J35" s="113"/>
      <c r="L35" s="59"/>
      <c r="M35" s="60"/>
      <c r="N35" s="60"/>
      <c r="O35" s="60"/>
    </row>
    <row r="36" spans="1:15" ht="15" x14ac:dyDescent="0.2">
      <c r="A36" s="82"/>
      <c r="B36" s="114"/>
      <c r="C36" s="90"/>
      <c r="D36" s="91"/>
      <c r="E36" s="103" t="s">
        <v>189</v>
      </c>
      <c r="F36" s="104">
        <f>F17*0.5</f>
        <v>2921.605</v>
      </c>
      <c r="G36" s="93" t="s">
        <v>236</v>
      </c>
      <c r="H36" s="115"/>
      <c r="I36" s="63"/>
      <c r="J36" s="113"/>
      <c r="L36" s="59"/>
      <c r="M36" s="60"/>
      <c r="N36" s="60"/>
      <c r="O36" s="60"/>
    </row>
    <row r="37" spans="1:15" ht="15" x14ac:dyDescent="0.2">
      <c r="A37" s="82"/>
      <c r="B37" s="114"/>
      <c r="C37" s="90"/>
      <c r="D37" s="91"/>
      <c r="E37" s="103" t="s">
        <v>190</v>
      </c>
      <c r="F37" s="104">
        <f>F107*1.8</f>
        <v>2430</v>
      </c>
      <c r="G37" s="93" t="s">
        <v>236</v>
      </c>
      <c r="H37" s="115"/>
      <c r="I37" s="63"/>
      <c r="J37" s="113"/>
      <c r="L37" s="59"/>
      <c r="M37" s="60"/>
      <c r="N37" s="60"/>
      <c r="O37" s="60"/>
    </row>
    <row r="38" spans="1:15" ht="15" x14ac:dyDescent="0.2">
      <c r="A38" s="82"/>
      <c r="B38" s="114"/>
      <c r="C38" s="90"/>
      <c r="D38" s="91"/>
      <c r="E38" s="103" t="s">
        <v>191</v>
      </c>
      <c r="F38" s="104">
        <f>2530*0.14*2.4</f>
        <v>850.08</v>
      </c>
      <c r="G38" s="93" t="s">
        <v>236</v>
      </c>
      <c r="H38" s="115"/>
      <c r="I38" s="63"/>
      <c r="J38" s="113"/>
      <c r="L38" s="59"/>
      <c r="M38" s="60"/>
      <c r="N38" s="60"/>
      <c r="O38" s="60"/>
    </row>
    <row r="39" spans="1:15" ht="15" x14ac:dyDescent="0.2">
      <c r="A39" s="82"/>
      <c r="B39" s="114"/>
      <c r="C39" s="90"/>
      <c r="D39" s="91"/>
      <c r="E39" s="103" t="s">
        <v>350</v>
      </c>
      <c r="F39" s="104">
        <f>F23*2.55</f>
        <v>47.684999999999995</v>
      </c>
      <c r="G39" s="93" t="s">
        <v>236</v>
      </c>
      <c r="H39" s="115"/>
      <c r="I39" s="63"/>
      <c r="J39" s="113"/>
      <c r="L39" s="59"/>
      <c r="M39" s="60"/>
      <c r="N39" s="60"/>
      <c r="O39" s="60"/>
    </row>
    <row r="40" spans="1:15" ht="15" x14ac:dyDescent="0.2">
      <c r="A40" s="82"/>
      <c r="B40" s="114"/>
      <c r="C40" s="90"/>
      <c r="D40" s="91"/>
      <c r="E40" s="103" t="s">
        <v>351</v>
      </c>
      <c r="F40" s="159">
        <f>F31*2.2</f>
        <v>81.972000000000008</v>
      </c>
      <c r="G40" s="93" t="s">
        <v>236</v>
      </c>
      <c r="H40" s="115"/>
      <c r="I40" s="63"/>
      <c r="J40" s="113"/>
      <c r="L40" s="59"/>
      <c r="M40" s="60"/>
      <c r="N40" s="60"/>
      <c r="O40" s="60"/>
    </row>
    <row r="41" spans="1:15" ht="15" x14ac:dyDescent="0.2">
      <c r="A41" s="82"/>
      <c r="B41" s="114"/>
      <c r="C41" s="90"/>
      <c r="D41" s="91"/>
      <c r="E41" s="92" t="s">
        <v>352</v>
      </c>
      <c r="F41" s="104"/>
      <c r="G41" s="93"/>
      <c r="H41" s="115"/>
      <c r="I41" s="63"/>
      <c r="J41" s="113"/>
      <c r="L41" s="59"/>
      <c r="M41" s="60"/>
      <c r="N41" s="60"/>
      <c r="O41" s="60"/>
    </row>
    <row r="42" spans="1:15" ht="15" x14ac:dyDescent="0.2">
      <c r="A42" s="82"/>
      <c r="B42" s="114"/>
      <c r="C42" s="90"/>
      <c r="D42" s="91"/>
      <c r="E42" s="151" t="s">
        <v>147</v>
      </c>
      <c r="F42" s="152">
        <f>SUM(F35:F41)</f>
        <v>8163.8239000000003</v>
      </c>
      <c r="G42" s="93" t="s">
        <v>236</v>
      </c>
      <c r="H42" s="115"/>
      <c r="I42" s="63"/>
      <c r="J42" s="113"/>
      <c r="L42" s="59"/>
      <c r="M42" s="60"/>
      <c r="N42" s="60"/>
      <c r="O42" s="60"/>
    </row>
    <row r="43" spans="1:15" ht="14.25" x14ac:dyDescent="0.2">
      <c r="A43" s="62"/>
      <c r="B43" s="17"/>
      <c r="C43" s="28"/>
      <c r="D43" s="23"/>
      <c r="E43" s="24"/>
      <c r="F43" s="124"/>
      <c r="G43" s="25"/>
      <c r="H43" s="122"/>
      <c r="I43" s="63"/>
      <c r="J43" s="113"/>
      <c r="L43" s="59"/>
      <c r="M43" s="59"/>
      <c r="N43" s="61"/>
      <c r="O43" s="59"/>
    </row>
    <row r="44" spans="1:15" ht="14.25" x14ac:dyDescent="0.2">
      <c r="A44" s="62"/>
      <c r="B44" s="29" t="s">
        <v>129</v>
      </c>
      <c r="C44" s="31"/>
      <c r="D44" s="32"/>
      <c r="E44" s="46" t="s">
        <v>130</v>
      </c>
      <c r="F44" s="121"/>
      <c r="G44" s="25"/>
      <c r="H44" s="122"/>
      <c r="I44" s="63"/>
      <c r="J44" s="113"/>
      <c r="L44" s="59"/>
      <c r="M44" s="59"/>
      <c r="N44" s="61"/>
      <c r="O44" s="59"/>
    </row>
    <row r="45" spans="1:15" ht="14.25" x14ac:dyDescent="0.2">
      <c r="A45" s="62">
        <f>MAX(A$2:A43)+1</f>
        <v>7</v>
      </c>
      <c r="B45" s="17"/>
      <c r="C45" s="26" t="s">
        <v>298</v>
      </c>
      <c r="D45" s="160"/>
      <c r="E45" s="87" t="s">
        <v>299</v>
      </c>
      <c r="F45" s="88"/>
      <c r="G45" s="22" t="s">
        <v>16</v>
      </c>
      <c r="H45" s="161">
        <f>H46</f>
        <v>5162</v>
      </c>
      <c r="I45" s="89">
        <v>0</v>
      </c>
      <c r="J45" s="108">
        <f>ROUND(I45,2)*H45</f>
        <v>0</v>
      </c>
      <c r="L45" s="59"/>
      <c r="M45" s="59"/>
      <c r="N45" s="61"/>
      <c r="O45" s="59"/>
    </row>
    <row r="46" spans="1:15" ht="14.25" x14ac:dyDescent="0.2">
      <c r="A46" s="140"/>
      <c r="B46" s="162"/>
      <c r="C46" s="160"/>
      <c r="D46" s="23" t="s">
        <v>300</v>
      </c>
      <c r="E46" s="141" t="s">
        <v>301</v>
      </c>
      <c r="F46" s="163"/>
      <c r="G46" s="25" t="s">
        <v>16</v>
      </c>
      <c r="H46" s="164">
        <v>5162</v>
      </c>
      <c r="I46" s="86"/>
      <c r="J46" s="144"/>
      <c r="L46" s="59"/>
      <c r="M46" s="59"/>
      <c r="N46" s="61"/>
      <c r="O46" s="59"/>
    </row>
    <row r="47" spans="1:15" ht="14.25" x14ac:dyDescent="0.2">
      <c r="A47" s="62"/>
      <c r="B47" s="29"/>
      <c r="C47" s="31"/>
      <c r="D47" s="32"/>
      <c r="E47" s="46"/>
      <c r="F47" s="121"/>
      <c r="G47" s="25"/>
      <c r="H47" s="122"/>
      <c r="I47" s="63"/>
      <c r="J47" s="113"/>
      <c r="L47" s="59"/>
      <c r="M47" s="59"/>
      <c r="N47" s="61"/>
      <c r="O47" s="59"/>
    </row>
    <row r="48" spans="1:15" ht="14.25" x14ac:dyDescent="0.2">
      <c r="A48" s="62">
        <f>MAX(A$2:A46)+1</f>
        <v>8</v>
      </c>
      <c r="B48" s="17"/>
      <c r="C48" s="26" t="s">
        <v>281</v>
      </c>
      <c r="D48" s="160"/>
      <c r="E48" s="87" t="s">
        <v>282</v>
      </c>
      <c r="F48" s="88"/>
      <c r="G48" s="22" t="s">
        <v>283</v>
      </c>
      <c r="H48" s="161">
        <f>H49+H50+H51</f>
        <v>105</v>
      </c>
      <c r="I48" s="89">
        <v>0</v>
      </c>
      <c r="J48" s="108">
        <f>ROUND(I48,2)*H48</f>
        <v>0</v>
      </c>
      <c r="L48" s="59"/>
      <c r="M48" s="59"/>
      <c r="N48" s="61"/>
      <c r="O48" s="59"/>
    </row>
    <row r="49" spans="1:15" ht="14.25" x14ac:dyDescent="0.2">
      <c r="A49" s="140"/>
      <c r="B49" s="162"/>
      <c r="C49" s="160"/>
      <c r="D49" s="23" t="s">
        <v>284</v>
      </c>
      <c r="E49" s="141" t="s">
        <v>285</v>
      </c>
      <c r="F49" s="163"/>
      <c r="G49" s="25" t="s">
        <v>283</v>
      </c>
      <c r="H49" s="164">
        <v>17</v>
      </c>
      <c r="I49" s="86"/>
      <c r="J49" s="144"/>
      <c r="L49" s="59"/>
      <c r="M49" s="59"/>
      <c r="N49" s="61"/>
      <c r="O49" s="59"/>
    </row>
    <row r="50" spans="1:15" ht="14.25" x14ac:dyDescent="0.2">
      <c r="A50" s="140"/>
      <c r="B50" s="162"/>
      <c r="C50" s="160"/>
      <c r="D50" s="23" t="s">
        <v>286</v>
      </c>
      <c r="E50" s="141" t="s">
        <v>287</v>
      </c>
      <c r="F50" s="163"/>
      <c r="G50" s="25" t="s">
        <v>283</v>
      </c>
      <c r="H50" s="164">
        <v>51</v>
      </c>
      <c r="I50" s="86"/>
      <c r="J50" s="144"/>
      <c r="L50" s="59"/>
      <c r="M50" s="59"/>
      <c r="N50" s="61"/>
      <c r="O50" s="59"/>
    </row>
    <row r="51" spans="1:15" ht="14.25" x14ac:dyDescent="0.2">
      <c r="A51" s="140"/>
      <c r="B51" s="162"/>
      <c r="C51" s="160"/>
      <c r="D51" s="23" t="s">
        <v>288</v>
      </c>
      <c r="E51" s="141" t="s">
        <v>289</v>
      </c>
      <c r="F51" s="163"/>
      <c r="G51" s="25" t="s">
        <v>283</v>
      </c>
      <c r="H51" s="164">
        <v>37</v>
      </c>
      <c r="I51" s="86"/>
      <c r="J51" s="144"/>
      <c r="L51" s="59"/>
      <c r="M51" s="59"/>
      <c r="N51" s="61"/>
      <c r="O51" s="59"/>
    </row>
    <row r="52" spans="1:15" ht="14.25" x14ac:dyDescent="0.2">
      <c r="A52" s="62"/>
      <c r="B52" s="29"/>
      <c r="C52" s="31"/>
      <c r="D52" s="23"/>
      <c r="E52" s="24"/>
      <c r="F52" s="24"/>
      <c r="G52" s="25"/>
      <c r="H52" s="122"/>
      <c r="I52" s="63"/>
      <c r="J52" s="113"/>
      <c r="L52" s="59"/>
      <c r="M52" s="59"/>
      <c r="N52" s="61"/>
      <c r="O52" s="59"/>
    </row>
    <row r="53" spans="1:15" ht="14.25" x14ac:dyDescent="0.2">
      <c r="A53" s="62">
        <f>MAX(A$2:A51)+1</f>
        <v>9</v>
      </c>
      <c r="B53" s="17"/>
      <c r="C53" s="26" t="s">
        <v>290</v>
      </c>
      <c r="D53" s="160"/>
      <c r="E53" s="87" t="s">
        <v>291</v>
      </c>
      <c r="F53" s="88"/>
      <c r="G53" s="22" t="s">
        <v>283</v>
      </c>
      <c r="H53" s="161">
        <f>H54+H55+H56</f>
        <v>105</v>
      </c>
      <c r="I53" s="89">
        <v>0</v>
      </c>
      <c r="J53" s="108">
        <f>ROUND(I53,2)*H53</f>
        <v>0</v>
      </c>
      <c r="L53" s="59"/>
      <c r="M53" s="59"/>
      <c r="N53" s="61"/>
      <c r="O53" s="59"/>
    </row>
    <row r="54" spans="1:15" ht="14.25" x14ac:dyDescent="0.2">
      <c r="A54" s="140"/>
      <c r="B54" s="162"/>
      <c r="C54" s="160"/>
      <c r="D54" s="23" t="s">
        <v>292</v>
      </c>
      <c r="E54" s="141" t="s">
        <v>293</v>
      </c>
      <c r="F54" s="163"/>
      <c r="G54" s="25" t="s">
        <v>283</v>
      </c>
      <c r="H54" s="164">
        <v>17</v>
      </c>
      <c r="I54" s="86"/>
      <c r="J54" s="144"/>
      <c r="L54" s="59"/>
      <c r="M54" s="59"/>
      <c r="N54" s="61"/>
      <c r="O54" s="59"/>
    </row>
    <row r="55" spans="1:15" ht="14.25" x14ac:dyDescent="0.2">
      <c r="A55" s="140"/>
      <c r="B55" s="162"/>
      <c r="C55" s="160"/>
      <c r="D55" s="23" t="s">
        <v>294</v>
      </c>
      <c r="E55" s="141" t="s">
        <v>295</v>
      </c>
      <c r="F55" s="163"/>
      <c r="G55" s="25" t="s">
        <v>283</v>
      </c>
      <c r="H55" s="164">
        <v>51</v>
      </c>
      <c r="I55" s="86"/>
      <c r="J55" s="144"/>
      <c r="L55" s="59"/>
      <c r="M55" s="59"/>
      <c r="N55" s="61"/>
      <c r="O55" s="59"/>
    </row>
    <row r="56" spans="1:15" ht="25.5" x14ac:dyDescent="0.2">
      <c r="A56" s="140"/>
      <c r="B56" s="162"/>
      <c r="C56" s="160"/>
      <c r="D56" s="23" t="s">
        <v>296</v>
      </c>
      <c r="E56" s="141" t="s">
        <v>297</v>
      </c>
      <c r="F56" s="163"/>
      <c r="G56" s="25" t="s">
        <v>283</v>
      </c>
      <c r="H56" s="164">
        <v>37</v>
      </c>
      <c r="I56" s="86"/>
      <c r="J56" s="144"/>
      <c r="L56" s="59"/>
      <c r="M56" s="59"/>
      <c r="N56" s="61"/>
      <c r="O56" s="59"/>
    </row>
    <row r="57" spans="1:15" ht="14.25" x14ac:dyDescent="0.2">
      <c r="A57" s="140"/>
      <c r="B57" s="162"/>
      <c r="C57" s="160"/>
      <c r="D57" s="23"/>
      <c r="E57" s="141"/>
      <c r="F57" s="163"/>
      <c r="G57" s="25"/>
      <c r="H57" s="164"/>
      <c r="I57" s="86"/>
      <c r="J57" s="144"/>
      <c r="L57" s="59"/>
      <c r="M57" s="59"/>
      <c r="N57" s="61"/>
      <c r="O57" s="59"/>
    </row>
    <row r="58" spans="1:15" ht="25.5" x14ac:dyDescent="0.2">
      <c r="A58" s="62">
        <f>MAX(A$2:A57)+1</f>
        <v>10</v>
      </c>
      <c r="B58" s="17"/>
      <c r="C58" s="26" t="s">
        <v>131</v>
      </c>
      <c r="D58" s="160"/>
      <c r="E58" s="87" t="s">
        <v>132</v>
      </c>
      <c r="F58" s="88"/>
      <c r="G58" s="22" t="s">
        <v>16</v>
      </c>
      <c r="H58" s="161">
        <f>H59</f>
        <v>3970.3239999999996</v>
      </c>
      <c r="I58" s="89">
        <v>0</v>
      </c>
      <c r="J58" s="108">
        <f>ROUND(I58,2)*H58</f>
        <v>0</v>
      </c>
      <c r="L58" s="59"/>
      <c r="M58" s="59"/>
      <c r="N58" s="61"/>
      <c r="O58" s="59"/>
    </row>
    <row r="59" spans="1:15" ht="25.5" x14ac:dyDescent="0.2">
      <c r="A59" s="140"/>
      <c r="B59" s="162"/>
      <c r="C59" s="160"/>
      <c r="D59" s="23" t="s">
        <v>133</v>
      </c>
      <c r="E59" s="141" t="s">
        <v>134</v>
      </c>
      <c r="F59" s="163"/>
      <c r="G59" s="25" t="s">
        <v>16</v>
      </c>
      <c r="H59" s="164">
        <f>F60</f>
        <v>3970.3239999999996</v>
      </c>
      <c r="I59" s="86"/>
      <c r="J59" s="144"/>
      <c r="L59" s="59"/>
      <c r="M59" s="59"/>
      <c r="N59" s="61"/>
      <c r="O59" s="59"/>
    </row>
    <row r="60" spans="1:15" ht="15" x14ac:dyDescent="0.2">
      <c r="A60" s="82"/>
      <c r="B60" s="114"/>
      <c r="C60" s="90"/>
      <c r="D60" s="91"/>
      <c r="E60" s="103" t="s">
        <v>353</v>
      </c>
      <c r="F60" s="104">
        <f>11.08*2.5+11.96*(2.5+7.13)+7.48*(7.13+12.5)+7.73*25+0.53*25+0.82*25+1.8*25+9.68*25+9.27*25+8.03*25+9.39*(12.5+25)+8.34*(25+12.5)+8.08*25+5.62*25+3.61*25+3.96*25+7.82*25+3.97*25+7.97*25+7.9*25+7.89*25+7.9*25+7.59*25+7.67*(12.5+8.47)+8.94*(8.47+1.51)+7.57*1.51</f>
        <v>3970.3239999999996</v>
      </c>
      <c r="G60" s="93" t="s">
        <v>16</v>
      </c>
      <c r="H60" s="115"/>
      <c r="I60" s="63"/>
      <c r="J60" s="113"/>
      <c r="L60" s="59"/>
      <c r="M60" s="60"/>
      <c r="N60" s="60"/>
      <c r="O60" s="60"/>
    </row>
    <row r="61" spans="1:15" ht="14.25" x14ac:dyDescent="0.2">
      <c r="A61" s="62"/>
      <c r="B61" s="17"/>
      <c r="C61" s="28"/>
      <c r="D61" s="23"/>
      <c r="E61" s="24"/>
      <c r="F61" s="124"/>
      <c r="G61" s="25"/>
      <c r="H61" s="122"/>
      <c r="I61" s="63"/>
      <c r="J61" s="113"/>
      <c r="L61" s="59"/>
      <c r="M61" s="59"/>
      <c r="N61" s="61"/>
      <c r="O61" s="59"/>
    </row>
    <row r="62" spans="1:15" ht="25.5" x14ac:dyDescent="0.2">
      <c r="A62" s="62">
        <f>MAX(A$2:A59)+1</f>
        <v>11</v>
      </c>
      <c r="B62" s="17"/>
      <c r="C62" s="26" t="s">
        <v>135</v>
      </c>
      <c r="D62" s="160"/>
      <c r="E62" s="87" t="s">
        <v>136</v>
      </c>
      <c r="F62" s="88"/>
      <c r="G62" s="22" t="s">
        <v>16</v>
      </c>
      <c r="H62" s="161">
        <f>H63</f>
        <v>1935.5</v>
      </c>
      <c r="I62" s="89">
        <v>0</v>
      </c>
      <c r="J62" s="108">
        <f>ROUND(I62,2)*H62</f>
        <v>0</v>
      </c>
      <c r="L62" s="59"/>
      <c r="M62" s="59"/>
      <c r="N62" s="61"/>
      <c r="O62" s="59"/>
    </row>
    <row r="63" spans="1:15" ht="25.5" x14ac:dyDescent="0.2">
      <c r="A63" s="140"/>
      <c r="B63" s="162"/>
      <c r="C63" s="160"/>
      <c r="D63" s="23" t="s">
        <v>137</v>
      </c>
      <c r="E63" s="141" t="s">
        <v>138</v>
      </c>
      <c r="F63" s="163"/>
      <c r="G63" s="25" t="s">
        <v>16</v>
      </c>
      <c r="H63" s="164">
        <f>F64</f>
        <v>1935.5</v>
      </c>
      <c r="I63" s="86"/>
      <c r="J63" s="144"/>
      <c r="L63" s="59"/>
      <c r="M63" s="59"/>
      <c r="N63" s="61"/>
      <c r="O63" s="59"/>
    </row>
    <row r="64" spans="1:15" ht="15" x14ac:dyDescent="0.2">
      <c r="A64" s="82"/>
      <c r="B64" s="114"/>
      <c r="C64" s="90"/>
      <c r="D64" s="91"/>
      <c r="E64" s="103" t="s">
        <v>354</v>
      </c>
      <c r="F64" s="104">
        <f>6.28*25+7.06*25+5.6*25+9.33*25+9.23*25+9.24*25+9.28*25+10.7*25+10.7*25</f>
        <v>1935.5</v>
      </c>
      <c r="G64" s="93" t="s">
        <v>16</v>
      </c>
      <c r="H64" s="115"/>
      <c r="I64" s="63"/>
      <c r="J64" s="113"/>
      <c r="L64" s="59"/>
      <c r="M64" s="60"/>
      <c r="N64" s="60"/>
      <c r="O64" s="60"/>
    </row>
    <row r="65" spans="1:15" ht="14.25" x14ac:dyDescent="0.2">
      <c r="A65" s="62"/>
      <c r="B65" s="17"/>
      <c r="C65" s="28"/>
      <c r="D65" s="23"/>
      <c r="E65" s="24"/>
      <c r="F65" s="121"/>
      <c r="G65" s="25"/>
      <c r="H65" s="122"/>
      <c r="I65" s="63"/>
      <c r="J65" s="113"/>
      <c r="L65" s="59"/>
      <c r="M65" s="59"/>
      <c r="N65" s="61"/>
      <c r="O65" s="59"/>
    </row>
    <row r="66" spans="1:15" ht="14.25" x14ac:dyDescent="0.2">
      <c r="A66" s="50"/>
      <c r="B66" s="29" t="s">
        <v>118</v>
      </c>
      <c r="C66" s="128"/>
      <c r="D66" s="129"/>
      <c r="E66" s="18" t="s">
        <v>119</v>
      </c>
      <c r="F66" s="121"/>
      <c r="G66" s="19"/>
      <c r="H66" s="122"/>
      <c r="I66" s="63"/>
      <c r="J66" s="113"/>
      <c r="L66" s="59"/>
      <c r="M66" s="59"/>
      <c r="N66" s="61"/>
      <c r="O66" s="59"/>
    </row>
    <row r="67" spans="1:15" ht="14.25" x14ac:dyDescent="0.2">
      <c r="A67" s="62">
        <f>MAX(A$2:A65)+1</f>
        <v>12</v>
      </c>
      <c r="B67" s="17"/>
      <c r="C67" s="26" t="s">
        <v>120</v>
      </c>
      <c r="D67" s="160"/>
      <c r="E67" s="87" t="s">
        <v>121</v>
      </c>
      <c r="F67" s="88"/>
      <c r="G67" s="22" t="s">
        <v>37</v>
      </c>
      <c r="H67" s="161">
        <f>H68</f>
        <v>1255.0912648580907</v>
      </c>
      <c r="I67" s="89">
        <v>0</v>
      </c>
      <c r="J67" s="108">
        <f>ROUND(I67,2)*H67</f>
        <v>0</v>
      </c>
      <c r="L67" s="59"/>
      <c r="M67" s="59"/>
      <c r="N67" s="61"/>
      <c r="O67" s="59"/>
    </row>
    <row r="68" spans="1:15" ht="25.5" x14ac:dyDescent="0.2">
      <c r="A68" s="140"/>
      <c r="B68" s="162"/>
      <c r="C68" s="160"/>
      <c r="D68" s="23" t="s">
        <v>122</v>
      </c>
      <c r="E68" s="141" t="s">
        <v>123</v>
      </c>
      <c r="F68" s="163"/>
      <c r="G68" s="25" t="s">
        <v>37</v>
      </c>
      <c r="H68" s="164">
        <f>F69</f>
        <v>1255.0912648580907</v>
      </c>
      <c r="I68" s="86"/>
      <c r="J68" s="144"/>
      <c r="L68" s="59"/>
      <c r="M68" s="59"/>
      <c r="N68" s="61"/>
      <c r="O68" s="59"/>
    </row>
    <row r="69" spans="1:15" ht="15" x14ac:dyDescent="0.2">
      <c r="A69" s="82"/>
      <c r="B69" s="114"/>
      <c r="C69" s="90"/>
      <c r="D69" s="91"/>
      <c r="E69" s="165" t="s">
        <v>355</v>
      </c>
      <c r="F69" s="104">
        <f>0.2*(((3180+204+17+180+2316)/COS(RADIANS(20))))</f>
        <v>1255.0912648580907</v>
      </c>
      <c r="G69" s="93" t="s">
        <v>37</v>
      </c>
      <c r="H69" s="115"/>
      <c r="I69" s="63"/>
      <c r="J69" s="113"/>
      <c r="L69" s="59"/>
      <c r="M69" s="60"/>
      <c r="N69" s="60"/>
      <c r="O69" s="60"/>
    </row>
    <row r="70" spans="1:15" ht="14.25" x14ac:dyDescent="0.2">
      <c r="A70" s="62"/>
      <c r="B70" s="17"/>
      <c r="C70" s="28"/>
      <c r="D70" s="27"/>
      <c r="E70" s="127"/>
      <c r="F70" s="121"/>
      <c r="G70" s="19"/>
      <c r="H70" s="122"/>
      <c r="I70" s="63"/>
      <c r="J70" s="113"/>
      <c r="L70" s="59"/>
      <c r="M70" s="65"/>
      <c r="N70" s="61"/>
      <c r="O70" s="59"/>
    </row>
    <row r="71" spans="1:15" ht="14.25" x14ac:dyDescent="0.2">
      <c r="A71" s="50"/>
      <c r="B71" s="29" t="s">
        <v>23</v>
      </c>
      <c r="C71" s="128"/>
      <c r="D71" s="129"/>
      <c r="E71" s="18" t="s">
        <v>24</v>
      </c>
      <c r="F71" s="121"/>
      <c r="G71" s="19"/>
      <c r="H71" s="122"/>
      <c r="I71" s="63"/>
      <c r="J71" s="113"/>
      <c r="L71" s="59"/>
      <c r="M71" s="59"/>
      <c r="N71" s="61"/>
      <c r="O71" s="59"/>
    </row>
    <row r="72" spans="1:15" ht="25.5" x14ac:dyDescent="0.2">
      <c r="A72" s="62">
        <f>MAX(A$2:A70)+1</f>
        <v>13</v>
      </c>
      <c r="B72" s="17"/>
      <c r="C72" s="26" t="s">
        <v>25</v>
      </c>
      <c r="D72" s="160"/>
      <c r="E72" s="87" t="s">
        <v>26</v>
      </c>
      <c r="F72" s="88"/>
      <c r="G72" s="22" t="s">
        <v>16</v>
      </c>
      <c r="H72" s="161">
        <f>H73</f>
        <v>5544.3806815501375</v>
      </c>
      <c r="I72" s="89">
        <v>0</v>
      </c>
      <c r="J72" s="108">
        <f>ROUND(I72,2)*H72</f>
        <v>0</v>
      </c>
      <c r="L72" s="59"/>
      <c r="M72" s="59"/>
      <c r="N72" s="61"/>
      <c r="O72" s="59"/>
    </row>
    <row r="73" spans="1:15" ht="25.5" x14ac:dyDescent="0.2">
      <c r="A73" s="140"/>
      <c r="B73" s="162"/>
      <c r="C73" s="160"/>
      <c r="D73" s="23" t="s">
        <v>27</v>
      </c>
      <c r="E73" s="141" t="s">
        <v>28</v>
      </c>
      <c r="F73" s="163"/>
      <c r="G73" s="25" t="s">
        <v>16</v>
      </c>
      <c r="H73" s="164">
        <f>F74</f>
        <v>5544.3806815501375</v>
      </c>
      <c r="I73" s="86"/>
      <c r="J73" s="144"/>
      <c r="L73" s="59"/>
      <c r="M73" s="59"/>
      <c r="N73" s="61"/>
      <c r="O73" s="59"/>
    </row>
    <row r="74" spans="1:15" ht="15" x14ac:dyDescent="0.2">
      <c r="A74" s="82"/>
      <c r="B74" s="114"/>
      <c r="C74" s="90"/>
      <c r="D74" s="91"/>
      <c r="E74" s="165" t="s">
        <v>302</v>
      </c>
      <c r="F74" s="104">
        <f>794*SQRT(2)+938/COS(RADIANS(33.54))+284.6*SQRT(2)+27/COS(RADIANS(33.54))+106.99/COS(RADIANS(33.54))+((2356/COS(RADIANS(33.69))+2356/COS(RADIANS(26.57)))/2)</f>
        <v>5544.3806815501375</v>
      </c>
      <c r="G74" s="93" t="s">
        <v>16</v>
      </c>
      <c r="H74" s="115"/>
      <c r="I74" s="63"/>
      <c r="J74" s="113"/>
      <c r="L74" s="59"/>
      <c r="M74" s="60"/>
      <c r="N74" s="60"/>
      <c r="O74" s="60"/>
    </row>
    <row r="75" spans="1:15" ht="14.25" x14ac:dyDescent="0.2">
      <c r="A75" s="62"/>
      <c r="B75" s="63"/>
      <c r="C75" s="64"/>
      <c r="D75" s="23"/>
      <c r="E75" s="24"/>
      <c r="F75" s="121"/>
      <c r="G75" s="25"/>
      <c r="H75" s="122"/>
      <c r="I75" s="63"/>
      <c r="J75" s="113"/>
      <c r="L75" s="59"/>
      <c r="M75" s="59"/>
      <c r="N75" s="61"/>
      <c r="O75" s="59"/>
    </row>
    <row r="76" spans="1:15" ht="25.5" x14ac:dyDescent="0.2">
      <c r="A76" s="62">
        <f>MAX(A$2:A74)+1</f>
        <v>14</v>
      </c>
      <c r="B76" s="17"/>
      <c r="C76" s="26" t="s">
        <v>29</v>
      </c>
      <c r="D76" s="160"/>
      <c r="E76" s="87" t="s">
        <v>30</v>
      </c>
      <c r="F76" s="88"/>
      <c r="G76" s="22" t="s">
        <v>16</v>
      </c>
      <c r="H76" s="161">
        <f>H77</f>
        <v>5544.3806815501375</v>
      </c>
      <c r="I76" s="89">
        <v>0</v>
      </c>
      <c r="J76" s="108">
        <f>ROUND(I76,2)*H76</f>
        <v>0</v>
      </c>
      <c r="L76" s="59"/>
      <c r="M76" s="59"/>
      <c r="N76" s="61"/>
      <c r="O76" s="59"/>
    </row>
    <row r="77" spans="1:15" ht="25.5" x14ac:dyDescent="0.2">
      <c r="A77" s="140"/>
      <c r="B77" s="162"/>
      <c r="C77" s="160"/>
      <c r="D77" s="23" t="s">
        <v>31</v>
      </c>
      <c r="E77" s="141" t="s">
        <v>32</v>
      </c>
      <c r="F77" s="163"/>
      <c r="G77" s="25" t="s">
        <v>16</v>
      </c>
      <c r="H77" s="164">
        <f>F74</f>
        <v>5544.3806815501375</v>
      </c>
      <c r="I77" s="86"/>
      <c r="J77" s="144"/>
      <c r="L77" s="59"/>
      <c r="M77" s="59"/>
      <c r="N77" s="61"/>
      <c r="O77" s="59"/>
    </row>
    <row r="78" spans="1:15" ht="14.25" x14ac:dyDescent="0.2">
      <c r="A78" s="62"/>
      <c r="B78" s="66"/>
      <c r="C78" s="67"/>
      <c r="D78" s="23"/>
      <c r="E78" s="24"/>
      <c r="F78" s="121"/>
      <c r="G78" s="25"/>
      <c r="H78" s="123"/>
      <c r="I78" s="63"/>
      <c r="J78" s="113"/>
      <c r="L78" s="59"/>
      <c r="M78" s="59"/>
      <c r="N78" s="61"/>
      <c r="O78" s="59"/>
    </row>
    <row r="79" spans="1:15" ht="14.25" x14ac:dyDescent="0.2">
      <c r="A79" s="130"/>
      <c r="B79" s="29" t="s">
        <v>33</v>
      </c>
      <c r="C79" s="31"/>
      <c r="D79" s="32"/>
      <c r="E79" s="18" t="s">
        <v>34</v>
      </c>
      <c r="F79" s="121"/>
      <c r="G79" s="68"/>
      <c r="H79" s="123"/>
      <c r="I79" s="63"/>
      <c r="J79" s="113"/>
      <c r="L79" s="59"/>
      <c r="M79" s="59"/>
      <c r="N79" s="61"/>
      <c r="O79" s="59"/>
    </row>
    <row r="80" spans="1:15" ht="14.25" x14ac:dyDescent="0.2">
      <c r="A80" s="62">
        <f>MAX(A$2:A78)+1</f>
        <v>15</v>
      </c>
      <c r="B80" s="17"/>
      <c r="C80" s="26" t="s">
        <v>192</v>
      </c>
      <c r="D80" s="160"/>
      <c r="E80" s="87" t="s">
        <v>193</v>
      </c>
      <c r="F80" s="88"/>
      <c r="G80" s="22" t="s">
        <v>37</v>
      </c>
      <c r="H80" s="161">
        <f>H81</f>
        <v>5853.1450000000004</v>
      </c>
      <c r="I80" s="89">
        <v>0</v>
      </c>
      <c r="J80" s="108">
        <f>ROUND(I80,2)*H80</f>
        <v>0</v>
      </c>
      <c r="L80" s="59"/>
      <c r="M80" s="59"/>
      <c r="N80" s="61"/>
      <c r="O80" s="59"/>
    </row>
    <row r="81" spans="1:15" ht="14.25" x14ac:dyDescent="0.2">
      <c r="A81" s="140"/>
      <c r="B81" s="162"/>
      <c r="C81" s="160"/>
      <c r="D81" s="23" t="s">
        <v>194</v>
      </c>
      <c r="E81" s="141" t="s">
        <v>195</v>
      </c>
      <c r="F81" s="163"/>
      <c r="G81" s="25" t="s">
        <v>37</v>
      </c>
      <c r="H81" s="164">
        <f>F84</f>
        <v>5853.1450000000004</v>
      </c>
      <c r="I81" s="86"/>
      <c r="J81" s="144"/>
      <c r="L81" s="59"/>
      <c r="M81" s="59"/>
      <c r="N81" s="61"/>
      <c r="O81" s="59"/>
    </row>
    <row r="82" spans="1:15" ht="15" x14ac:dyDescent="0.2">
      <c r="A82" s="82"/>
      <c r="B82" s="114"/>
      <c r="C82" s="90"/>
      <c r="D82" s="91"/>
      <c r="E82" s="165" t="s">
        <v>196</v>
      </c>
      <c r="F82" s="104">
        <f>750*1.8</f>
        <v>1350</v>
      </c>
      <c r="G82" s="93" t="s">
        <v>37</v>
      </c>
      <c r="H82" s="115"/>
      <c r="I82" s="63"/>
      <c r="J82" s="113"/>
      <c r="L82" s="59"/>
      <c r="M82" s="60"/>
      <c r="N82" s="60"/>
      <c r="O82" s="60"/>
    </row>
    <row r="83" spans="1:15" ht="15" x14ac:dyDescent="0.2">
      <c r="A83" s="82"/>
      <c r="B83" s="114"/>
      <c r="C83" s="90"/>
      <c r="D83" s="91"/>
      <c r="E83" s="165" t="s">
        <v>216</v>
      </c>
      <c r="F83" s="159">
        <f>18.14*37.5+22.58*25+39*25+33.71*25+32.85*25+24.29*25.5</f>
        <v>4503.1450000000004</v>
      </c>
      <c r="G83" s="93" t="s">
        <v>37</v>
      </c>
      <c r="H83" s="115"/>
      <c r="I83" s="63"/>
      <c r="J83" s="113"/>
      <c r="L83" s="59"/>
      <c r="M83" s="60"/>
      <c r="N83" s="60"/>
      <c r="O83" s="60"/>
    </row>
    <row r="84" spans="1:15" ht="15" x14ac:dyDescent="0.2">
      <c r="A84" s="82"/>
      <c r="B84" s="114"/>
      <c r="C84" s="90"/>
      <c r="D84" s="91"/>
      <c r="E84" s="151" t="s">
        <v>147</v>
      </c>
      <c r="F84" s="152">
        <f>SUM(F82:F83)</f>
        <v>5853.1450000000004</v>
      </c>
      <c r="G84" s="93" t="s">
        <v>37</v>
      </c>
      <c r="H84" s="115"/>
      <c r="I84" s="63"/>
      <c r="J84" s="113"/>
      <c r="L84" s="59"/>
      <c r="M84" s="60"/>
      <c r="N84" s="60"/>
      <c r="O84" s="60"/>
    </row>
    <row r="85" spans="1:15" ht="14.25" x14ac:dyDescent="0.2">
      <c r="A85" s="130"/>
      <c r="B85" s="29"/>
      <c r="C85" s="31"/>
      <c r="D85" s="32"/>
      <c r="E85" s="18"/>
      <c r="F85" s="121"/>
      <c r="G85" s="68"/>
      <c r="H85" s="123"/>
      <c r="I85" s="63"/>
      <c r="J85" s="113"/>
      <c r="L85" s="59"/>
      <c r="M85" s="59"/>
      <c r="N85" s="61"/>
      <c r="O85" s="59"/>
    </row>
    <row r="86" spans="1:15" ht="14.25" x14ac:dyDescent="0.2">
      <c r="A86" s="62">
        <f>MAX(A$2:A84)+1</f>
        <v>16</v>
      </c>
      <c r="B86" s="17"/>
      <c r="C86" s="26" t="s">
        <v>35</v>
      </c>
      <c r="D86" s="160"/>
      <c r="E86" s="87" t="s">
        <v>36</v>
      </c>
      <c r="F86" s="88"/>
      <c r="G86" s="22" t="s">
        <v>37</v>
      </c>
      <c r="H86" s="161">
        <f>H87</f>
        <v>2395.9292999999998</v>
      </c>
      <c r="I86" s="89">
        <v>0</v>
      </c>
      <c r="J86" s="108">
        <f>ROUND(I86,2)*H86</f>
        <v>0</v>
      </c>
      <c r="L86" s="59"/>
      <c r="M86" s="59"/>
      <c r="N86" s="61"/>
      <c r="O86" s="59"/>
    </row>
    <row r="87" spans="1:15" ht="25.5" x14ac:dyDescent="0.2">
      <c r="A87" s="140"/>
      <c r="B87" s="162"/>
      <c r="C87" s="160"/>
      <c r="D87" s="23" t="s">
        <v>203</v>
      </c>
      <c r="E87" s="141" t="s">
        <v>204</v>
      </c>
      <c r="F87" s="163"/>
      <c r="G87" s="25" t="s">
        <v>37</v>
      </c>
      <c r="H87" s="164">
        <f>F88</f>
        <v>2395.9292999999998</v>
      </c>
      <c r="I87" s="86"/>
      <c r="J87" s="144"/>
      <c r="L87" s="59"/>
      <c r="M87" s="59"/>
      <c r="N87" s="61"/>
      <c r="O87" s="59"/>
    </row>
    <row r="88" spans="1:15" ht="15" x14ac:dyDescent="0.2">
      <c r="A88" s="82"/>
      <c r="B88" s="114"/>
      <c r="C88" s="90"/>
      <c r="D88" s="91"/>
      <c r="E88" s="165" t="s">
        <v>356</v>
      </c>
      <c r="F88" s="104">
        <f>0.83*2.5+1.04*(2.5+7.13)+1.3*(7.13+12.5)+(2.06+0.63)*25+(1.12+0.69)*25+(2.75+0.8)*25+3.08*25+2.75*25+2.89*25+3.06*25+4.55*(12.5+25)+3.96*(25+12.5)+(1.61+3.04)*25+(1.42+1.21)*25+2.11*25+2.55*25+0.26*25+3.07*25+1.61*25+(3.13+4.35)*25+(3.64+2.88)*25+(3.16+0.62)*25+(2.05+1.31)*25+(2.22+0.78)*25+(2.29+2.61)*25+(1.23+2.15)*25+(0.84+1.84)*25+(0.94+1.89)*25+(0.77+2.13)*25+(0.57+1.24)*25+(0.52+1.74)*(12.5+8.47)+0.76*(8.47+1.51)+0.31*1.51</f>
        <v>2395.9292999999998</v>
      </c>
      <c r="G88" s="93" t="s">
        <v>37</v>
      </c>
      <c r="H88" s="115"/>
      <c r="I88" s="63"/>
      <c r="J88" s="113"/>
      <c r="L88" s="59"/>
      <c r="M88" s="60"/>
      <c r="N88" s="60"/>
      <c r="O88" s="60"/>
    </row>
    <row r="89" spans="1:15" ht="14.25" x14ac:dyDescent="0.2">
      <c r="A89" s="50"/>
      <c r="B89" s="51"/>
      <c r="C89" s="52"/>
      <c r="D89" s="23"/>
      <c r="E89" s="24"/>
      <c r="F89" s="121"/>
      <c r="G89" s="25"/>
      <c r="H89" s="122"/>
      <c r="I89" s="63"/>
      <c r="J89" s="113"/>
      <c r="L89" s="59"/>
      <c r="M89" s="65"/>
      <c r="N89" s="59"/>
      <c r="O89" s="59"/>
    </row>
    <row r="90" spans="1:15" ht="14.25" x14ac:dyDescent="0.2">
      <c r="A90" s="62">
        <f>MAX(A$2:A87)+1</f>
        <v>17</v>
      </c>
      <c r="B90" s="17"/>
      <c r="C90" s="26" t="s">
        <v>38</v>
      </c>
      <c r="D90" s="160"/>
      <c r="E90" s="87" t="s">
        <v>39</v>
      </c>
      <c r="F90" s="88"/>
      <c r="G90" s="22" t="s">
        <v>37</v>
      </c>
      <c r="H90" s="161">
        <f>H91</f>
        <v>1154.5600000000002</v>
      </c>
      <c r="I90" s="89">
        <v>0</v>
      </c>
      <c r="J90" s="108">
        <f>ROUND(I90,2)*H90</f>
        <v>0</v>
      </c>
      <c r="L90" s="59"/>
      <c r="M90" s="59"/>
      <c r="N90" s="61"/>
      <c r="O90" s="59"/>
    </row>
    <row r="91" spans="1:15" ht="25.5" x14ac:dyDescent="0.2">
      <c r="A91" s="140"/>
      <c r="B91" s="162"/>
      <c r="C91" s="160"/>
      <c r="D91" s="23" t="s">
        <v>40</v>
      </c>
      <c r="E91" s="141" t="s">
        <v>41</v>
      </c>
      <c r="F91" s="163"/>
      <c r="G91" s="25" t="s">
        <v>37</v>
      </c>
      <c r="H91" s="164">
        <f>F94</f>
        <v>1154.5600000000002</v>
      </c>
      <c r="I91" s="86"/>
      <c r="J91" s="144"/>
      <c r="L91" s="59"/>
      <c r="M91" s="59"/>
      <c r="N91" s="61"/>
      <c r="O91" s="59"/>
    </row>
    <row r="92" spans="1:15" ht="15" x14ac:dyDescent="0.2">
      <c r="A92" s="82"/>
      <c r="B92" s="114"/>
      <c r="C92" s="90"/>
      <c r="D92" s="91"/>
      <c r="E92" s="165" t="s">
        <v>214</v>
      </c>
      <c r="F92" s="104">
        <f>2*9.6*1.8+2*11.2*2.2</f>
        <v>83.84</v>
      </c>
      <c r="G92" s="93" t="s">
        <v>37</v>
      </c>
      <c r="H92" s="115"/>
      <c r="I92" s="63"/>
      <c r="J92" s="113"/>
      <c r="L92" s="59"/>
      <c r="M92" s="60"/>
      <c r="N92" s="60"/>
      <c r="O92" s="60"/>
    </row>
    <row r="93" spans="1:15" ht="15" x14ac:dyDescent="0.2">
      <c r="A93" s="82"/>
      <c r="B93" s="114"/>
      <c r="C93" s="90"/>
      <c r="D93" s="91"/>
      <c r="E93" s="165" t="s">
        <v>215</v>
      </c>
      <c r="F93" s="159">
        <f>16.22*1+16.5*1+16.78*1+17.19*1+(17.72+18.26+18.8+19.33+19.87+20.45+21.19+21.91+22.59+23.22+23.8+24.31+24.27+24.15+23.93+23.59+23.12+22.42+23+23.81+24.45+24.92+25.23+25.61+26.13)*1.5+(23.05+22.55+22.06+22.11+22.05+21.75+21.34)*1</f>
        <v>1070.7200000000003</v>
      </c>
      <c r="G93" s="93" t="s">
        <v>37</v>
      </c>
      <c r="H93" s="115"/>
      <c r="I93" s="63"/>
      <c r="J93" s="113"/>
      <c r="L93" s="59"/>
      <c r="M93" s="60"/>
      <c r="N93" s="60"/>
      <c r="O93" s="60"/>
    </row>
    <row r="94" spans="1:15" ht="15" x14ac:dyDescent="0.2">
      <c r="A94" s="82"/>
      <c r="B94" s="114"/>
      <c r="C94" s="90"/>
      <c r="D94" s="91"/>
      <c r="E94" s="151" t="s">
        <v>147</v>
      </c>
      <c r="F94" s="152">
        <f>SUM(F92:F93)</f>
        <v>1154.5600000000002</v>
      </c>
      <c r="G94" s="93" t="s">
        <v>37</v>
      </c>
      <c r="H94" s="115"/>
      <c r="I94" s="63"/>
      <c r="J94" s="113"/>
      <c r="L94" s="59"/>
      <c r="M94" s="60"/>
      <c r="N94" s="60"/>
      <c r="O94" s="60"/>
    </row>
    <row r="95" spans="1:15" ht="14.25" x14ac:dyDescent="0.2">
      <c r="A95" s="50"/>
      <c r="B95" s="51"/>
      <c r="C95" s="52"/>
      <c r="D95" s="23"/>
      <c r="E95" s="24"/>
      <c r="F95" s="121"/>
      <c r="G95" s="25"/>
      <c r="H95" s="122"/>
      <c r="I95" s="63"/>
      <c r="J95" s="113"/>
      <c r="L95" s="59"/>
      <c r="M95" s="69"/>
      <c r="N95" s="59"/>
      <c r="O95" s="59"/>
    </row>
    <row r="96" spans="1:15" ht="14.25" x14ac:dyDescent="0.2">
      <c r="A96" s="62">
        <f>MAX(A$2:A94)+1</f>
        <v>18</v>
      </c>
      <c r="B96" s="17"/>
      <c r="C96" s="26" t="s">
        <v>139</v>
      </c>
      <c r="D96" s="160"/>
      <c r="E96" s="87" t="s">
        <v>140</v>
      </c>
      <c r="F96" s="88"/>
      <c r="G96" s="22" t="s">
        <v>37</v>
      </c>
      <c r="H96" s="161">
        <f>H97</f>
        <v>4044.63</v>
      </c>
      <c r="I96" s="89">
        <v>0</v>
      </c>
      <c r="J96" s="108">
        <f>ROUND(I96,2)*H96</f>
        <v>0</v>
      </c>
      <c r="L96" s="59"/>
      <c r="M96" s="59"/>
      <c r="N96" s="61"/>
      <c r="O96" s="59"/>
    </row>
    <row r="97" spans="1:15" ht="25.5" x14ac:dyDescent="0.2">
      <c r="A97" s="140"/>
      <c r="B97" s="162"/>
      <c r="C97" s="160"/>
      <c r="D97" s="23" t="s">
        <v>182</v>
      </c>
      <c r="E97" s="141" t="s">
        <v>181</v>
      </c>
      <c r="F97" s="163"/>
      <c r="G97" s="25" t="s">
        <v>37</v>
      </c>
      <c r="H97" s="164">
        <f>F100</f>
        <v>4044.63</v>
      </c>
      <c r="I97" s="86"/>
      <c r="J97" s="144"/>
      <c r="L97" s="59"/>
      <c r="M97" s="59"/>
      <c r="N97" s="61"/>
      <c r="O97" s="59"/>
    </row>
    <row r="98" spans="1:15" ht="15" x14ac:dyDescent="0.2">
      <c r="A98" s="82"/>
      <c r="B98" s="114"/>
      <c r="C98" s="90"/>
      <c r="D98" s="91"/>
      <c r="E98" s="165" t="s">
        <v>212</v>
      </c>
      <c r="F98" s="104">
        <f>6.85*37.5+6.86*25+8.58*25+7.78*25+9.05*25+8.07*(13+12.5)</f>
        <v>1269.4100000000001</v>
      </c>
      <c r="G98" s="93" t="s">
        <v>37</v>
      </c>
      <c r="H98" s="115"/>
      <c r="I98" s="63"/>
      <c r="J98" s="113"/>
      <c r="L98" s="59"/>
      <c r="M98" s="60"/>
      <c r="N98" s="60"/>
      <c r="O98" s="60"/>
    </row>
    <row r="99" spans="1:15" ht="15" x14ac:dyDescent="0.2">
      <c r="A99" s="82"/>
      <c r="B99" s="114"/>
      <c r="C99" s="90"/>
      <c r="D99" s="91"/>
      <c r="E99" s="165" t="s">
        <v>213</v>
      </c>
      <c r="F99" s="159">
        <f>11*37.5+12.06*25+26.96*25+19.41*25+20.84*25+14.94*25.5</f>
        <v>2775.22</v>
      </c>
      <c r="G99" s="93" t="s">
        <v>37</v>
      </c>
      <c r="H99" s="115"/>
      <c r="I99" s="63"/>
      <c r="J99" s="113"/>
      <c r="L99" s="59"/>
      <c r="M99" s="60"/>
      <c r="N99" s="60"/>
      <c r="O99" s="60"/>
    </row>
    <row r="100" spans="1:15" ht="15" x14ac:dyDescent="0.2">
      <c r="A100" s="82"/>
      <c r="B100" s="114"/>
      <c r="C100" s="90"/>
      <c r="D100" s="91"/>
      <c r="E100" s="151" t="s">
        <v>147</v>
      </c>
      <c r="F100" s="152">
        <f>SUM(F98:F99)</f>
        <v>4044.63</v>
      </c>
      <c r="G100" s="93" t="s">
        <v>37</v>
      </c>
      <c r="H100" s="115"/>
      <c r="I100" s="63"/>
      <c r="J100" s="113"/>
      <c r="L100" s="59"/>
      <c r="M100" s="60"/>
      <c r="N100" s="60"/>
      <c r="O100" s="60"/>
    </row>
    <row r="101" spans="1:15" ht="14.25" x14ac:dyDescent="0.2">
      <c r="A101" s="50"/>
      <c r="B101" s="51"/>
      <c r="C101" s="52"/>
      <c r="D101" s="23"/>
      <c r="E101" s="24"/>
      <c r="F101" s="121"/>
      <c r="G101" s="25"/>
      <c r="H101" s="122"/>
      <c r="I101" s="63"/>
      <c r="J101" s="113"/>
      <c r="L101" s="59"/>
      <c r="M101" s="69"/>
      <c r="N101" s="59"/>
      <c r="O101" s="59"/>
    </row>
    <row r="102" spans="1:15" ht="14.25" x14ac:dyDescent="0.2">
      <c r="A102" s="62">
        <f>MAX(A$2:A100)+1</f>
        <v>19</v>
      </c>
      <c r="B102" s="17"/>
      <c r="C102" s="26" t="s">
        <v>42</v>
      </c>
      <c r="D102" s="160"/>
      <c r="E102" s="87" t="s">
        <v>43</v>
      </c>
      <c r="F102" s="88"/>
      <c r="G102" s="22" t="s">
        <v>37</v>
      </c>
      <c r="H102" s="161">
        <f>H103</f>
        <v>1402.1617000000001</v>
      </c>
      <c r="I102" s="89">
        <v>0</v>
      </c>
      <c r="J102" s="108">
        <f>ROUND(I102,2)*H102</f>
        <v>0</v>
      </c>
      <c r="L102" s="59"/>
      <c r="M102" s="59"/>
      <c r="N102" s="61"/>
      <c r="O102" s="59"/>
    </row>
    <row r="103" spans="1:15" ht="14.25" x14ac:dyDescent="0.2">
      <c r="A103" s="140"/>
      <c r="B103" s="162"/>
      <c r="C103" s="160"/>
      <c r="D103" s="23" t="s">
        <v>44</v>
      </c>
      <c r="E103" s="141" t="s">
        <v>45</v>
      </c>
      <c r="F103" s="163"/>
      <c r="G103" s="25" t="s">
        <v>37</v>
      </c>
      <c r="H103" s="164">
        <f>F108</f>
        <v>1402.1617000000001</v>
      </c>
      <c r="I103" s="86"/>
      <c r="J103" s="144"/>
      <c r="L103" s="59"/>
      <c r="M103" s="59"/>
      <c r="N103" s="61"/>
      <c r="O103" s="59"/>
    </row>
    <row r="104" spans="1:15" ht="15" x14ac:dyDescent="0.2">
      <c r="A104" s="82"/>
      <c r="B104" s="114"/>
      <c r="C104" s="90"/>
      <c r="D104" s="91"/>
      <c r="E104" s="165" t="s">
        <v>168</v>
      </c>
      <c r="F104" s="104"/>
      <c r="G104" s="93"/>
      <c r="H104" s="115"/>
      <c r="I104" s="63"/>
      <c r="J104" s="113"/>
      <c r="L104" s="59"/>
      <c r="M104" s="60"/>
      <c r="N104" s="60"/>
      <c r="O104" s="60"/>
    </row>
    <row r="105" spans="1:15" ht="15" x14ac:dyDescent="0.2">
      <c r="A105" s="82"/>
      <c r="B105" s="114"/>
      <c r="C105" s="90"/>
      <c r="D105" s="91"/>
      <c r="E105" s="165" t="s">
        <v>229</v>
      </c>
      <c r="F105" s="104">
        <f>3.64*4+0.9*2.7*1+0.977*5.6+1*2.25*0.9+0.29*2</f>
        <v>25.066199999999998</v>
      </c>
      <c r="G105" s="93" t="s">
        <v>37</v>
      </c>
      <c r="H105" s="115"/>
      <c r="I105" s="63"/>
      <c r="J105" s="113"/>
      <c r="L105" s="59"/>
      <c r="M105" s="60"/>
      <c r="N105" s="60"/>
      <c r="O105" s="60"/>
    </row>
    <row r="106" spans="1:15" ht="15" x14ac:dyDescent="0.2">
      <c r="A106" s="82"/>
      <c r="B106" s="114"/>
      <c r="C106" s="90"/>
      <c r="D106" s="91"/>
      <c r="E106" s="165" t="s">
        <v>230</v>
      </c>
      <c r="F106" s="104">
        <f>1.87*4+0.75*1*1.95+0.98*5.6+1*2.45*0.9+5.23*2</f>
        <v>27.095500000000001</v>
      </c>
      <c r="G106" s="93" t="s">
        <v>37</v>
      </c>
      <c r="H106" s="115"/>
      <c r="I106" s="63"/>
      <c r="J106" s="113"/>
      <c r="L106" s="59"/>
      <c r="M106" s="60"/>
      <c r="N106" s="60"/>
      <c r="O106" s="60"/>
    </row>
    <row r="107" spans="1:15" ht="15" x14ac:dyDescent="0.2">
      <c r="A107" s="82"/>
      <c r="B107" s="114"/>
      <c r="C107" s="90"/>
      <c r="D107" s="91"/>
      <c r="E107" s="165" t="s">
        <v>210</v>
      </c>
      <c r="F107" s="159">
        <f>F82</f>
        <v>1350</v>
      </c>
      <c r="G107" s="93" t="s">
        <v>37</v>
      </c>
      <c r="H107" s="115"/>
      <c r="I107" s="63"/>
      <c r="J107" s="113"/>
      <c r="L107" s="59"/>
      <c r="M107" s="60"/>
      <c r="N107" s="60"/>
      <c r="O107" s="60"/>
    </row>
    <row r="108" spans="1:15" ht="15" x14ac:dyDescent="0.2">
      <c r="A108" s="82"/>
      <c r="B108" s="114"/>
      <c r="C108" s="90"/>
      <c r="D108" s="91"/>
      <c r="E108" s="151" t="s">
        <v>147</v>
      </c>
      <c r="F108" s="152">
        <f>SUM(F105:F107)</f>
        <v>1402.1617000000001</v>
      </c>
      <c r="G108" s="93" t="s">
        <v>37</v>
      </c>
      <c r="H108" s="115"/>
      <c r="I108" s="63"/>
      <c r="J108" s="113"/>
      <c r="L108" s="59"/>
      <c r="M108" s="60"/>
      <c r="N108" s="60"/>
      <c r="O108" s="60"/>
    </row>
    <row r="109" spans="1:15" ht="14.25" x14ac:dyDescent="0.2">
      <c r="A109" s="50"/>
      <c r="B109" s="51"/>
      <c r="C109" s="52"/>
      <c r="D109" s="23"/>
      <c r="E109" s="24"/>
      <c r="F109" s="121"/>
      <c r="G109" s="25"/>
      <c r="H109" s="122"/>
      <c r="I109" s="63"/>
      <c r="J109" s="113"/>
      <c r="L109" s="59"/>
      <c r="M109" s="59"/>
      <c r="N109" s="59"/>
      <c r="O109" s="59"/>
    </row>
    <row r="110" spans="1:15" ht="14.25" x14ac:dyDescent="0.2">
      <c r="A110" s="62">
        <f>MAX(A$2:A108)+1</f>
        <v>20</v>
      </c>
      <c r="B110" s="17"/>
      <c r="C110" s="26" t="s">
        <v>141</v>
      </c>
      <c r="D110" s="160"/>
      <c r="E110" s="87" t="s">
        <v>142</v>
      </c>
      <c r="F110" s="88"/>
      <c r="G110" s="22" t="s">
        <v>37</v>
      </c>
      <c r="H110" s="161">
        <f>H111</f>
        <v>9308.7255648580904</v>
      </c>
      <c r="I110" s="89">
        <v>0</v>
      </c>
      <c r="J110" s="108">
        <f>ROUND(I110,2)*H110</f>
        <v>0</v>
      </c>
      <c r="L110" s="59"/>
      <c r="M110" s="59"/>
      <c r="N110" s="61"/>
      <c r="O110" s="59"/>
    </row>
    <row r="111" spans="1:15" ht="14.25" x14ac:dyDescent="0.2">
      <c r="A111" s="140"/>
      <c r="B111" s="162"/>
      <c r="C111" s="160"/>
      <c r="D111" s="23" t="s">
        <v>143</v>
      </c>
      <c r="E111" s="141" t="s">
        <v>144</v>
      </c>
      <c r="F111" s="163"/>
      <c r="G111" s="25" t="s">
        <v>37</v>
      </c>
      <c r="H111" s="164">
        <f>F114</f>
        <v>9308.7255648580904</v>
      </c>
      <c r="I111" s="86"/>
      <c r="J111" s="144"/>
      <c r="L111" s="59"/>
      <c r="M111" s="59"/>
      <c r="N111" s="61"/>
      <c r="O111" s="59"/>
    </row>
    <row r="112" spans="1:15" ht="15" x14ac:dyDescent="0.2">
      <c r="A112" s="82"/>
      <c r="B112" s="114"/>
      <c r="C112" s="90"/>
      <c r="D112" s="91"/>
      <c r="E112" s="165" t="s">
        <v>145</v>
      </c>
      <c r="F112" s="104">
        <f>H67</f>
        <v>1255.0912648580907</v>
      </c>
      <c r="G112" s="93" t="s">
        <v>37</v>
      </c>
      <c r="H112" s="115"/>
      <c r="I112" s="63"/>
      <c r="J112" s="113"/>
      <c r="L112" s="59"/>
      <c r="M112" s="60"/>
      <c r="N112" s="60"/>
      <c r="O112" s="60"/>
    </row>
    <row r="113" spans="1:15" ht="15" x14ac:dyDescent="0.2">
      <c r="A113" s="82"/>
      <c r="B113" s="114"/>
      <c r="C113" s="90"/>
      <c r="D113" s="91"/>
      <c r="E113" s="165" t="s">
        <v>146</v>
      </c>
      <c r="F113" s="159">
        <f>F83+F88+F92+F93</f>
        <v>8053.6343000000006</v>
      </c>
      <c r="G113" s="93" t="s">
        <v>37</v>
      </c>
      <c r="H113" s="115"/>
      <c r="I113" s="63"/>
      <c r="J113" s="113"/>
      <c r="L113" s="59"/>
      <c r="M113" s="60"/>
      <c r="N113" s="60"/>
      <c r="O113" s="60"/>
    </row>
    <row r="114" spans="1:15" ht="15" x14ac:dyDescent="0.2">
      <c r="A114" s="82"/>
      <c r="B114" s="114"/>
      <c r="C114" s="90"/>
      <c r="D114" s="91"/>
      <c r="E114" s="151" t="s">
        <v>147</v>
      </c>
      <c r="F114" s="152">
        <f>SUM(F112:F113)</f>
        <v>9308.7255648580904</v>
      </c>
      <c r="G114" s="93" t="s">
        <v>37</v>
      </c>
      <c r="H114" s="115"/>
      <c r="I114" s="63"/>
      <c r="J114" s="113"/>
      <c r="L114" s="59"/>
      <c r="M114" s="60"/>
      <c r="N114" s="60"/>
      <c r="O114" s="60"/>
    </row>
    <row r="115" spans="1:15" ht="14.25" x14ac:dyDescent="0.2">
      <c r="A115" s="50"/>
      <c r="B115" s="51"/>
      <c r="C115" s="52"/>
      <c r="D115" s="23"/>
      <c r="E115" s="47"/>
      <c r="F115" s="121"/>
      <c r="G115" s="25"/>
      <c r="H115" s="122"/>
      <c r="I115" s="63"/>
      <c r="J115" s="113"/>
      <c r="L115" s="59"/>
      <c r="M115" s="59"/>
      <c r="N115" s="59"/>
      <c r="O115" s="59"/>
    </row>
    <row r="116" spans="1:15" ht="14.25" x14ac:dyDescent="0.2">
      <c r="A116" s="62">
        <f>MAX(A$2:A114)+1</f>
        <v>21</v>
      </c>
      <c r="B116" s="17"/>
      <c r="C116" s="26" t="s">
        <v>185</v>
      </c>
      <c r="D116" s="160"/>
      <c r="E116" s="87" t="s">
        <v>186</v>
      </c>
      <c r="F116" s="88"/>
      <c r="G116" s="22" t="s">
        <v>37</v>
      </c>
      <c r="H116" s="161">
        <f>H117</f>
        <v>10140.382667090611</v>
      </c>
      <c r="I116" s="89">
        <v>0</v>
      </c>
      <c r="J116" s="108">
        <f>ROUND(I116,2)*H116</f>
        <v>0</v>
      </c>
      <c r="L116" s="59"/>
      <c r="M116" s="59"/>
      <c r="N116" s="61"/>
      <c r="O116" s="59"/>
    </row>
    <row r="117" spans="1:15" ht="25.5" x14ac:dyDescent="0.2">
      <c r="A117" s="140"/>
      <c r="B117" s="162"/>
      <c r="C117" s="160"/>
      <c r="D117" s="23" t="s">
        <v>187</v>
      </c>
      <c r="E117" s="141" t="s">
        <v>188</v>
      </c>
      <c r="F117" s="163"/>
      <c r="G117" s="25" t="s">
        <v>37</v>
      </c>
      <c r="H117" s="164">
        <f>F122</f>
        <v>10140.382667090611</v>
      </c>
      <c r="I117" s="86"/>
      <c r="J117" s="144"/>
      <c r="L117" s="59"/>
      <c r="M117" s="59"/>
      <c r="N117" s="61"/>
      <c r="O117" s="59"/>
    </row>
    <row r="118" spans="1:15" ht="14.25" x14ac:dyDescent="0.2">
      <c r="A118" s="50"/>
      <c r="B118" s="51"/>
      <c r="C118" s="52"/>
      <c r="D118" s="23"/>
      <c r="E118" s="24" t="s">
        <v>228</v>
      </c>
      <c r="F118" s="24"/>
      <c r="G118" s="25"/>
      <c r="H118" s="122"/>
      <c r="I118" s="63"/>
      <c r="J118" s="113"/>
      <c r="L118" s="59"/>
      <c r="M118" s="59"/>
      <c r="N118" s="59"/>
      <c r="O118" s="59"/>
    </row>
    <row r="119" spans="1:15" ht="15" x14ac:dyDescent="0.2">
      <c r="A119" s="82"/>
      <c r="B119" s="114"/>
      <c r="C119" s="90"/>
      <c r="D119" s="91"/>
      <c r="E119" s="165" t="s">
        <v>170</v>
      </c>
      <c r="F119" s="104">
        <f>F94+F88+F83</f>
        <v>8053.6343000000006</v>
      </c>
      <c r="G119" s="93" t="s">
        <v>37</v>
      </c>
      <c r="H119" s="115"/>
      <c r="I119" s="63"/>
      <c r="J119" s="113"/>
      <c r="L119" s="59"/>
      <c r="M119" s="60"/>
      <c r="N119" s="60"/>
      <c r="O119" s="60"/>
    </row>
    <row r="120" spans="1:15" ht="15" x14ac:dyDescent="0.2">
      <c r="A120" s="82"/>
      <c r="B120" s="114"/>
      <c r="C120" s="90"/>
      <c r="D120" s="91"/>
      <c r="E120" s="165" t="s">
        <v>169</v>
      </c>
      <c r="F120" s="104">
        <f>H67</f>
        <v>1255.0912648580907</v>
      </c>
      <c r="G120" s="93" t="s">
        <v>37</v>
      </c>
      <c r="H120" s="115"/>
      <c r="I120" s="63"/>
      <c r="J120" s="113"/>
      <c r="L120" s="59"/>
      <c r="M120" s="60"/>
      <c r="N120" s="60"/>
      <c r="O120" s="60"/>
    </row>
    <row r="121" spans="1:15" ht="15" x14ac:dyDescent="0.2">
      <c r="A121" s="82"/>
      <c r="B121" s="114"/>
      <c r="C121" s="90"/>
      <c r="D121" s="91"/>
      <c r="E121" s="165" t="s">
        <v>171</v>
      </c>
      <c r="F121" s="159">
        <f>H124</f>
        <v>831.65710223252063</v>
      </c>
      <c r="G121" s="93" t="s">
        <v>37</v>
      </c>
      <c r="H121" s="115"/>
      <c r="I121" s="63"/>
      <c r="J121" s="113"/>
      <c r="L121" s="59"/>
      <c r="M121" s="60"/>
      <c r="N121" s="60"/>
      <c r="O121" s="60"/>
    </row>
    <row r="122" spans="1:15" ht="15" x14ac:dyDescent="0.2">
      <c r="A122" s="82"/>
      <c r="B122" s="114"/>
      <c r="C122" s="90"/>
      <c r="D122" s="91"/>
      <c r="E122" s="151" t="s">
        <v>147</v>
      </c>
      <c r="F122" s="152">
        <f>SUM(F119:F121)</f>
        <v>10140.382667090611</v>
      </c>
      <c r="G122" s="93" t="s">
        <v>37</v>
      </c>
      <c r="H122" s="115"/>
      <c r="I122" s="63"/>
      <c r="J122" s="113"/>
      <c r="L122" s="59"/>
      <c r="M122" s="60"/>
      <c r="N122" s="60"/>
      <c r="O122" s="60"/>
    </row>
    <row r="123" spans="1:15" ht="14.25" x14ac:dyDescent="0.2">
      <c r="A123" s="50"/>
      <c r="B123" s="51"/>
      <c r="C123" s="52"/>
      <c r="D123" s="23"/>
      <c r="E123" s="48"/>
      <c r="F123" s="121"/>
      <c r="G123" s="25"/>
      <c r="H123" s="122"/>
      <c r="I123" s="63"/>
      <c r="J123" s="113"/>
      <c r="L123" s="59"/>
      <c r="M123" s="59"/>
      <c r="N123" s="59"/>
      <c r="O123" s="59"/>
    </row>
    <row r="124" spans="1:15" ht="14.25" x14ac:dyDescent="0.2">
      <c r="A124" s="62">
        <f>MAX(A$2:A123)+1</f>
        <v>22</v>
      </c>
      <c r="B124" s="17"/>
      <c r="C124" s="26" t="s">
        <v>148</v>
      </c>
      <c r="D124" s="160"/>
      <c r="E124" s="87" t="s">
        <v>149</v>
      </c>
      <c r="F124" s="88"/>
      <c r="G124" s="22" t="s">
        <v>37</v>
      </c>
      <c r="H124" s="161">
        <f>H125</f>
        <v>831.65710223252063</v>
      </c>
      <c r="I124" s="89">
        <v>0</v>
      </c>
      <c r="J124" s="108">
        <f>ROUND(I124,2)*H124</f>
        <v>0</v>
      </c>
      <c r="L124" s="59"/>
      <c r="M124" s="59"/>
      <c r="N124" s="61"/>
      <c r="O124" s="59"/>
    </row>
    <row r="125" spans="1:15" ht="25.5" x14ac:dyDescent="0.2">
      <c r="A125" s="140"/>
      <c r="B125" s="162"/>
      <c r="C125" s="160"/>
      <c r="D125" s="23" t="s">
        <v>150</v>
      </c>
      <c r="E125" s="141" t="s">
        <v>151</v>
      </c>
      <c r="F125" s="163"/>
      <c r="G125" s="25" t="s">
        <v>37</v>
      </c>
      <c r="H125" s="164">
        <f>F126</f>
        <v>831.65710223252063</v>
      </c>
      <c r="I125" s="86"/>
      <c r="J125" s="144"/>
      <c r="L125" s="59"/>
      <c r="M125" s="59"/>
      <c r="N125" s="61"/>
      <c r="O125" s="59"/>
    </row>
    <row r="126" spans="1:15" ht="15" x14ac:dyDescent="0.2">
      <c r="A126" s="82"/>
      <c r="B126" s="114"/>
      <c r="C126" s="90"/>
      <c r="D126" s="91"/>
      <c r="E126" s="165" t="s">
        <v>152</v>
      </c>
      <c r="F126" s="104">
        <f>F74*0.15</f>
        <v>831.65710223252063</v>
      </c>
      <c r="G126" s="93" t="s">
        <v>37</v>
      </c>
      <c r="H126" s="115"/>
      <c r="I126" s="63"/>
      <c r="J126" s="113"/>
      <c r="L126" s="59"/>
      <c r="M126" s="60"/>
      <c r="N126" s="60"/>
      <c r="O126" s="60"/>
    </row>
    <row r="127" spans="1:15" ht="14.25" x14ac:dyDescent="0.2">
      <c r="A127" s="50"/>
      <c r="B127" s="51"/>
      <c r="C127" s="52"/>
      <c r="D127" s="23"/>
      <c r="E127" s="47"/>
      <c r="F127" s="121"/>
      <c r="G127" s="25"/>
      <c r="H127" s="122"/>
      <c r="I127" s="63"/>
      <c r="J127" s="113"/>
      <c r="L127" s="59"/>
      <c r="M127" s="59"/>
      <c r="N127" s="59"/>
      <c r="O127" s="59"/>
    </row>
    <row r="128" spans="1:15" ht="14.25" x14ac:dyDescent="0.2">
      <c r="A128" s="62">
        <f>MAX(A$2:A126)+1</f>
        <v>23</v>
      </c>
      <c r="B128" s="17"/>
      <c r="C128" s="26" t="s">
        <v>153</v>
      </c>
      <c r="D128" s="160"/>
      <c r="E128" s="87" t="s">
        <v>154</v>
      </c>
      <c r="F128" s="88"/>
      <c r="G128" s="22" t="s">
        <v>16</v>
      </c>
      <c r="H128" s="161">
        <f>H129</f>
        <v>2732.8796132619545</v>
      </c>
      <c r="I128" s="89">
        <v>0</v>
      </c>
      <c r="J128" s="108">
        <f>ROUND(I128,2)*H128</f>
        <v>0</v>
      </c>
      <c r="L128" s="59"/>
      <c r="M128" s="59"/>
      <c r="N128" s="61"/>
      <c r="O128" s="59"/>
    </row>
    <row r="129" spans="1:15" ht="25.5" x14ac:dyDescent="0.2">
      <c r="A129" s="140"/>
      <c r="B129" s="162"/>
      <c r="C129" s="160"/>
      <c r="D129" s="23" t="s">
        <v>155</v>
      </c>
      <c r="E129" s="141" t="s">
        <v>156</v>
      </c>
      <c r="F129" s="163"/>
      <c r="G129" s="25" t="s">
        <v>16</v>
      </c>
      <c r="H129" s="164">
        <f>F130</f>
        <v>2732.8796132619545</v>
      </c>
      <c r="I129" s="86"/>
      <c r="J129" s="144"/>
      <c r="L129" s="59"/>
      <c r="M129" s="59"/>
      <c r="N129" s="61"/>
      <c r="O129" s="59"/>
    </row>
    <row r="130" spans="1:15" ht="15" x14ac:dyDescent="0.2">
      <c r="A130" s="82"/>
      <c r="B130" s="114"/>
      <c r="C130" s="90"/>
      <c r="D130" s="91"/>
      <c r="E130" s="165" t="s">
        <v>357</v>
      </c>
      <c r="F130" s="104">
        <f>((2356/COS(RADIANS(33.69))+2356/COS(RADIANS(26.57)))/2)</f>
        <v>2732.8796132619545</v>
      </c>
      <c r="G130" s="93" t="s">
        <v>16</v>
      </c>
      <c r="H130" s="115"/>
      <c r="I130" s="63"/>
      <c r="J130" s="113"/>
      <c r="L130" s="59"/>
      <c r="M130" s="60"/>
      <c r="N130" s="60"/>
      <c r="O130" s="60"/>
    </row>
    <row r="131" spans="1:15" ht="14.25" x14ac:dyDescent="0.2">
      <c r="A131" s="50"/>
      <c r="B131" s="51"/>
      <c r="C131" s="49"/>
      <c r="D131" s="23"/>
      <c r="E131" s="24"/>
      <c r="F131" s="125"/>
      <c r="G131" s="25"/>
      <c r="H131" s="122"/>
      <c r="I131" s="63"/>
      <c r="J131" s="113"/>
      <c r="L131" s="59"/>
      <c r="M131" s="59"/>
      <c r="N131" s="59"/>
      <c r="O131" s="59"/>
    </row>
    <row r="132" spans="1:15" ht="14.25" x14ac:dyDescent="0.2">
      <c r="A132" s="62">
        <f>MAX(A$2:A129)+1</f>
        <v>24</v>
      </c>
      <c r="B132" s="17"/>
      <c r="C132" s="26" t="s">
        <v>218</v>
      </c>
      <c r="D132" s="160"/>
      <c r="E132" s="87" t="s">
        <v>219</v>
      </c>
      <c r="F132" s="88"/>
      <c r="G132" s="22" t="s">
        <v>16</v>
      </c>
      <c r="H132" s="161">
        <f>H133</f>
        <v>2811.5010682881834</v>
      </c>
      <c r="I132" s="89">
        <v>0</v>
      </c>
      <c r="J132" s="108">
        <f>ROUND(I132,2)*H132</f>
        <v>0</v>
      </c>
      <c r="L132" s="59"/>
      <c r="M132" s="59"/>
      <c r="N132" s="61"/>
      <c r="O132" s="59"/>
    </row>
    <row r="133" spans="1:15" ht="25.5" x14ac:dyDescent="0.2">
      <c r="A133" s="140"/>
      <c r="B133" s="162"/>
      <c r="C133" s="160"/>
      <c r="D133" s="23" t="s">
        <v>220</v>
      </c>
      <c r="E133" s="141" t="s">
        <v>221</v>
      </c>
      <c r="F133" s="163"/>
      <c r="G133" s="25" t="s">
        <v>16</v>
      </c>
      <c r="H133" s="164">
        <f>F134</f>
        <v>2811.5010682881834</v>
      </c>
      <c r="I133" s="86"/>
      <c r="J133" s="144"/>
      <c r="L133" s="59"/>
      <c r="M133" s="59"/>
      <c r="N133" s="61"/>
      <c r="O133" s="59"/>
    </row>
    <row r="134" spans="1:15" ht="15" x14ac:dyDescent="0.2">
      <c r="A134" s="82"/>
      <c r="B134" s="114"/>
      <c r="C134" s="90"/>
      <c r="D134" s="91"/>
      <c r="E134" s="165" t="s">
        <v>358</v>
      </c>
      <c r="F134" s="104">
        <f>794*SQRT(2)+938/COS(RADIANS(33.54))+284.6*SQRT(2)+27/COS(RADIANS(33.54))+106.99/COS(RADIANS(33.54))</f>
        <v>2811.5010682881834</v>
      </c>
      <c r="G134" s="93" t="s">
        <v>16</v>
      </c>
      <c r="H134" s="115"/>
      <c r="I134" s="63"/>
      <c r="J134" s="113"/>
      <c r="L134" s="59"/>
      <c r="M134" s="60"/>
      <c r="N134" s="60"/>
      <c r="O134" s="60"/>
    </row>
    <row r="135" spans="1:15" ht="14.25" x14ac:dyDescent="0.2">
      <c r="A135" s="50"/>
      <c r="B135" s="51"/>
      <c r="C135" s="49"/>
      <c r="D135" s="23"/>
      <c r="E135" s="24"/>
      <c r="F135" s="125"/>
      <c r="G135" s="25"/>
      <c r="H135" s="122"/>
      <c r="I135" s="63"/>
      <c r="J135" s="113"/>
      <c r="L135" s="59"/>
      <c r="M135" s="59"/>
      <c r="N135" s="59"/>
      <c r="O135" s="59"/>
    </row>
    <row r="136" spans="1:15" ht="25.5" x14ac:dyDescent="0.2">
      <c r="A136" s="50"/>
      <c r="B136" s="94" t="s">
        <v>305</v>
      </c>
      <c r="C136" s="49"/>
      <c r="D136" s="23"/>
      <c r="E136" s="18" t="s">
        <v>306</v>
      </c>
      <c r="F136" s="125"/>
      <c r="G136" s="25"/>
      <c r="H136" s="122"/>
      <c r="I136" s="63"/>
      <c r="J136" s="113"/>
      <c r="L136" s="59"/>
      <c r="M136" s="59"/>
      <c r="N136" s="59"/>
      <c r="O136" s="59"/>
    </row>
    <row r="137" spans="1:15" ht="25.5" x14ac:dyDescent="0.2">
      <c r="A137" s="62">
        <f>MAX(A$2:A135)+1</f>
        <v>25</v>
      </c>
      <c r="B137" s="17"/>
      <c r="C137" s="26" t="s">
        <v>307</v>
      </c>
      <c r="D137" s="160"/>
      <c r="E137" s="87" t="s">
        <v>308</v>
      </c>
      <c r="F137" s="88"/>
      <c r="G137" s="22" t="s">
        <v>86</v>
      </c>
      <c r="H137" s="161">
        <f>H138</f>
        <v>783</v>
      </c>
      <c r="I137" s="89">
        <v>0</v>
      </c>
      <c r="J137" s="108">
        <f>ROUND(I137,2)*H137</f>
        <v>0</v>
      </c>
      <c r="L137" s="59"/>
      <c r="M137" s="59"/>
      <c r="N137" s="61"/>
      <c r="O137" s="59"/>
    </row>
    <row r="138" spans="1:15" ht="25.5" x14ac:dyDescent="0.2">
      <c r="A138" s="140"/>
      <c r="B138" s="162"/>
      <c r="C138" s="160"/>
      <c r="D138" s="23" t="s">
        <v>309</v>
      </c>
      <c r="E138" s="141" t="s">
        <v>310</v>
      </c>
      <c r="F138" s="163"/>
      <c r="G138" s="25" t="s">
        <v>86</v>
      </c>
      <c r="H138" s="164">
        <f>F139</f>
        <v>783</v>
      </c>
      <c r="I138" s="86"/>
      <c r="J138" s="144"/>
      <c r="L138" s="59"/>
      <c r="M138" s="59"/>
      <c r="N138" s="61"/>
      <c r="O138" s="59"/>
    </row>
    <row r="139" spans="1:15" ht="15" x14ac:dyDescent="0.2">
      <c r="A139" s="82"/>
      <c r="B139" s="114"/>
      <c r="C139" s="90"/>
      <c r="D139" s="91"/>
      <c r="E139" s="165" t="s">
        <v>359</v>
      </c>
      <c r="F139" s="104">
        <f>765+3*6</f>
        <v>783</v>
      </c>
      <c r="G139" s="93" t="s">
        <v>86</v>
      </c>
      <c r="H139" s="115"/>
      <c r="I139" s="63"/>
      <c r="J139" s="113"/>
      <c r="L139" s="59"/>
      <c r="M139" s="60"/>
      <c r="N139" s="60"/>
      <c r="O139" s="60"/>
    </row>
    <row r="140" spans="1:15" ht="14.25" x14ac:dyDescent="0.2">
      <c r="A140" s="50"/>
      <c r="B140" s="51"/>
      <c r="C140" s="52"/>
      <c r="D140" s="23"/>
      <c r="E140" s="47"/>
      <c r="F140" s="121"/>
      <c r="G140" s="25"/>
      <c r="H140" s="122"/>
      <c r="I140" s="63"/>
      <c r="J140" s="113"/>
      <c r="L140" s="59"/>
      <c r="M140" s="59"/>
      <c r="N140" s="59"/>
      <c r="O140" s="59"/>
    </row>
    <row r="141" spans="1:15" ht="25.5" x14ac:dyDescent="0.2">
      <c r="A141" s="50"/>
      <c r="B141" s="94" t="s">
        <v>46</v>
      </c>
      <c r="C141" s="49"/>
      <c r="D141" s="23"/>
      <c r="E141" s="18" t="s">
        <v>47</v>
      </c>
      <c r="F141" s="125"/>
      <c r="G141" s="25"/>
      <c r="H141" s="122"/>
      <c r="I141" s="63"/>
      <c r="J141" s="113"/>
      <c r="L141" s="59"/>
      <c r="M141" s="59"/>
      <c r="N141" s="59"/>
      <c r="O141" s="59"/>
    </row>
    <row r="142" spans="1:15" ht="25.5" x14ac:dyDescent="0.2">
      <c r="A142" s="62">
        <f>MAX(A$2:A140)+1</f>
        <v>26</v>
      </c>
      <c r="B142" s="17"/>
      <c r="C142" s="26" t="s">
        <v>48</v>
      </c>
      <c r="D142" s="160"/>
      <c r="E142" s="87" t="s">
        <v>49</v>
      </c>
      <c r="F142" s="88"/>
      <c r="G142" s="22" t="s">
        <v>37</v>
      </c>
      <c r="H142" s="161">
        <f>H143</f>
        <v>8.6880000000000006</v>
      </c>
      <c r="I142" s="89">
        <v>0</v>
      </c>
      <c r="J142" s="108">
        <f>ROUND(I142,2)*H142</f>
        <v>0</v>
      </c>
      <c r="L142" s="59"/>
      <c r="M142" s="59"/>
      <c r="N142" s="61"/>
      <c r="O142" s="59"/>
    </row>
    <row r="143" spans="1:15" ht="25.5" x14ac:dyDescent="0.2">
      <c r="A143" s="140"/>
      <c r="B143" s="162"/>
      <c r="C143" s="160"/>
      <c r="D143" s="23" t="s">
        <v>50</v>
      </c>
      <c r="E143" s="141" t="s">
        <v>51</v>
      </c>
      <c r="F143" s="163"/>
      <c r="G143" s="25" t="s">
        <v>37</v>
      </c>
      <c r="H143" s="164">
        <f>F146</f>
        <v>8.6880000000000006</v>
      </c>
      <c r="I143" s="86"/>
      <c r="J143" s="144"/>
      <c r="L143" s="59"/>
      <c r="M143" s="59"/>
      <c r="N143" s="61"/>
      <c r="O143" s="59"/>
    </row>
    <row r="144" spans="1:15" ht="15" x14ac:dyDescent="0.2">
      <c r="A144" s="82"/>
      <c r="B144" s="114"/>
      <c r="C144" s="90"/>
      <c r="D144" s="91"/>
      <c r="E144" s="165" t="s">
        <v>229</v>
      </c>
      <c r="F144" s="104">
        <f>2*5.6*0.1+3*4*0.1+2*8.89*0.1</f>
        <v>4.0980000000000008</v>
      </c>
      <c r="G144" s="93" t="s">
        <v>37</v>
      </c>
      <c r="H144" s="115"/>
      <c r="I144" s="63"/>
      <c r="J144" s="113"/>
      <c r="L144" s="59"/>
      <c r="M144" s="60"/>
      <c r="N144" s="60"/>
      <c r="O144" s="60"/>
    </row>
    <row r="145" spans="1:15" ht="15" x14ac:dyDescent="0.2">
      <c r="A145" s="82"/>
      <c r="B145" s="114"/>
      <c r="C145" s="90"/>
      <c r="D145" s="91"/>
      <c r="E145" s="165" t="s">
        <v>230</v>
      </c>
      <c r="F145" s="159">
        <f>2*5.6*0.1+3*4*0.1+11.35*2*0.1</f>
        <v>4.59</v>
      </c>
      <c r="G145" s="93" t="s">
        <v>37</v>
      </c>
      <c r="H145" s="115"/>
      <c r="I145" s="63"/>
      <c r="J145" s="113"/>
      <c r="L145" s="59"/>
      <c r="M145" s="60"/>
      <c r="N145" s="60"/>
      <c r="O145" s="60"/>
    </row>
    <row r="146" spans="1:15" ht="15" x14ac:dyDescent="0.2">
      <c r="A146" s="82"/>
      <c r="B146" s="114"/>
      <c r="C146" s="90"/>
      <c r="D146" s="91"/>
      <c r="E146" s="151" t="s">
        <v>147</v>
      </c>
      <c r="F146" s="152">
        <f>SUM(F144:F145)</f>
        <v>8.6880000000000006</v>
      </c>
      <c r="G146" s="93" t="s">
        <v>37</v>
      </c>
      <c r="H146" s="115"/>
      <c r="I146" s="63"/>
      <c r="J146" s="113"/>
      <c r="L146" s="59"/>
      <c r="M146" s="60"/>
      <c r="N146" s="60"/>
      <c r="O146" s="60"/>
    </row>
    <row r="147" spans="1:15" ht="14.25" x14ac:dyDescent="0.2">
      <c r="A147" s="50"/>
      <c r="B147" s="51"/>
      <c r="C147" s="52"/>
      <c r="D147" s="23"/>
      <c r="E147" s="24"/>
      <c r="F147" s="121"/>
      <c r="G147" s="25"/>
      <c r="H147" s="122"/>
      <c r="I147" s="63"/>
      <c r="J147" s="113"/>
      <c r="L147" s="59"/>
      <c r="M147" s="59"/>
      <c r="N147" s="59"/>
      <c r="O147" s="59"/>
    </row>
    <row r="148" spans="1:15" ht="25.5" x14ac:dyDescent="0.2">
      <c r="A148" s="62">
        <f>MAX(A$2:A146)+1</f>
        <v>27</v>
      </c>
      <c r="B148" s="17"/>
      <c r="C148" s="26" t="s">
        <v>52</v>
      </c>
      <c r="D148" s="160"/>
      <c r="E148" s="87" t="s">
        <v>53</v>
      </c>
      <c r="F148" s="88"/>
      <c r="G148" s="22" t="s">
        <v>37</v>
      </c>
      <c r="H148" s="161">
        <f>H149</f>
        <v>0.57600000000000007</v>
      </c>
      <c r="I148" s="89">
        <v>0</v>
      </c>
      <c r="J148" s="108">
        <f>ROUND(I148,2)*H148</f>
        <v>0</v>
      </c>
      <c r="L148" s="59"/>
      <c r="M148" s="59"/>
      <c r="N148" s="61"/>
      <c r="O148" s="59"/>
    </row>
    <row r="149" spans="1:15" ht="25.5" x14ac:dyDescent="0.2">
      <c r="A149" s="140"/>
      <c r="B149" s="162"/>
      <c r="C149" s="160"/>
      <c r="D149" s="23" t="s">
        <v>54</v>
      </c>
      <c r="E149" s="141" t="s">
        <v>55</v>
      </c>
      <c r="F149" s="163"/>
      <c r="G149" s="25" t="s">
        <v>37</v>
      </c>
      <c r="H149" s="164">
        <f>F153</f>
        <v>0.57600000000000007</v>
      </c>
      <c r="I149" s="86"/>
      <c r="J149" s="144"/>
      <c r="L149" s="59"/>
      <c r="M149" s="59"/>
      <c r="N149" s="61"/>
      <c r="O149" s="59"/>
    </row>
    <row r="150" spans="1:15" ht="15" x14ac:dyDescent="0.2">
      <c r="A150" s="82"/>
      <c r="B150" s="114"/>
      <c r="C150" s="90"/>
      <c r="D150" s="91"/>
      <c r="E150" s="165" t="s">
        <v>56</v>
      </c>
      <c r="F150" s="104"/>
      <c r="G150" s="93"/>
      <c r="H150" s="115"/>
      <c r="I150" s="63"/>
      <c r="J150" s="113"/>
      <c r="L150" s="59"/>
      <c r="M150" s="60"/>
      <c r="N150" s="60"/>
      <c r="O150" s="60"/>
    </row>
    <row r="151" spans="1:15" ht="15" x14ac:dyDescent="0.2">
      <c r="A151" s="82"/>
      <c r="B151" s="114"/>
      <c r="C151" s="90"/>
      <c r="D151" s="91"/>
      <c r="E151" s="165" t="s">
        <v>229</v>
      </c>
      <c r="F151" s="104">
        <f>8*0.2*0.2*0.8</f>
        <v>0.25600000000000006</v>
      </c>
      <c r="G151" s="93" t="s">
        <v>37</v>
      </c>
      <c r="H151" s="115"/>
      <c r="I151" s="63"/>
      <c r="J151" s="113"/>
      <c r="L151" s="59"/>
      <c r="M151" s="60"/>
      <c r="N151" s="60"/>
      <c r="O151" s="60"/>
    </row>
    <row r="152" spans="1:15" ht="15" x14ac:dyDescent="0.2">
      <c r="A152" s="82"/>
      <c r="B152" s="114"/>
      <c r="C152" s="90"/>
      <c r="D152" s="91"/>
      <c r="E152" s="165" t="s">
        <v>230</v>
      </c>
      <c r="F152" s="159">
        <f>10*0.2*0.2*0.8</f>
        <v>0.32000000000000006</v>
      </c>
      <c r="G152" s="93" t="s">
        <v>37</v>
      </c>
      <c r="H152" s="115"/>
      <c r="I152" s="63"/>
      <c r="J152" s="113"/>
      <c r="L152" s="59"/>
      <c r="M152" s="60"/>
      <c r="N152" s="60"/>
      <c r="O152" s="60"/>
    </row>
    <row r="153" spans="1:15" ht="15" x14ac:dyDescent="0.2">
      <c r="A153" s="82"/>
      <c r="B153" s="114"/>
      <c r="C153" s="90"/>
      <c r="D153" s="91"/>
      <c r="E153" s="151" t="s">
        <v>147</v>
      </c>
      <c r="F153" s="152">
        <f>SUM(F151:F152)</f>
        <v>0.57600000000000007</v>
      </c>
      <c r="G153" s="93" t="s">
        <v>37</v>
      </c>
      <c r="H153" s="115"/>
      <c r="I153" s="63"/>
      <c r="J153" s="113"/>
      <c r="L153" s="59"/>
      <c r="M153" s="60"/>
      <c r="N153" s="60"/>
      <c r="O153" s="60"/>
    </row>
    <row r="154" spans="1:15" ht="14.25" x14ac:dyDescent="0.2">
      <c r="A154" s="50"/>
      <c r="B154" s="51"/>
      <c r="C154" s="71"/>
      <c r="D154" s="23"/>
      <c r="E154" s="34"/>
      <c r="F154" s="121"/>
      <c r="G154" s="33"/>
      <c r="H154" s="122"/>
      <c r="I154" s="63"/>
      <c r="J154" s="113"/>
      <c r="L154" s="59"/>
      <c r="M154" s="59"/>
      <c r="N154" s="59"/>
      <c r="O154" s="59"/>
    </row>
    <row r="155" spans="1:15" ht="14.25" x14ac:dyDescent="0.2">
      <c r="A155" s="62">
        <f>MAX(A$2:A153)+1</f>
        <v>28</v>
      </c>
      <c r="B155" s="17"/>
      <c r="C155" s="26" t="s">
        <v>176</v>
      </c>
      <c r="D155" s="160"/>
      <c r="E155" s="87" t="s">
        <v>177</v>
      </c>
      <c r="F155" s="88"/>
      <c r="G155" s="22" t="s">
        <v>86</v>
      </c>
      <c r="H155" s="161">
        <f>H156</f>
        <v>750</v>
      </c>
      <c r="I155" s="89">
        <v>0</v>
      </c>
      <c r="J155" s="108">
        <f>ROUND(I155,2)*H155</f>
        <v>0</v>
      </c>
      <c r="L155" s="59"/>
      <c r="M155" s="59"/>
      <c r="N155" s="61"/>
      <c r="O155" s="59"/>
    </row>
    <row r="156" spans="1:15" ht="14.25" x14ac:dyDescent="0.2">
      <c r="A156" s="140"/>
      <c r="B156" s="162"/>
      <c r="C156" s="160"/>
      <c r="D156" s="23" t="s">
        <v>180</v>
      </c>
      <c r="E156" s="141" t="s">
        <v>179</v>
      </c>
      <c r="F156" s="163"/>
      <c r="G156" s="25" t="s">
        <v>86</v>
      </c>
      <c r="H156" s="164">
        <f>F157</f>
        <v>750</v>
      </c>
      <c r="I156" s="86"/>
      <c r="J156" s="144"/>
      <c r="L156" s="59"/>
      <c r="M156" s="59"/>
      <c r="N156" s="61"/>
      <c r="O156" s="59"/>
    </row>
    <row r="157" spans="1:15" ht="15" x14ac:dyDescent="0.2">
      <c r="A157" s="82"/>
      <c r="B157" s="114"/>
      <c r="C157" s="90"/>
      <c r="D157" s="91"/>
      <c r="E157" s="165" t="s">
        <v>178</v>
      </c>
      <c r="F157" s="104">
        <v>750</v>
      </c>
      <c r="G157" s="93" t="s">
        <v>86</v>
      </c>
      <c r="H157" s="115"/>
      <c r="I157" s="63"/>
      <c r="J157" s="113"/>
      <c r="L157" s="59"/>
      <c r="M157" s="60"/>
      <c r="N157" s="60"/>
      <c r="O157" s="60"/>
    </row>
    <row r="158" spans="1:15" ht="14.25" x14ac:dyDescent="0.2">
      <c r="A158" s="50"/>
      <c r="B158" s="51"/>
      <c r="C158" s="49"/>
      <c r="D158" s="23"/>
      <c r="E158" s="24"/>
      <c r="F158" s="124"/>
      <c r="G158" s="25"/>
      <c r="H158" s="122"/>
      <c r="I158" s="63"/>
      <c r="J158" s="113"/>
      <c r="L158" s="59"/>
      <c r="M158" s="59"/>
      <c r="N158" s="59"/>
      <c r="O158" s="59"/>
    </row>
    <row r="159" spans="1:15" ht="14.25" x14ac:dyDescent="0.2">
      <c r="A159" s="50"/>
      <c r="B159" s="94" t="s">
        <v>311</v>
      </c>
      <c r="C159" s="49"/>
      <c r="D159" s="23"/>
      <c r="E159" s="18" t="s">
        <v>312</v>
      </c>
      <c r="F159" s="125"/>
      <c r="G159" s="25"/>
      <c r="H159" s="122"/>
      <c r="I159" s="63"/>
      <c r="J159" s="113"/>
      <c r="L159" s="59"/>
      <c r="M159" s="59"/>
      <c r="N159" s="59"/>
      <c r="O159" s="59"/>
    </row>
    <row r="160" spans="1:15" ht="25.5" x14ac:dyDescent="0.2">
      <c r="A160" s="62">
        <f>MAX(A$2:A158)+1</f>
        <v>29</v>
      </c>
      <c r="B160" s="51"/>
      <c r="C160" s="26" t="s">
        <v>313</v>
      </c>
      <c r="D160" s="30"/>
      <c r="E160" s="21" t="s">
        <v>314</v>
      </c>
      <c r="F160" s="21"/>
      <c r="G160" s="22" t="s">
        <v>16</v>
      </c>
      <c r="H160" s="122">
        <f>H161+H163</f>
        <v>142.03319999999999</v>
      </c>
      <c r="I160" s="89">
        <v>0</v>
      </c>
      <c r="J160" s="108">
        <f>ROUND(I160,2)*H160</f>
        <v>0</v>
      </c>
      <c r="L160" s="59"/>
      <c r="M160" s="59"/>
      <c r="N160" s="59"/>
      <c r="O160" s="59"/>
    </row>
    <row r="161" spans="1:15" ht="25.5" x14ac:dyDescent="0.2">
      <c r="A161" s="50"/>
      <c r="B161" s="51"/>
      <c r="C161" s="75"/>
      <c r="D161" s="95">
        <v>6101030101</v>
      </c>
      <c r="E161" s="48" t="s">
        <v>315</v>
      </c>
      <c r="F161" s="48"/>
      <c r="G161" s="96" t="s">
        <v>16</v>
      </c>
      <c r="H161" s="126">
        <f>F162</f>
        <v>50.933199999999999</v>
      </c>
      <c r="I161" s="63"/>
      <c r="J161" s="113"/>
      <c r="L161" s="59"/>
      <c r="M161" s="59"/>
      <c r="N161" s="59"/>
      <c r="O161" s="59"/>
    </row>
    <row r="162" spans="1:15" ht="15" x14ac:dyDescent="0.2">
      <c r="A162" s="82"/>
      <c r="B162" s="114"/>
      <c r="C162" s="90"/>
      <c r="D162" s="91"/>
      <c r="E162" s="165" t="s">
        <v>316</v>
      </c>
      <c r="F162" s="104">
        <f>2.23*(10.19+12.65)</f>
        <v>50.933199999999999</v>
      </c>
      <c r="G162" s="93" t="s">
        <v>16</v>
      </c>
      <c r="H162" s="115"/>
      <c r="I162" s="63"/>
      <c r="J162" s="113"/>
      <c r="L162" s="59"/>
      <c r="M162" s="60"/>
      <c r="N162" s="60"/>
      <c r="O162" s="60"/>
    </row>
    <row r="163" spans="1:15" ht="25.5" x14ac:dyDescent="0.2">
      <c r="A163" s="50"/>
      <c r="B163" s="51"/>
      <c r="C163" s="75"/>
      <c r="D163" s="95">
        <v>6101030102</v>
      </c>
      <c r="E163" s="48" t="s">
        <v>317</v>
      </c>
      <c r="F163" s="48"/>
      <c r="G163" s="96" t="s">
        <v>16</v>
      </c>
      <c r="H163" s="126">
        <f>F164+F165</f>
        <v>91.1</v>
      </c>
      <c r="I163" s="63"/>
      <c r="J163" s="113"/>
      <c r="L163" s="59"/>
      <c r="M163" s="59"/>
      <c r="N163" s="59"/>
      <c r="O163" s="59"/>
    </row>
    <row r="164" spans="1:15" ht="15" x14ac:dyDescent="0.2">
      <c r="A164" s="82"/>
      <c r="B164" s="114"/>
      <c r="C164" s="90"/>
      <c r="D164" s="91"/>
      <c r="E164" s="165" t="s">
        <v>319</v>
      </c>
      <c r="F164" s="104">
        <f>(2.08*3+2.6*3+4.97*2)+(2.35*3*2+3.97*2)</f>
        <v>46.02</v>
      </c>
      <c r="G164" s="93" t="s">
        <v>16</v>
      </c>
      <c r="H164" s="115"/>
      <c r="I164" s="63"/>
      <c r="J164" s="113"/>
      <c r="L164" s="59"/>
      <c r="M164" s="60"/>
      <c r="N164" s="60"/>
      <c r="O164" s="60"/>
    </row>
    <row r="165" spans="1:15" ht="15" x14ac:dyDescent="0.2">
      <c r="A165" s="82"/>
      <c r="B165" s="114"/>
      <c r="C165" s="90"/>
      <c r="D165" s="91"/>
      <c r="E165" s="165" t="s">
        <v>318</v>
      </c>
      <c r="F165" s="104">
        <f>2*11.27+2*11.27</f>
        <v>45.08</v>
      </c>
      <c r="G165" s="93" t="s">
        <v>16</v>
      </c>
      <c r="H165" s="115"/>
      <c r="I165" s="63"/>
      <c r="J165" s="113"/>
      <c r="L165" s="59"/>
      <c r="M165" s="60"/>
      <c r="N165" s="60"/>
      <c r="O165" s="60"/>
    </row>
    <row r="166" spans="1:15" ht="14.25" x14ac:dyDescent="0.2">
      <c r="A166" s="50"/>
      <c r="B166" s="51"/>
      <c r="C166" s="52"/>
      <c r="D166" s="53"/>
      <c r="E166" s="35"/>
      <c r="F166" s="121"/>
      <c r="G166" s="19"/>
      <c r="H166" s="122"/>
      <c r="I166" s="63"/>
      <c r="J166" s="113"/>
      <c r="L166" s="59"/>
      <c r="M166" s="72"/>
      <c r="N166" s="59"/>
      <c r="O166" s="59"/>
    </row>
    <row r="167" spans="1:15" ht="38.25" x14ac:dyDescent="0.2">
      <c r="A167" s="50"/>
      <c r="B167" s="29" t="s">
        <v>57</v>
      </c>
      <c r="C167" s="36"/>
      <c r="D167" s="37"/>
      <c r="E167" s="18" t="s">
        <v>58</v>
      </c>
      <c r="F167" s="121"/>
      <c r="G167" s="19"/>
      <c r="H167" s="122"/>
      <c r="I167" s="63"/>
      <c r="J167" s="113"/>
      <c r="L167" s="59"/>
      <c r="M167" s="59"/>
      <c r="N167" s="59"/>
      <c r="O167" s="59"/>
    </row>
    <row r="168" spans="1:15" ht="25.5" x14ac:dyDescent="0.2">
      <c r="A168" s="62">
        <f>MAX(A$2:A166)+1</f>
        <v>30</v>
      </c>
      <c r="B168" s="51"/>
      <c r="C168" s="26" t="s">
        <v>59</v>
      </c>
      <c r="D168" s="30"/>
      <c r="E168" s="21" t="s">
        <v>60</v>
      </c>
      <c r="F168" s="21"/>
      <c r="G168" s="22" t="s">
        <v>37</v>
      </c>
      <c r="H168" s="122">
        <f>H169</f>
        <v>18.846199999999996</v>
      </c>
      <c r="I168" s="89">
        <v>0</v>
      </c>
      <c r="J168" s="108">
        <f>ROUND(I168,2)*H168</f>
        <v>0</v>
      </c>
      <c r="L168" s="59"/>
      <c r="M168" s="59"/>
      <c r="N168" s="59"/>
      <c r="O168" s="59"/>
    </row>
    <row r="169" spans="1:15" ht="25.5" x14ac:dyDescent="0.2">
      <c r="A169" s="50"/>
      <c r="B169" s="51"/>
      <c r="C169" s="75"/>
      <c r="D169" s="95" t="s">
        <v>61</v>
      </c>
      <c r="E169" s="48" t="s">
        <v>62</v>
      </c>
      <c r="F169" s="48"/>
      <c r="G169" s="96" t="s">
        <v>37</v>
      </c>
      <c r="H169" s="126">
        <f>F172</f>
        <v>18.846199999999996</v>
      </c>
      <c r="I169" s="63"/>
      <c r="J169" s="113"/>
      <c r="L169" s="59"/>
      <c r="M169" s="59"/>
      <c r="N169" s="59"/>
      <c r="O169" s="59"/>
    </row>
    <row r="170" spans="1:15" ht="15" x14ac:dyDescent="0.2">
      <c r="A170" s="82"/>
      <c r="B170" s="114"/>
      <c r="C170" s="90"/>
      <c r="D170" s="91"/>
      <c r="E170" s="165" t="s">
        <v>231</v>
      </c>
      <c r="F170" s="104">
        <f>1.967*4.6</f>
        <v>9.0481999999999996</v>
      </c>
      <c r="G170" s="93" t="s">
        <v>37</v>
      </c>
      <c r="H170" s="115"/>
      <c r="I170" s="63"/>
      <c r="J170" s="113"/>
      <c r="L170" s="59"/>
      <c r="M170" s="60"/>
      <c r="N170" s="60"/>
      <c r="O170" s="60"/>
    </row>
    <row r="171" spans="1:15" ht="15" x14ac:dyDescent="0.2">
      <c r="A171" s="82"/>
      <c r="B171" s="114"/>
      <c r="C171" s="90"/>
      <c r="D171" s="91"/>
      <c r="E171" s="165" t="s">
        <v>232</v>
      </c>
      <c r="F171" s="159">
        <f>2.13*4.6</f>
        <v>9.7979999999999983</v>
      </c>
      <c r="G171" s="93" t="s">
        <v>37</v>
      </c>
      <c r="H171" s="115"/>
      <c r="I171" s="63"/>
      <c r="J171" s="113"/>
      <c r="L171" s="59"/>
      <c r="M171" s="60"/>
      <c r="N171" s="60"/>
      <c r="O171" s="60"/>
    </row>
    <row r="172" spans="1:15" ht="15" x14ac:dyDescent="0.2">
      <c r="A172" s="82"/>
      <c r="B172" s="114"/>
      <c r="C172" s="90"/>
      <c r="D172" s="91"/>
      <c r="E172" s="151" t="s">
        <v>147</v>
      </c>
      <c r="F172" s="152">
        <f>SUM(F170:F171)</f>
        <v>18.846199999999996</v>
      </c>
      <c r="G172" s="93" t="s">
        <v>37</v>
      </c>
      <c r="H172" s="115"/>
      <c r="I172" s="63"/>
      <c r="J172" s="113"/>
      <c r="L172" s="59"/>
      <c r="M172" s="60"/>
      <c r="N172" s="60"/>
      <c r="O172" s="60"/>
    </row>
    <row r="173" spans="1:15" ht="14.25" x14ac:dyDescent="0.2">
      <c r="A173" s="50"/>
      <c r="B173" s="51"/>
      <c r="C173" s="52"/>
      <c r="D173" s="74"/>
      <c r="E173" s="35"/>
      <c r="F173" s="121"/>
      <c r="G173" s="19"/>
      <c r="H173" s="122"/>
      <c r="I173" s="63"/>
      <c r="J173" s="113"/>
      <c r="L173" s="59"/>
      <c r="M173" s="70"/>
      <c r="N173" s="59"/>
      <c r="O173" s="59"/>
    </row>
    <row r="174" spans="1:15" ht="25.5" x14ac:dyDescent="0.2">
      <c r="A174" s="62">
        <f>MAX(A$2:A172)+1</f>
        <v>31</v>
      </c>
      <c r="B174" s="51"/>
      <c r="C174" s="26" t="s">
        <v>63</v>
      </c>
      <c r="D174" s="30"/>
      <c r="E174" s="21" t="s">
        <v>64</v>
      </c>
      <c r="F174" s="21"/>
      <c r="G174" s="22" t="s">
        <v>37</v>
      </c>
      <c r="H174" s="122">
        <f>H175</f>
        <v>19.059799999999999</v>
      </c>
      <c r="I174" s="89">
        <v>0</v>
      </c>
      <c r="J174" s="108">
        <f>ROUND(I174,2)*H174</f>
        <v>0</v>
      </c>
      <c r="L174" s="59"/>
      <c r="M174" s="59"/>
      <c r="N174" s="59"/>
      <c r="O174" s="59"/>
    </row>
    <row r="175" spans="1:15" ht="25.5" x14ac:dyDescent="0.2">
      <c r="A175" s="50"/>
      <c r="B175" s="51"/>
      <c r="C175" s="75"/>
      <c r="D175" s="95" t="s">
        <v>65</v>
      </c>
      <c r="E175" s="48" t="s">
        <v>66</v>
      </c>
      <c r="F175" s="48"/>
      <c r="G175" s="96" t="s">
        <v>37</v>
      </c>
      <c r="H175" s="126">
        <f>F178</f>
        <v>19.059799999999999</v>
      </c>
      <c r="I175" s="63"/>
      <c r="J175" s="113"/>
      <c r="L175" s="59"/>
      <c r="M175" s="59"/>
      <c r="N175" s="59"/>
      <c r="O175" s="59"/>
    </row>
    <row r="176" spans="1:15" ht="15" x14ac:dyDescent="0.2">
      <c r="A176" s="82"/>
      <c r="B176" s="114"/>
      <c r="C176" s="90"/>
      <c r="D176" s="91"/>
      <c r="E176" s="165" t="s">
        <v>249</v>
      </c>
      <c r="F176" s="104">
        <f>2.8*3*0.5+2.6*3*0.5-(3.14*(0.3^2))+2.4*1*0.5*2+1*2*0.3</f>
        <v>10.817399999999999</v>
      </c>
      <c r="G176" s="93" t="s">
        <v>37</v>
      </c>
      <c r="H176" s="115"/>
      <c r="I176" s="63"/>
      <c r="J176" s="113"/>
      <c r="L176" s="59"/>
      <c r="M176" s="60"/>
      <c r="N176" s="60"/>
      <c r="O176" s="60"/>
    </row>
    <row r="177" spans="1:15" ht="15" x14ac:dyDescent="0.2">
      <c r="A177" s="82"/>
      <c r="B177" s="114"/>
      <c r="C177" s="90"/>
      <c r="D177" s="91"/>
      <c r="E177" s="165" t="s">
        <v>248</v>
      </c>
      <c r="F177" s="159">
        <f>2.35*3*0.5+2.35*3*0.5-(3.14*(0.3^2))+1.75*1*0.5+2*1*0.3</f>
        <v>8.2423999999999999</v>
      </c>
      <c r="G177" s="93" t="s">
        <v>37</v>
      </c>
      <c r="H177" s="115"/>
      <c r="I177" s="63"/>
      <c r="J177" s="113"/>
      <c r="L177" s="59"/>
      <c r="M177" s="60"/>
      <c r="N177" s="60"/>
      <c r="O177" s="60"/>
    </row>
    <row r="178" spans="1:15" ht="15" x14ac:dyDescent="0.2">
      <c r="A178" s="82"/>
      <c r="B178" s="114"/>
      <c r="C178" s="90"/>
      <c r="D178" s="91"/>
      <c r="E178" s="151" t="s">
        <v>147</v>
      </c>
      <c r="F178" s="152">
        <f>SUM(F176:F177)</f>
        <v>19.059799999999999</v>
      </c>
      <c r="G178" s="93" t="s">
        <v>37</v>
      </c>
      <c r="H178" s="115"/>
      <c r="I178" s="63"/>
      <c r="J178" s="113"/>
      <c r="L178" s="59"/>
      <c r="M178" s="60"/>
      <c r="N178" s="60"/>
      <c r="O178" s="60"/>
    </row>
    <row r="179" spans="1:15" ht="14.25" x14ac:dyDescent="0.2">
      <c r="A179" s="50"/>
      <c r="B179" s="51"/>
      <c r="C179" s="52"/>
      <c r="D179" s="74"/>
      <c r="E179" s="35"/>
      <c r="F179" s="121"/>
      <c r="G179" s="19"/>
      <c r="H179" s="122"/>
      <c r="I179" s="63"/>
      <c r="J179" s="113"/>
      <c r="L179" s="59"/>
      <c r="M179" s="59"/>
      <c r="N179" s="59"/>
      <c r="O179" s="59"/>
    </row>
    <row r="180" spans="1:15" ht="25.5" x14ac:dyDescent="0.2">
      <c r="A180" s="62">
        <f>MAX(A$2:A178)+1</f>
        <v>32</v>
      </c>
      <c r="B180" s="51"/>
      <c r="C180" s="26" t="s">
        <v>67</v>
      </c>
      <c r="D180" s="30"/>
      <c r="E180" s="21" t="s">
        <v>68</v>
      </c>
      <c r="F180" s="21"/>
      <c r="G180" s="22" t="s">
        <v>37</v>
      </c>
      <c r="H180" s="122">
        <f>H181</f>
        <v>31.095800000000004</v>
      </c>
      <c r="I180" s="89">
        <v>0</v>
      </c>
      <c r="J180" s="108">
        <f>ROUND(I180,2)*H180</f>
        <v>0</v>
      </c>
      <c r="L180" s="59"/>
      <c r="M180" s="59"/>
      <c r="N180" s="59"/>
      <c r="O180" s="59"/>
    </row>
    <row r="181" spans="1:15" ht="25.5" x14ac:dyDescent="0.2">
      <c r="A181" s="50"/>
      <c r="B181" s="51"/>
      <c r="C181" s="75"/>
      <c r="D181" s="95" t="s">
        <v>69</v>
      </c>
      <c r="E181" s="48" t="s">
        <v>70</v>
      </c>
      <c r="F181" s="48"/>
      <c r="G181" s="96" t="s">
        <v>37</v>
      </c>
      <c r="H181" s="126">
        <f>F184</f>
        <v>31.095800000000004</v>
      </c>
      <c r="I181" s="63"/>
      <c r="J181" s="113"/>
      <c r="L181" s="59"/>
      <c r="M181" s="59"/>
      <c r="N181" s="59"/>
      <c r="O181" s="59"/>
    </row>
    <row r="182" spans="1:15" ht="15" x14ac:dyDescent="0.2">
      <c r="A182" s="82"/>
      <c r="B182" s="114"/>
      <c r="C182" s="90"/>
      <c r="D182" s="91"/>
      <c r="E182" s="165" t="s">
        <v>229</v>
      </c>
      <c r="F182" s="104">
        <f>1.57*8.89</f>
        <v>13.957300000000002</v>
      </c>
      <c r="G182" s="93" t="s">
        <v>37</v>
      </c>
      <c r="H182" s="115"/>
      <c r="I182" s="63"/>
      <c r="J182" s="113"/>
      <c r="L182" s="59"/>
      <c r="M182" s="60"/>
      <c r="N182" s="60"/>
      <c r="O182" s="60"/>
    </row>
    <row r="183" spans="1:15" ht="15" x14ac:dyDescent="0.2">
      <c r="A183" s="82"/>
      <c r="B183" s="114"/>
      <c r="C183" s="90"/>
      <c r="D183" s="91"/>
      <c r="E183" s="165" t="s">
        <v>230</v>
      </c>
      <c r="F183" s="159">
        <f>1.51*11.35</f>
        <v>17.138500000000001</v>
      </c>
      <c r="G183" s="93" t="s">
        <v>37</v>
      </c>
      <c r="H183" s="115"/>
      <c r="I183" s="63"/>
      <c r="J183" s="113"/>
      <c r="L183" s="59"/>
      <c r="M183" s="60"/>
      <c r="N183" s="60"/>
      <c r="O183" s="60"/>
    </row>
    <row r="184" spans="1:15" ht="15" x14ac:dyDescent="0.2">
      <c r="A184" s="82"/>
      <c r="B184" s="114"/>
      <c r="C184" s="90"/>
      <c r="D184" s="91"/>
      <c r="E184" s="151" t="s">
        <v>147</v>
      </c>
      <c r="F184" s="152">
        <f>SUM(F182:F183)</f>
        <v>31.095800000000004</v>
      </c>
      <c r="G184" s="93" t="s">
        <v>37</v>
      </c>
      <c r="H184" s="115"/>
      <c r="I184" s="63"/>
      <c r="J184" s="113"/>
      <c r="L184" s="59"/>
      <c r="M184" s="60"/>
      <c r="N184" s="60"/>
      <c r="O184" s="60"/>
    </row>
    <row r="185" spans="1:15" ht="14.25" x14ac:dyDescent="0.2">
      <c r="A185" s="50"/>
      <c r="B185" s="51"/>
      <c r="C185" s="52"/>
      <c r="D185" s="74"/>
      <c r="E185" s="35"/>
      <c r="F185" s="121"/>
      <c r="G185" s="19"/>
      <c r="H185" s="122"/>
      <c r="I185" s="63"/>
      <c r="J185" s="113"/>
      <c r="L185" s="59"/>
      <c r="M185" s="65"/>
      <c r="N185" s="59"/>
      <c r="O185" s="59"/>
    </row>
    <row r="186" spans="1:15" ht="25.5" x14ac:dyDescent="0.2">
      <c r="A186" s="62">
        <f>MAX(A$2:A184)+1</f>
        <v>33</v>
      </c>
      <c r="B186" s="51"/>
      <c r="C186" s="26" t="s">
        <v>71</v>
      </c>
      <c r="D186" s="30"/>
      <c r="E186" s="21" t="s">
        <v>72</v>
      </c>
      <c r="F186" s="21"/>
      <c r="G186" s="22" t="s">
        <v>37</v>
      </c>
      <c r="H186" s="122">
        <f>F187</f>
        <v>1237.1712</v>
      </c>
      <c r="I186" s="89">
        <v>0</v>
      </c>
      <c r="J186" s="108">
        <f>ROUND(I186,2)*H186</f>
        <v>0</v>
      </c>
      <c r="L186" s="59"/>
      <c r="M186" s="59"/>
      <c r="N186" s="59"/>
      <c r="O186" s="59"/>
    </row>
    <row r="187" spans="1:15" ht="15" x14ac:dyDescent="0.2">
      <c r="A187" s="82"/>
      <c r="B187" s="114"/>
      <c r="C187" s="90"/>
      <c r="D187" s="91"/>
      <c r="E187" s="165" t="s">
        <v>73</v>
      </c>
      <c r="F187" s="104">
        <f>4832.7*0.2*1.28</f>
        <v>1237.1712</v>
      </c>
      <c r="G187" s="93" t="s">
        <v>37</v>
      </c>
      <c r="H187" s="115"/>
      <c r="I187" s="63"/>
      <c r="J187" s="113"/>
      <c r="L187" s="59"/>
      <c r="M187" s="60"/>
      <c r="N187" s="60"/>
      <c r="O187" s="60"/>
    </row>
    <row r="188" spans="1:15" ht="14.25" x14ac:dyDescent="0.2">
      <c r="A188" s="50"/>
      <c r="B188" s="51"/>
      <c r="C188" s="52"/>
      <c r="D188" s="53"/>
      <c r="E188" s="35"/>
      <c r="F188" s="121"/>
      <c r="G188" s="19"/>
      <c r="H188" s="122"/>
      <c r="I188" s="63"/>
      <c r="J188" s="113"/>
      <c r="L188" s="59"/>
      <c r="M188" s="70"/>
      <c r="N188" s="59"/>
      <c r="O188" s="59"/>
    </row>
    <row r="189" spans="1:15" ht="25.5" x14ac:dyDescent="0.2">
      <c r="A189" s="62">
        <f>MAX(A$2:A187)+1</f>
        <v>34</v>
      </c>
      <c r="B189" s="51"/>
      <c r="C189" s="26" t="s">
        <v>74</v>
      </c>
      <c r="D189" s="30"/>
      <c r="E189" s="21" t="s">
        <v>75</v>
      </c>
      <c r="F189" s="21"/>
      <c r="G189" s="22" t="s">
        <v>37</v>
      </c>
      <c r="H189" s="122">
        <f>H190</f>
        <v>263.75042000000002</v>
      </c>
      <c r="I189" s="89">
        <v>0</v>
      </c>
      <c r="J189" s="108">
        <f>ROUND(I189,2)*H189</f>
        <v>0</v>
      </c>
      <c r="L189" s="59"/>
      <c r="M189" s="59"/>
      <c r="N189" s="59"/>
      <c r="O189" s="59"/>
    </row>
    <row r="190" spans="1:15" ht="25.5" x14ac:dyDescent="0.2">
      <c r="A190" s="50"/>
      <c r="B190" s="51"/>
      <c r="C190" s="75"/>
      <c r="D190" s="95" t="s">
        <v>74</v>
      </c>
      <c r="E190" s="48" t="s">
        <v>75</v>
      </c>
      <c r="F190" s="48"/>
      <c r="G190" s="96" t="s">
        <v>37</v>
      </c>
      <c r="H190" s="126">
        <f>F191</f>
        <v>263.75042000000002</v>
      </c>
      <c r="I190" s="63"/>
      <c r="J190" s="113"/>
      <c r="L190" s="59"/>
      <c r="M190" s="59"/>
      <c r="N190" s="59"/>
      <c r="O190" s="59"/>
    </row>
    <row r="191" spans="1:15" ht="25.5" x14ac:dyDescent="0.2">
      <c r="A191" s="82"/>
      <c r="B191" s="114"/>
      <c r="C191" s="90"/>
      <c r="D191" s="91"/>
      <c r="E191" s="165" t="s">
        <v>76</v>
      </c>
      <c r="F191" s="104">
        <f>(0.217+0.223)*2.5+(0.275+0.192)*(2.5+7.13)+0.107*(7.13+12.5)+(0.108+0.138)*25+(0.102+0.072)*25+(0.106+0.072)*25+0.1*25+(0.304+0.106)*25+(0.31+0.106)*25+(0.279+0.103)*25+(0.319+0.305)*(12.5+25)+(0.272+0.305)*(25+12.5)+(0.255+0.109)*25+(0.386+0.265)*25+(0.312+0.228)*25+(0.284+0.244)*25+(0.256+0.277)*25+(0.246+0.293)*25+(0.245+0.294)*25+(0.088+0.296)*25+(0.088+0.29)*25+(0.092+0.086)*25+(0.098+0.072)*25+(0.103+0.071)*25+(0.106+0.108)*25+(0.106+0.106)*25+(0.08+0.106)*25+(0.08+0.103)*25+(0.08+0.106)*25+(0.08+0.106)*25+(0.129+0.106)*(12.5+8.47)+(0.16+0.27)*(8.47+1.51)+(0.176+0.169)*1.51</f>
        <v>263.75042000000002</v>
      </c>
      <c r="G191" s="93" t="s">
        <v>37</v>
      </c>
      <c r="H191" s="115"/>
      <c r="I191" s="63"/>
      <c r="J191" s="113"/>
      <c r="L191" s="59"/>
      <c r="M191" s="60"/>
      <c r="N191" s="60"/>
      <c r="O191" s="60"/>
    </row>
    <row r="192" spans="1:15" ht="14.25" x14ac:dyDescent="0.2">
      <c r="A192" s="50"/>
      <c r="B192" s="51"/>
      <c r="C192" s="52"/>
      <c r="D192" s="53"/>
      <c r="E192" s="35"/>
      <c r="F192" s="121"/>
      <c r="G192" s="19"/>
      <c r="H192" s="122"/>
      <c r="I192" s="63"/>
      <c r="J192" s="113"/>
      <c r="L192" s="59"/>
      <c r="M192" s="59"/>
      <c r="N192" s="59"/>
      <c r="O192" s="59"/>
    </row>
    <row r="193" spans="1:15" ht="25.5" x14ac:dyDescent="0.2">
      <c r="A193" s="62">
        <f>MAX(A$2:A191)+1</f>
        <v>35</v>
      </c>
      <c r="B193" s="51"/>
      <c r="C193" s="26" t="s">
        <v>77</v>
      </c>
      <c r="D193" s="30"/>
      <c r="E193" s="21" t="s">
        <v>78</v>
      </c>
      <c r="F193" s="21"/>
      <c r="G193" s="22" t="s">
        <v>37</v>
      </c>
      <c r="H193" s="122">
        <f>F194</f>
        <v>118.07000000000001</v>
      </c>
      <c r="I193" s="89">
        <v>0</v>
      </c>
      <c r="J193" s="108">
        <f>ROUND(I193,2)*H193</f>
        <v>0</v>
      </c>
      <c r="L193" s="59"/>
      <c r="M193" s="59"/>
      <c r="N193" s="59"/>
      <c r="O193" s="59"/>
    </row>
    <row r="194" spans="1:15" ht="15" x14ac:dyDescent="0.2">
      <c r="A194" s="82"/>
      <c r="B194" s="114"/>
      <c r="C194" s="90"/>
      <c r="D194" s="91"/>
      <c r="E194" s="165" t="s">
        <v>79</v>
      </c>
      <c r="F194" s="104">
        <f>1180.7*0.1</f>
        <v>118.07000000000001</v>
      </c>
      <c r="G194" s="93" t="s">
        <v>37</v>
      </c>
      <c r="H194" s="115"/>
      <c r="I194" s="63"/>
      <c r="J194" s="113"/>
      <c r="L194" s="59"/>
      <c r="M194" s="60"/>
      <c r="N194" s="60"/>
      <c r="O194" s="60"/>
    </row>
    <row r="195" spans="1:15" ht="14.25" x14ac:dyDescent="0.2">
      <c r="A195" s="50"/>
      <c r="B195" s="51"/>
      <c r="C195" s="52"/>
      <c r="D195" s="53"/>
      <c r="E195" s="35"/>
      <c r="F195" s="121"/>
      <c r="G195" s="19"/>
      <c r="H195" s="122"/>
      <c r="I195" s="63"/>
      <c r="J195" s="113"/>
      <c r="L195" s="59"/>
      <c r="M195" s="59"/>
      <c r="N195" s="59"/>
      <c r="O195" s="59"/>
    </row>
    <row r="196" spans="1:15" ht="38.25" x14ac:dyDescent="0.2">
      <c r="A196" s="62">
        <f>MAX(A$2:A194)+1</f>
        <v>36</v>
      </c>
      <c r="B196" s="51"/>
      <c r="C196" s="26" t="s">
        <v>80</v>
      </c>
      <c r="D196" s="30"/>
      <c r="E196" s="21" t="s">
        <v>81</v>
      </c>
      <c r="F196" s="21"/>
      <c r="G196" s="22" t="s">
        <v>37</v>
      </c>
      <c r="H196" s="122">
        <f>H197</f>
        <v>939.47688000000005</v>
      </c>
      <c r="I196" s="89">
        <v>0</v>
      </c>
      <c r="J196" s="108">
        <f>ROUND(I196,2)*H196</f>
        <v>0</v>
      </c>
      <c r="L196" s="59"/>
      <c r="M196" s="59"/>
      <c r="N196" s="59"/>
      <c r="O196" s="59"/>
    </row>
    <row r="197" spans="1:15" ht="38.25" x14ac:dyDescent="0.2">
      <c r="A197" s="50"/>
      <c r="B197" s="51"/>
      <c r="C197" s="75"/>
      <c r="D197" s="95"/>
      <c r="E197" s="48" t="s">
        <v>82</v>
      </c>
      <c r="F197" s="48"/>
      <c r="G197" s="96" t="s">
        <v>37</v>
      </c>
      <c r="H197" s="126">
        <f>F198</f>
        <v>939.47688000000005</v>
      </c>
      <c r="I197" s="63"/>
      <c r="J197" s="113"/>
      <c r="L197" s="59"/>
      <c r="M197" s="59"/>
      <c r="N197" s="59"/>
      <c r="O197" s="59"/>
    </row>
    <row r="198" spans="1:15" ht="15" x14ac:dyDescent="0.2">
      <c r="A198" s="82"/>
      <c r="B198" s="114"/>
      <c r="C198" s="90"/>
      <c r="D198" s="91"/>
      <c r="E198" s="165" t="s">
        <v>83</v>
      </c>
      <c r="F198" s="104">
        <f>4832.7*0.18*1.08</f>
        <v>939.47688000000005</v>
      </c>
      <c r="G198" s="93" t="s">
        <v>37</v>
      </c>
      <c r="H198" s="115"/>
      <c r="I198" s="63"/>
      <c r="J198" s="113"/>
      <c r="L198" s="59"/>
      <c r="M198" s="60"/>
      <c r="N198" s="60"/>
      <c r="O198" s="60"/>
    </row>
    <row r="199" spans="1:15" ht="14.25" x14ac:dyDescent="0.2">
      <c r="A199" s="50"/>
      <c r="B199" s="51"/>
      <c r="C199" s="52"/>
      <c r="D199" s="53"/>
      <c r="E199" s="35"/>
      <c r="F199" s="121"/>
      <c r="G199" s="19"/>
      <c r="H199" s="122"/>
      <c r="I199" s="63"/>
      <c r="J199" s="113"/>
      <c r="L199" s="59"/>
      <c r="M199" s="59"/>
      <c r="N199" s="59"/>
      <c r="O199" s="59"/>
    </row>
    <row r="200" spans="1:15" ht="25.5" x14ac:dyDescent="0.2">
      <c r="A200" s="62">
        <f>MAX(A$2:A198)+1</f>
        <v>37</v>
      </c>
      <c r="B200" s="51"/>
      <c r="C200" s="26" t="s">
        <v>84</v>
      </c>
      <c r="D200" s="30"/>
      <c r="E200" s="21" t="s">
        <v>85</v>
      </c>
      <c r="F200" s="21"/>
      <c r="G200" s="22" t="s">
        <v>86</v>
      </c>
      <c r="H200" s="122">
        <f>H201</f>
        <v>22.84</v>
      </c>
      <c r="I200" s="89">
        <v>0</v>
      </c>
      <c r="J200" s="108">
        <f>ROUND(I200,2)*H200</f>
        <v>0</v>
      </c>
      <c r="L200" s="59"/>
      <c r="M200" s="59"/>
      <c r="N200" s="59"/>
      <c r="O200" s="59"/>
    </row>
    <row r="201" spans="1:15" ht="25.5" x14ac:dyDescent="0.2">
      <c r="A201" s="50"/>
      <c r="B201" s="51"/>
      <c r="C201" s="75"/>
      <c r="D201" s="95" t="s">
        <v>87</v>
      </c>
      <c r="E201" s="48" t="s">
        <v>88</v>
      </c>
      <c r="F201" s="48"/>
      <c r="G201" s="96" t="s">
        <v>86</v>
      </c>
      <c r="H201" s="126">
        <f>F204</f>
        <v>22.84</v>
      </c>
      <c r="I201" s="63"/>
      <c r="J201" s="113"/>
      <c r="L201" s="59"/>
      <c r="M201" s="59"/>
      <c r="N201" s="59"/>
      <c r="O201" s="59"/>
    </row>
    <row r="202" spans="1:15" ht="15" x14ac:dyDescent="0.2">
      <c r="A202" s="82"/>
      <c r="B202" s="114"/>
      <c r="C202" s="90"/>
      <c r="D202" s="91"/>
      <c r="E202" s="165" t="s">
        <v>229</v>
      </c>
      <c r="F202" s="104">
        <v>10.19</v>
      </c>
      <c r="G202" s="93" t="s">
        <v>86</v>
      </c>
      <c r="H202" s="115"/>
      <c r="I202" s="63"/>
      <c r="J202" s="113"/>
      <c r="L202" s="59"/>
      <c r="M202" s="60"/>
      <c r="N202" s="60"/>
      <c r="O202" s="60"/>
    </row>
    <row r="203" spans="1:15" ht="15" x14ac:dyDescent="0.2">
      <c r="A203" s="82"/>
      <c r="B203" s="114"/>
      <c r="C203" s="90"/>
      <c r="D203" s="91"/>
      <c r="E203" s="165" t="s">
        <v>230</v>
      </c>
      <c r="F203" s="159">
        <v>12.65</v>
      </c>
      <c r="G203" s="93" t="s">
        <v>86</v>
      </c>
      <c r="H203" s="115"/>
      <c r="I203" s="63"/>
      <c r="J203" s="113"/>
      <c r="L203" s="59"/>
      <c r="M203" s="60"/>
      <c r="N203" s="60"/>
      <c r="O203" s="60"/>
    </row>
    <row r="204" spans="1:15" ht="15" x14ac:dyDescent="0.2">
      <c r="A204" s="82"/>
      <c r="B204" s="114"/>
      <c r="C204" s="90"/>
      <c r="D204" s="91"/>
      <c r="E204" s="151" t="s">
        <v>147</v>
      </c>
      <c r="F204" s="152">
        <f>SUM(F202:F203)</f>
        <v>22.84</v>
      </c>
      <c r="G204" s="93" t="s">
        <v>86</v>
      </c>
      <c r="H204" s="115"/>
      <c r="I204" s="63"/>
      <c r="J204" s="113"/>
      <c r="L204" s="59"/>
      <c r="M204" s="60"/>
      <c r="N204" s="60"/>
      <c r="O204" s="60"/>
    </row>
    <row r="205" spans="1:15" ht="14.25" x14ac:dyDescent="0.2">
      <c r="A205" s="50"/>
      <c r="B205" s="51"/>
      <c r="C205" s="52"/>
      <c r="D205" s="53"/>
      <c r="E205" s="35"/>
      <c r="F205" s="121"/>
      <c r="G205" s="19"/>
      <c r="H205" s="122"/>
      <c r="I205" s="63"/>
      <c r="J205" s="113"/>
      <c r="L205" s="59"/>
      <c r="M205" s="59"/>
      <c r="N205" s="59"/>
      <c r="O205" s="59"/>
    </row>
    <row r="206" spans="1:15" ht="38.25" x14ac:dyDescent="0.2">
      <c r="A206" s="50"/>
      <c r="B206" s="38" t="s">
        <v>89</v>
      </c>
      <c r="C206" s="36"/>
      <c r="D206" s="37"/>
      <c r="E206" s="18" t="s">
        <v>90</v>
      </c>
      <c r="F206" s="121"/>
      <c r="G206" s="19"/>
      <c r="H206" s="122"/>
      <c r="I206" s="63"/>
      <c r="J206" s="113"/>
      <c r="L206" s="59"/>
      <c r="M206" s="59"/>
      <c r="N206" s="59"/>
      <c r="O206" s="59"/>
    </row>
    <row r="207" spans="1:15" ht="25.5" x14ac:dyDescent="0.2">
      <c r="A207" s="62">
        <f>MAX(A$2:A205)+1</f>
        <v>38</v>
      </c>
      <c r="B207" s="51"/>
      <c r="C207" s="26" t="s">
        <v>91</v>
      </c>
      <c r="D207" s="30"/>
      <c r="E207" s="21" t="s">
        <v>92</v>
      </c>
      <c r="F207" s="21"/>
      <c r="G207" s="22" t="s">
        <v>16</v>
      </c>
      <c r="H207" s="122">
        <f>H208</f>
        <v>5219.3159999999998</v>
      </c>
      <c r="I207" s="89">
        <v>0</v>
      </c>
      <c r="J207" s="108">
        <f>ROUND(I207,2)*H207</f>
        <v>0</v>
      </c>
      <c r="L207" s="59"/>
      <c r="M207" s="59"/>
      <c r="N207" s="59"/>
      <c r="O207" s="59"/>
    </row>
    <row r="208" spans="1:15" ht="25.5" x14ac:dyDescent="0.2">
      <c r="A208" s="50"/>
      <c r="B208" s="51"/>
      <c r="C208" s="75"/>
      <c r="D208" s="95" t="s">
        <v>93</v>
      </c>
      <c r="E208" s="48" t="s">
        <v>94</v>
      </c>
      <c r="F208" s="48"/>
      <c r="G208" s="96" t="s">
        <v>16</v>
      </c>
      <c r="H208" s="126">
        <f>F209</f>
        <v>5219.3159999999998</v>
      </c>
      <c r="I208" s="63"/>
      <c r="J208" s="113"/>
      <c r="L208" s="59"/>
      <c r="M208" s="59"/>
      <c r="N208" s="59"/>
      <c r="O208" s="59"/>
    </row>
    <row r="209" spans="1:15" ht="15" x14ac:dyDescent="0.2">
      <c r="A209" s="82"/>
      <c r="B209" s="114"/>
      <c r="C209" s="90"/>
      <c r="D209" s="91"/>
      <c r="E209" s="165" t="s">
        <v>360</v>
      </c>
      <c r="F209" s="104">
        <f>4832.7*1.08</f>
        <v>5219.3159999999998</v>
      </c>
      <c r="G209" s="93" t="s">
        <v>16</v>
      </c>
      <c r="H209" s="115"/>
      <c r="I209" s="63"/>
      <c r="J209" s="113"/>
      <c r="L209" s="59"/>
      <c r="M209" s="60"/>
      <c r="N209" s="60"/>
      <c r="O209" s="60"/>
    </row>
    <row r="210" spans="1:15" ht="14.25" x14ac:dyDescent="0.2">
      <c r="A210" s="50"/>
      <c r="B210" s="51"/>
      <c r="C210" s="52"/>
      <c r="D210" s="53"/>
      <c r="E210" s="35"/>
      <c r="F210" s="121"/>
      <c r="G210" s="19"/>
      <c r="H210" s="122"/>
      <c r="I210" s="63"/>
      <c r="J210" s="113"/>
      <c r="L210" s="59"/>
      <c r="M210" s="59"/>
      <c r="N210" s="59"/>
      <c r="O210" s="59"/>
    </row>
    <row r="211" spans="1:15" ht="25.5" x14ac:dyDescent="0.2">
      <c r="A211" s="62">
        <f>MAX(A$2:A208)+1</f>
        <v>39</v>
      </c>
      <c r="B211" s="51"/>
      <c r="C211" s="26" t="s">
        <v>95</v>
      </c>
      <c r="D211" s="30"/>
      <c r="E211" s="21" t="s">
        <v>96</v>
      </c>
      <c r="F211" s="21"/>
      <c r="G211" s="22" t="s">
        <v>16</v>
      </c>
      <c r="H211" s="122">
        <f>H212</f>
        <v>4929.3540000000003</v>
      </c>
      <c r="I211" s="89">
        <v>0</v>
      </c>
      <c r="J211" s="108">
        <f>ROUND(I211,2)*H211</f>
        <v>0</v>
      </c>
      <c r="L211" s="59"/>
      <c r="M211" s="59"/>
      <c r="N211" s="59"/>
      <c r="O211" s="59"/>
    </row>
    <row r="212" spans="1:15" ht="25.5" x14ac:dyDescent="0.2">
      <c r="A212" s="50"/>
      <c r="B212" s="51"/>
      <c r="C212" s="75"/>
      <c r="D212" s="95" t="s">
        <v>97</v>
      </c>
      <c r="E212" s="48" t="s">
        <v>98</v>
      </c>
      <c r="F212" s="48"/>
      <c r="G212" s="96" t="s">
        <v>16</v>
      </c>
      <c r="H212" s="126">
        <f>F213</f>
        <v>4929.3540000000003</v>
      </c>
      <c r="I212" s="63"/>
      <c r="J212" s="113"/>
      <c r="L212" s="59"/>
      <c r="M212" s="59"/>
      <c r="N212" s="59"/>
      <c r="O212" s="59"/>
    </row>
    <row r="213" spans="1:15" ht="15" x14ac:dyDescent="0.2">
      <c r="A213" s="82"/>
      <c r="B213" s="114"/>
      <c r="C213" s="90"/>
      <c r="D213" s="91"/>
      <c r="E213" s="165" t="s">
        <v>361</v>
      </c>
      <c r="F213" s="104">
        <f>4832.7*1.02</f>
        <v>4929.3540000000003</v>
      </c>
      <c r="G213" s="93" t="s">
        <v>16</v>
      </c>
      <c r="H213" s="115"/>
      <c r="I213" s="63"/>
      <c r="J213" s="113"/>
      <c r="L213" s="59"/>
      <c r="M213" s="60"/>
      <c r="N213" s="60"/>
      <c r="O213" s="60"/>
    </row>
    <row r="214" spans="1:15" ht="14.25" x14ac:dyDescent="0.2">
      <c r="A214" s="50"/>
      <c r="B214" s="51"/>
      <c r="C214" s="52"/>
      <c r="D214" s="53"/>
      <c r="E214" s="35"/>
      <c r="F214" s="121"/>
      <c r="G214" s="19"/>
      <c r="H214" s="122"/>
      <c r="I214" s="63"/>
      <c r="J214" s="113"/>
      <c r="L214" s="59"/>
      <c r="M214" s="59"/>
      <c r="N214" s="59"/>
      <c r="O214" s="59"/>
    </row>
    <row r="215" spans="1:15" ht="25.5" x14ac:dyDescent="0.2">
      <c r="A215" s="62">
        <f>MAX(A$2:A212)+1</f>
        <v>40</v>
      </c>
      <c r="B215" s="51"/>
      <c r="C215" s="26" t="s">
        <v>99</v>
      </c>
      <c r="D215" s="30"/>
      <c r="E215" s="21" t="s">
        <v>100</v>
      </c>
      <c r="F215" s="21"/>
      <c r="G215" s="22" t="s">
        <v>37</v>
      </c>
      <c r="H215" s="122">
        <f>H216</f>
        <v>586.68978000000004</v>
      </c>
      <c r="I215" s="89">
        <v>0</v>
      </c>
      <c r="J215" s="108">
        <f>ROUND(I215,2)*H215</f>
        <v>0</v>
      </c>
      <c r="L215" s="59"/>
      <c r="M215" s="59"/>
      <c r="N215" s="59"/>
      <c r="O215" s="59"/>
    </row>
    <row r="216" spans="1:15" ht="25.5" x14ac:dyDescent="0.2">
      <c r="A216" s="50"/>
      <c r="B216" s="51"/>
      <c r="C216" s="75"/>
      <c r="D216" s="95" t="s">
        <v>101</v>
      </c>
      <c r="E216" s="48" t="s">
        <v>102</v>
      </c>
      <c r="F216" s="48"/>
      <c r="G216" s="96" t="s">
        <v>37</v>
      </c>
      <c r="H216" s="126">
        <f>F217+F218</f>
        <v>586.68978000000004</v>
      </c>
      <c r="I216" s="63"/>
      <c r="J216" s="113"/>
      <c r="L216" s="59"/>
      <c r="M216" s="59"/>
      <c r="N216" s="59"/>
      <c r="O216" s="59"/>
    </row>
    <row r="217" spans="1:15" ht="25.5" x14ac:dyDescent="0.2">
      <c r="A217" s="82"/>
      <c r="B217" s="114"/>
      <c r="C217" s="90"/>
      <c r="D217" s="91"/>
      <c r="E217" s="165" t="s">
        <v>103</v>
      </c>
      <c r="F217" s="104">
        <f>4832.7*0.07*1.02</f>
        <v>345.05478000000005</v>
      </c>
      <c r="G217" s="93" t="s">
        <v>37</v>
      </c>
      <c r="H217" s="115"/>
      <c r="I217" s="63"/>
      <c r="J217" s="113"/>
      <c r="L217" s="59"/>
      <c r="M217" s="60"/>
      <c r="N217" s="60"/>
      <c r="O217" s="60"/>
    </row>
    <row r="218" spans="1:15" ht="25.5" x14ac:dyDescent="0.2">
      <c r="A218" s="82"/>
      <c r="B218" s="114"/>
      <c r="C218" s="90"/>
      <c r="D218" s="91"/>
      <c r="E218" s="165" t="s">
        <v>104</v>
      </c>
      <c r="F218" s="104">
        <f>4832.7*0.05</f>
        <v>241.63499999999999</v>
      </c>
      <c r="G218" s="93" t="s">
        <v>37</v>
      </c>
      <c r="H218" s="115"/>
      <c r="I218" s="63"/>
      <c r="J218" s="113"/>
      <c r="L218" s="59"/>
      <c r="M218" s="60"/>
      <c r="N218" s="60"/>
      <c r="O218" s="60"/>
    </row>
    <row r="219" spans="1:15" ht="14.25" x14ac:dyDescent="0.2">
      <c r="A219" s="50"/>
      <c r="B219" s="51"/>
      <c r="C219" s="52"/>
      <c r="D219" s="23"/>
      <c r="E219" s="34"/>
      <c r="F219" s="121"/>
      <c r="G219" s="25"/>
      <c r="H219" s="122"/>
      <c r="I219" s="63"/>
      <c r="J219" s="113"/>
      <c r="L219" s="59"/>
      <c r="M219" s="59"/>
      <c r="N219" s="59"/>
      <c r="O219" s="59"/>
    </row>
    <row r="220" spans="1:15" ht="25.5" x14ac:dyDescent="0.2">
      <c r="A220" s="62">
        <f>MAX(A$2:A218)+1</f>
        <v>41</v>
      </c>
      <c r="B220" s="51"/>
      <c r="C220" s="26" t="s">
        <v>172</v>
      </c>
      <c r="D220" s="30"/>
      <c r="E220" s="21" t="s">
        <v>173</v>
      </c>
      <c r="F220" s="21"/>
      <c r="G220" s="22" t="s">
        <v>16</v>
      </c>
      <c r="H220" s="122">
        <f>H221</f>
        <v>2530</v>
      </c>
      <c r="I220" s="89">
        <v>0</v>
      </c>
      <c r="J220" s="108">
        <f>ROUND(I220,2)*H220</f>
        <v>0</v>
      </c>
      <c r="L220" s="59"/>
      <c r="M220" s="59"/>
      <c r="N220" s="59"/>
      <c r="O220" s="59"/>
    </row>
    <row r="221" spans="1:15" ht="25.5" x14ac:dyDescent="0.2">
      <c r="A221" s="50"/>
      <c r="B221" s="51"/>
      <c r="C221" s="75"/>
      <c r="D221" s="95" t="s">
        <v>174</v>
      </c>
      <c r="E221" s="48" t="s">
        <v>175</v>
      </c>
      <c r="F221" s="48"/>
      <c r="G221" s="96" t="s">
        <v>16</v>
      </c>
      <c r="H221" s="126">
        <f>F222</f>
        <v>2530</v>
      </c>
      <c r="I221" s="63"/>
      <c r="J221" s="113"/>
      <c r="L221" s="59"/>
      <c r="M221" s="59"/>
      <c r="N221" s="59"/>
      <c r="O221" s="59"/>
    </row>
    <row r="222" spans="1:15" ht="15" x14ac:dyDescent="0.2">
      <c r="A222" s="82"/>
      <c r="B222" s="114"/>
      <c r="C222" s="90"/>
      <c r="D222" s="91"/>
      <c r="E222" s="165" t="s">
        <v>217</v>
      </c>
      <c r="F222" s="104">
        <v>2530</v>
      </c>
      <c r="G222" s="93" t="s">
        <v>16</v>
      </c>
      <c r="H222" s="115"/>
      <c r="I222" s="63"/>
      <c r="J222" s="113"/>
      <c r="L222" s="59"/>
      <c r="M222" s="60"/>
      <c r="N222" s="60"/>
      <c r="O222" s="60"/>
    </row>
    <row r="223" spans="1:15" ht="14.25" x14ac:dyDescent="0.2">
      <c r="A223" s="50"/>
      <c r="B223" s="51"/>
      <c r="C223" s="52"/>
      <c r="D223" s="53"/>
      <c r="E223" s="35"/>
      <c r="F223" s="121"/>
      <c r="G223" s="19"/>
      <c r="H223" s="122"/>
      <c r="I223" s="63"/>
      <c r="J223" s="113"/>
      <c r="L223" s="59"/>
      <c r="M223" s="59"/>
      <c r="N223" s="59"/>
      <c r="O223" s="59"/>
    </row>
    <row r="224" spans="1:15" ht="14.25" x14ac:dyDescent="0.2">
      <c r="A224" s="62">
        <f>MAX(A$2:A222)+1</f>
        <v>42</v>
      </c>
      <c r="B224" s="51"/>
      <c r="C224" s="26" t="s">
        <v>163</v>
      </c>
      <c r="D224" s="30"/>
      <c r="E224" s="21" t="s">
        <v>164</v>
      </c>
      <c r="F224" s="21"/>
      <c r="G224" s="22" t="s">
        <v>86</v>
      </c>
      <c r="H224" s="122">
        <f>H225</f>
        <v>29.2</v>
      </c>
      <c r="I224" s="89">
        <v>0</v>
      </c>
      <c r="J224" s="108">
        <f>ROUND(I224,2)*H224</f>
        <v>0</v>
      </c>
      <c r="L224" s="59"/>
      <c r="M224" s="59"/>
      <c r="N224" s="59"/>
      <c r="O224" s="59"/>
    </row>
    <row r="225" spans="1:15" ht="14.25" x14ac:dyDescent="0.2">
      <c r="A225" s="50"/>
      <c r="B225" s="51"/>
      <c r="C225" s="75"/>
      <c r="D225" s="95" t="s">
        <v>165</v>
      </c>
      <c r="E225" s="48" t="s">
        <v>166</v>
      </c>
      <c r="F225" s="48"/>
      <c r="G225" s="96" t="s">
        <v>86</v>
      </c>
      <c r="H225" s="126">
        <f>F226</f>
        <v>29.2</v>
      </c>
      <c r="I225" s="63"/>
      <c r="J225" s="113"/>
      <c r="L225" s="59"/>
      <c r="M225" s="59"/>
      <c r="N225" s="59"/>
      <c r="O225" s="59"/>
    </row>
    <row r="226" spans="1:15" ht="15" x14ac:dyDescent="0.2">
      <c r="A226" s="82"/>
      <c r="B226" s="114"/>
      <c r="C226" s="90"/>
      <c r="D226" s="91"/>
      <c r="E226" s="165" t="s">
        <v>167</v>
      </c>
      <c r="F226" s="104">
        <f>(10+4.6)*2</f>
        <v>29.2</v>
      </c>
      <c r="G226" s="93" t="s">
        <v>86</v>
      </c>
      <c r="H226" s="115"/>
      <c r="I226" s="63"/>
      <c r="J226" s="113"/>
      <c r="L226" s="59"/>
      <c r="M226" s="60"/>
      <c r="N226" s="60"/>
      <c r="O226" s="60"/>
    </row>
    <row r="227" spans="1:15" ht="14.25" x14ac:dyDescent="0.2">
      <c r="A227" s="50"/>
      <c r="B227" s="51"/>
      <c r="C227" s="52"/>
      <c r="D227" s="53"/>
      <c r="E227" s="35"/>
      <c r="F227" s="121"/>
      <c r="G227" s="19"/>
      <c r="H227" s="122"/>
      <c r="I227" s="63"/>
      <c r="J227" s="113"/>
      <c r="L227" s="59"/>
      <c r="M227" s="59"/>
      <c r="N227" s="59"/>
      <c r="O227" s="59"/>
    </row>
    <row r="228" spans="1:15" ht="14.25" x14ac:dyDescent="0.2">
      <c r="A228" s="62">
        <f>MAX(A$2:A226)+1</f>
        <v>43</v>
      </c>
      <c r="B228" s="51"/>
      <c r="C228" s="26" t="s">
        <v>105</v>
      </c>
      <c r="D228" s="30"/>
      <c r="E228" s="21" t="s">
        <v>106</v>
      </c>
      <c r="F228" s="21"/>
      <c r="G228" s="22" t="s">
        <v>86</v>
      </c>
      <c r="H228" s="122">
        <f>H229</f>
        <v>1366</v>
      </c>
      <c r="I228" s="89">
        <v>0</v>
      </c>
      <c r="J228" s="108">
        <f>ROUND(I228,2)*H228</f>
        <v>0</v>
      </c>
      <c r="L228" s="59"/>
      <c r="M228" s="59"/>
      <c r="N228" s="59"/>
      <c r="O228" s="59"/>
    </row>
    <row r="229" spans="1:15" ht="25.5" x14ac:dyDescent="0.2">
      <c r="A229" s="50"/>
      <c r="B229" s="51"/>
      <c r="C229" s="75"/>
      <c r="D229" s="95" t="s">
        <v>107</v>
      </c>
      <c r="E229" s="48" t="s">
        <v>108</v>
      </c>
      <c r="F229" s="48"/>
      <c r="G229" s="96" t="s">
        <v>86</v>
      </c>
      <c r="H229" s="126">
        <f>SUM(F230:F232)</f>
        <v>1366</v>
      </c>
      <c r="I229" s="63"/>
      <c r="J229" s="113"/>
      <c r="L229" s="59"/>
      <c r="M229" s="59"/>
      <c r="N229" s="59"/>
      <c r="O229" s="59"/>
    </row>
    <row r="230" spans="1:15" ht="15" x14ac:dyDescent="0.2">
      <c r="A230" s="82"/>
      <c r="B230" s="114"/>
      <c r="C230" s="90"/>
      <c r="D230" s="91"/>
      <c r="E230" s="188" t="s">
        <v>109</v>
      </c>
      <c r="F230" s="189">
        <f>348+176</f>
        <v>524</v>
      </c>
      <c r="G230" s="190" t="s">
        <v>86</v>
      </c>
      <c r="H230" s="115"/>
      <c r="I230" s="63"/>
      <c r="J230" s="113"/>
      <c r="L230" s="59"/>
      <c r="M230" s="60"/>
      <c r="N230" s="60"/>
      <c r="O230" s="60"/>
    </row>
    <row r="231" spans="1:15" ht="15" x14ac:dyDescent="0.2">
      <c r="A231" s="82"/>
      <c r="B231" s="114"/>
      <c r="C231" s="90"/>
      <c r="D231" s="91"/>
      <c r="E231" s="188" t="s">
        <v>128</v>
      </c>
      <c r="F231" s="189">
        <f>64</f>
        <v>64</v>
      </c>
      <c r="G231" s="190" t="s">
        <v>86</v>
      </c>
      <c r="H231" s="115"/>
      <c r="I231" s="63"/>
      <c r="J231" s="113"/>
      <c r="L231" s="59"/>
      <c r="M231" s="60"/>
      <c r="N231" s="60"/>
      <c r="O231" s="60"/>
    </row>
    <row r="232" spans="1:15" ht="15" x14ac:dyDescent="0.2">
      <c r="A232" s="82"/>
      <c r="B232" s="114"/>
      <c r="C232" s="90"/>
      <c r="D232" s="91"/>
      <c r="E232" s="188" t="s">
        <v>368</v>
      </c>
      <c r="F232" s="189">
        <f>16+762</f>
        <v>778</v>
      </c>
      <c r="G232" s="190" t="s">
        <v>86</v>
      </c>
      <c r="H232" s="115"/>
      <c r="I232" s="63"/>
      <c r="J232" s="113"/>
      <c r="L232" s="59"/>
      <c r="M232" s="60"/>
      <c r="N232" s="60"/>
      <c r="O232" s="60"/>
    </row>
    <row r="233" spans="1:15" ht="14.25" x14ac:dyDescent="0.2">
      <c r="A233" s="50"/>
      <c r="B233" s="51"/>
      <c r="C233" s="52"/>
      <c r="D233" s="53"/>
      <c r="E233" s="35"/>
      <c r="F233" s="121"/>
      <c r="G233" s="19"/>
      <c r="H233" s="122"/>
      <c r="I233" s="63"/>
      <c r="J233" s="113"/>
      <c r="L233" s="59"/>
      <c r="M233" s="65"/>
      <c r="N233" s="59"/>
      <c r="O233" s="59"/>
    </row>
    <row r="234" spans="1:15" ht="25.5" x14ac:dyDescent="0.2">
      <c r="A234" s="62">
        <f>MAX(A$2:A231)+1</f>
        <v>44</v>
      </c>
      <c r="B234" s="51"/>
      <c r="C234" s="26" t="s">
        <v>336</v>
      </c>
      <c r="D234" s="30"/>
      <c r="E234" s="21" t="s">
        <v>337</v>
      </c>
      <c r="F234" s="21"/>
      <c r="G234" s="22" t="s">
        <v>283</v>
      </c>
      <c r="H234" s="122">
        <f>H235</f>
        <v>41</v>
      </c>
      <c r="I234" s="89">
        <v>0</v>
      </c>
      <c r="J234" s="108">
        <f>ROUND(I234,2)*H234</f>
        <v>0</v>
      </c>
      <c r="L234" s="59"/>
      <c r="M234" s="59"/>
      <c r="N234" s="59"/>
      <c r="O234" s="59"/>
    </row>
    <row r="235" spans="1:15" ht="25.5" x14ac:dyDescent="0.2">
      <c r="A235" s="50"/>
      <c r="B235" s="51"/>
      <c r="C235" s="75"/>
      <c r="D235" s="95" t="s">
        <v>338</v>
      </c>
      <c r="E235" s="48" t="s">
        <v>339</v>
      </c>
      <c r="F235" s="48"/>
      <c r="G235" s="96" t="s">
        <v>283</v>
      </c>
      <c r="H235" s="126">
        <f>F236</f>
        <v>41</v>
      </c>
      <c r="I235" s="63"/>
      <c r="J235" s="113"/>
      <c r="L235" s="59"/>
      <c r="M235" s="59"/>
      <c r="N235" s="59"/>
      <c r="O235" s="59"/>
    </row>
    <row r="236" spans="1:15" ht="15" x14ac:dyDescent="0.2">
      <c r="A236" s="82"/>
      <c r="B236" s="114"/>
      <c r="C236" s="90"/>
      <c r="D236" s="91"/>
      <c r="E236" s="165" t="s">
        <v>340</v>
      </c>
      <c r="F236" s="104">
        <v>41</v>
      </c>
      <c r="G236" s="93" t="s">
        <v>283</v>
      </c>
      <c r="H236" s="115"/>
      <c r="I236" s="63"/>
      <c r="J236" s="113"/>
      <c r="L236" s="59"/>
      <c r="M236" s="60"/>
      <c r="N236" s="60"/>
      <c r="O236" s="60"/>
    </row>
    <row r="237" spans="1:15" ht="14.25" x14ac:dyDescent="0.2">
      <c r="A237" s="50"/>
      <c r="B237" s="51"/>
      <c r="C237" s="52"/>
      <c r="D237" s="74"/>
      <c r="E237" s="35"/>
      <c r="F237" s="121"/>
      <c r="G237" s="19"/>
      <c r="H237" s="122"/>
      <c r="I237" s="63"/>
      <c r="J237" s="113"/>
      <c r="L237" s="59"/>
      <c r="M237" s="65"/>
      <c r="N237" s="59"/>
      <c r="O237" s="59"/>
    </row>
    <row r="238" spans="1:15" ht="25.5" x14ac:dyDescent="0.2">
      <c r="A238" s="62">
        <f>MAX(A$2:A236)+1</f>
        <v>45</v>
      </c>
      <c r="B238" s="51"/>
      <c r="C238" s="26" t="s">
        <v>110</v>
      </c>
      <c r="D238" s="30"/>
      <c r="E238" s="21" t="s">
        <v>111</v>
      </c>
      <c r="F238" s="21"/>
      <c r="G238" s="22" t="s">
        <v>86</v>
      </c>
      <c r="H238" s="122">
        <f>H239</f>
        <v>1417</v>
      </c>
      <c r="I238" s="89">
        <v>0</v>
      </c>
      <c r="J238" s="108">
        <f>ROUND(I238,2)*H238</f>
        <v>0</v>
      </c>
      <c r="L238" s="59"/>
      <c r="M238" s="59"/>
      <c r="N238" s="59"/>
      <c r="O238" s="59"/>
    </row>
    <row r="239" spans="1:15" ht="25.5" x14ac:dyDescent="0.2">
      <c r="A239" s="50"/>
      <c r="B239" s="51"/>
      <c r="C239" s="75"/>
      <c r="D239" s="95" t="s">
        <v>112</v>
      </c>
      <c r="E239" s="48" t="s">
        <v>113</v>
      </c>
      <c r="F239" s="48"/>
      <c r="G239" s="96" t="s">
        <v>86</v>
      </c>
      <c r="H239" s="126">
        <f>SUM(F240:F241)</f>
        <v>1417</v>
      </c>
      <c r="I239" s="63"/>
      <c r="J239" s="113"/>
      <c r="L239" s="59"/>
      <c r="M239" s="59"/>
      <c r="N239" s="59"/>
      <c r="O239" s="59"/>
    </row>
    <row r="240" spans="1:15" ht="25.5" x14ac:dyDescent="0.2">
      <c r="A240" s="82"/>
      <c r="B240" s="114"/>
      <c r="C240" s="90"/>
      <c r="D240" s="91"/>
      <c r="E240" s="165" t="s">
        <v>303</v>
      </c>
      <c r="F240" s="104">
        <f>750+95+500</f>
        <v>1345</v>
      </c>
      <c r="G240" s="93" t="s">
        <v>86</v>
      </c>
      <c r="H240" s="115"/>
      <c r="I240" s="63"/>
      <c r="J240" s="113"/>
      <c r="L240" s="59"/>
      <c r="M240" s="60"/>
      <c r="N240" s="60"/>
      <c r="O240" s="60"/>
    </row>
    <row r="241" spans="1:15" ht="25.5" x14ac:dyDescent="0.2">
      <c r="A241" s="82"/>
      <c r="B241" s="114"/>
      <c r="C241" s="90"/>
      <c r="D241" s="91"/>
      <c r="E241" s="165" t="s">
        <v>320</v>
      </c>
      <c r="F241" s="104">
        <f>2*36</f>
        <v>72</v>
      </c>
      <c r="G241" s="93" t="s">
        <v>86</v>
      </c>
      <c r="H241" s="115"/>
      <c r="I241" s="63"/>
      <c r="J241" s="113"/>
      <c r="L241" s="59"/>
      <c r="M241" s="60"/>
      <c r="N241" s="60"/>
      <c r="O241" s="60"/>
    </row>
    <row r="242" spans="1:15" x14ac:dyDescent="0.2">
      <c r="A242" s="50"/>
      <c r="B242" s="51"/>
      <c r="C242" s="52"/>
      <c r="D242" s="23"/>
      <c r="E242" s="103"/>
      <c r="F242" s="121"/>
      <c r="G242" s="25"/>
      <c r="H242" s="122"/>
      <c r="I242" s="63"/>
      <c r="J242" s="113"/>
    </row>
    <row r="243" spans="1:15" ht="25.5" x14ac:dyDescent="0.2">
      <c r="A243" s="62">
        <f>MAX(A$2:A241)+1</f>
        <v>46</v>
      </c>
      <c r="B243" s="51"/>
      <c r="C243" s="26" t="s">
        <v>331</v>
      </c>
      <c r="D243" s="30"/>
      <c r="E243" s="21" t="s">
        <v>332</v>
      </c>
      <c r="F243" s="21"/>
      <c r="G243" s="22" t="s">
        <v>283</v>
      </c>
      <c r="H243" s="122">
        <f>H244</f>
        <v>3</v>
      </c>
      <c r="I243" s="89">
        <v>0</v>
      </c>
      <c r="J243" s="108">
        <f>ROUND(I243,2)*H243</f>
        <v>0</v>
      </c>
      <c r="L243" s="59"/>
      <c r="M243" s="59"/>
      <c r="N243" s="59"/>
      <c r="O243" s="59"/>
    </row>
    <row r="244" spans="1:15" ht="25.5" x14ac:dyDescent="0.2">
      <c r="A244" s="50"/>
      <c r="B244" s="51"/>
      <c r="C244" s="75"/>
      <c r="D244" s="95" t="s">
        <v>333</v>
      </c>
      <c r="E244" s="48" t="s">
        <v>334</v>
      </c>
      <c r="F244" s="48"/>
      <c r="G244" s="96" t="s">
        <v>283</v>
      </c>
      <c r="H244" s="126">
        <f>F245</f>
        <v>3</v>
      </c>
      <c r="I244" s="63"/>
      <c r="J244" s="113"/>
      <c r="L244" s="59"/>
      <c r="M244" s="59"/>
      <c r="N244" s="59"/>
      <c r="O244" s="59"/>
    </row>
    <row r="245" spans="1:15" ht="15" x14ac:dyDescent="0.2">
      <c r="A245" s="82"/>
      <c r="B245" s="114"/>
      <c r="C245" s="90"/>
      <c r="D245" s="91"/>
      <c r="E245" s="165" t="s">
        <v>335</v>
      </c>
      <c r="F245" s="104">
        <v>3</v>
      </c>
      <c r="G245" s="93" t="s">
        <v>283</v>
      </c>
      <c r="H245" s="115"/>
      <c r="I245" s="63"/>
      <c r="J245" s="113"/>
      <c r="L245" s="59"/>
      <c r="M245" s="60"/>
      <c r="N245" s="60"/>
      <c r="O245" s="60"/>
    </row>
    <row r="246" spans="1:15" x14ac:dyDescent="0.2">
      <c r="A246" s="50"/>
      <c r="B246" s="51"/>
      <c r="C246" s="52"/>
      <c r="D246" s="23"/>
      <c r="E246" s="24"/>
      <c r="F246" s="121"/>
      <c r="G246" s="25"/>
      <c r="H246" s="122"/>
      <c r="I246" s="63"/>
      <c r="J246" s="113"/>
    </row>
    <row r="247" spans="1:15" ht="25.5" x14ac:dyDescent="0.2">
      <c r="A247" s="50"/>
      <c r="B247" s="29" t="s">
        <v>321</v>
      </c>
      <c r="C247" s="31"/>
      <c r="D247" s="32"/>
      <c r="E247" s="18" t="s">
        <v>322</v>
      </c>
      <c r="F247" s="121"/>
      <c r="G247" s="25"/>
      <c r="H247" s="122"/>
      <c r="I247" s="63"/>
      <c r="J247" s="113"/>
    </row>
    <row r="248" spans="1:15" ht="25.5" x14ac:dyDescent="0.2">
      <c r="A248" s="62">
        <f>MAX(A$2:A246)+1</f>
        <v>47</v>
      </c>
      <c r="B248" s="51"/>
      <c r="C248" s="26" t="s">
        <v>323</v>
      </c>
      <c r="D248" s="30"/>
      <c r="E248" s="21" t="s">
        <v>324</v>
      </c>
      <c r="F248" s="21"/>
      <c r="G248" s="22" t="s">
        <v>16</v>
      </c>
      <c r="H248" s="122">
        <f>H249+H251</f>
        <v>559.41250000000002</v>
      </c>
      <c r="I248" s="89">
        <v>0</v>
      </c>
      <c r="J248" s="108">
        <f>ROUND(I248,2)*H248</f>
        <v>0</v>
      </c>
      <c r="L248" s="59"/>
      <c r="M248" s="59"/>
      <c r="N248" s="59"/>
      <c r="O248" s="59"/>
    </row>
    <row r="249" spans="1:15" ht="25.5" x14ac:dyDescent="0.2">
      <c r="A249" s="50"/>
      <c r="B249" s="51"/>
      <c r="C249" s="75"/>
      <c r="D249" s="95" t="s">
        <v>325</v>
      </c>
      <c r="E249" s="48" t="s">
        <v>326</v>
      </c>
      <c r="F249" s="48"/>
      <c r="G249" s="96" t="s">
        <v>16</v>
      </c>
      <c r="H249" s="126">
        <f>F250</f>
        <v>382.5</v>
      </c>
      <c r="I249" s="63"/>
      <c r="J249" s="113"/>
      <c r="L249" s="59"/>
      <c r="M249" s="59"/>
      <c r="N249" s="59"/>
      <c r="O249" s="59"/>
    </row>
    <row r="250" spans="1:15" ht="15" x14ac:dyDescent="0.2">
      <c r="A250" s="82"/>
      <c r="B250" s="114"/>
      <c r="C250" s="90"/>
      <c r="D250" s="91"/>
      <c r="E250" s="165" t="s">
        <v>327</v>
      </c>
      <c r="F250" s="104">
        <f>0.25*2*765</f>
        <v>382.5</v>
      </c>
      <c r="G250" s="93" t="s">
        <v>16</v>
      </c>
      <c r="H250" s="115"/>
      <c r="I250" s="63"/>
      <c r="J250" s="113"/>
      <c r="L250" s="59"/>
      <c r="M250" s="60"/>
      <c r="N250" s="60"/>
      <c r="O250" s="60"/>
    </row>
    <row r="251" spans="1:15" ht="25.5" x14ac:dyDescent="0.2">
      <c r="A251" s="50"/>
      <c r="B251" s="51"/>
      <c r="C251" s="75"/>
      <c r="D251" s="95" t="s">
        <v>328</v>
      </c>
      <c r="E251" s="48" t="s">
        <v>329</v>
      </c>
      <c r="F251" s="48"/>
      <c r="G251" s="96" t="s">
        <v>16</v>
      </c>
      <c r="H251" s="126">
        <f>F254</f>
        <v>176.91249999999999</v>
      </c>
      <c r="I251" s="63"/>
      <c r="J251" s="113"/>
      <c r="L251" s="59"/>
      <c r="M251" s="59"/>
      <c r="N251" s="59"/>
      <c r="O251" s="59"/>
    </row>
    <row r="252" spans="1:15" ht="15" x14ac:dyDescent="0.2">
      <c r="A252" s="82"/>
      <c r="B252" s="114"/>
      <c r="C252" s="90"/>
      <c r="D252" s="91"/>
      <c r="E252" s="165" t="s">
        <v>330</v>
      </c>
      <c r="F252" s="104">
        <f>(287+68+277)*0.125+3*3.05*0.25</f>
        <v>81.287499999999994</v>
      </c>
      <c r="G252" s="93" t="s">
        <v>16</v>
      </c>
      <c r="H252" s="115"/>
      <c r="I252" s="63"/>
      <c r="J252" s="113"/>
      <c r="L252" s="59"/>
      <c r="M252" s="60"/>
      <c r="N252" s="60"/>
      <c r="O252" s="60"/>
    </row>
    <row r="253" spans="1:15" ht="15" x14ac:dyDescent="0.2">
      <c r="A253" s="82"/>
      <c r="B253" s="114"/>
      <c r="C253" s="90"/>
      <c r="D253" s="91"/>
      <c r="E253" s="165" t="s">
        <v>327</v>
      </c>
      <c r="F253" s="159">
        <f>0.125*765</f>
        <v>95.625</v>
      </c>
      <c r="G253" s="93" t="s">
        <v>16</v>
      </c>
      <c r="H253" s="115"/>
      <c r="I253" s="63"/>
      <c r="J253" s="113"/>
      <c r="L253" s="59"/>
      <c r="M253" s="60"/>
      <c r="N253" s="60"/>
      <c r="O253" s="60"/>
    </row>
    <row r="254" spans="1:15" ht="15" x14ac:dyDescent="0.2">
      <c r="A254" s="82"/>
      <c r="B254" s="114"/>
      <c r="C254" s="90"/>
      <c r="D254" s="91"/>
      <c r="E254" s="151" t="s">
        <v>147</v>
      </c>
      <c r="F254" s="152">
        <f>SUM(F252:F253)</f>
        <v>176.91249999999999</v>
      </c>
      <c r="G254" s="93" t="s">
        <v>16</v>
      </c>
      <c r="H254" s="115"/>
      <c r="I254" s="63"/>
      <c r="J254" s="113"/>
      <c r="L254" s="59"/>
      <c r="M254" s="60"/>
      <c r="N254" s="60"/>
      <c r="O254" s="60"/>
    </row>
    <row r="255" spans="1:15" x14ac:dyDescent="0.2">
      <c r="A255" s="50"/>
      <c r="B255" s="51"/>
      <c r="C255" s="52"/>
      <c r="D255" s="23"/>
      <c r="E255" s="24"/>
      <c r="F255" s="121"/>
      <c r="G255" s="25"/>
      <c r="H255" s="122"/>
      <c r="I255" s="63"/>
      <c r="J255" s="113"/>
    </row>
    <row r="256" spans="1:15" ht="38.25" x14ac:dyDescent="0.2">
      <c r="A256" s="50"/>
      <c r="B256" s="29" t="s">
        <v>268</v>
      </c>
      <c r="C256" s="31"/>
      <c r="D256" s="32"/>
      <c r="E256" s="18" t="s">
        <v>269</v>
      </c>
      <c r="F256" s="121"/>
      <c r="G256" s="25"/>
      <c r="H256" s="122"/>
      <c r="I256" s="63"/>
      <c r="J256" s="113"/>
    </row>
    <row r="257" spans="1:15" ht="14.25" x14ac:dyDescent="0.2">
      <c r="A257" s="62">
        <f>MAX(A$2:A255)+1</f>
        <v>48</v>
      </c>
      <c r="B257" s="51"/>
      <c r="C257" s="26" t="s">
        <v>270</v>
      </c>
      <c r="D257" s="30"/>
      <c r="E257" s="21" t="s">
        <v>271</v>
      </c>
      <c r="F257" s="21"/>
      <c r="G257" s="22" t="s">
        <v>272</v>
      </c>
      <c r="H257" s="122">
        <f>H258</f>
        <v>10</v>
      </c>
      <c r="I257" s="89">
        <v>0</v>
      </c>
      <c r="J257" s="108">
        <f>ROUND(I257,2)*H257</f>
        <v>0</v>
      </c>
      <c r="L257" s="59"/>
      <c r="M257" s="59"/>
      <c r="N257" s="59"/>
      <c r="O257" s="59"/>
    </row>
    <row r="258" spans="1:15" ht="14.25" x14ac:dyDescent="0.2">
      <c r="A258" s="50"/>
      <c r="B258" s="51"/>
      <c r="C258" s="75"/>
      <c r="D258" s="95" t="s">
        <v>273</v>
      </c>
      <c r="E258" s="48" t="s">
        <v>274</v>
      </c>
      <c r="F258" s="48"/>
      <c r="G258" s="96" t="s">
        <v>272</v>
      </c>
      <c r="H258" s="126">
        <v>10</v>
      </c>
      <c r="I258" s="63"/>
      <c r="J258" s="113"/>
      <c r="L258" s="59"/>
      <c r="M258" s="59"/>
      <c r="N258" s="59"/>
      <c r="O258" s="59"/>
    </row>
    <row r="259" spans="1:15" ht="25.5" x14ac:dyDescent="0.2">
      <c r="A259" s="50"/>
      <c r="B259" s="51"/>
      <c r="C259" s="52"/>
      <c r="D259" s="23"/>
      <c r="E259" s="34" t="s">
        <v>275</v>
      </c>
      <c r="F259" s="121"/>
      <c r="G259" s="25"/>
      <c r="H259" s="122"/>
      <c r="I259" s="63"/>
      <c r="J259" s="113"/>
    </row>
    <row r="260" spans="1:15" x14ac:dyDescent="0.2">
      <c r="A260" s="50"/>
      <c r="B260" s="51"/>
      <c r="C260" s="52"/>
      <c r="D260" s="23"/>
      <c r="E260" s="24"/>
      <c r="F260" s="121"/>
      <c r="G260" s="25"/>
      <c r="H260" s="122"/>
      <c r="I260" s="63"/>
      <c r="J260" s="113"/>
    </row>
    <row r="261" spans="1:15" ht="25.5" x14ac:dyDescent="0.2">
      <c r="A261" s="50"/>
      <c r="B261" s="29" t="s">
        <v>114</v>
      </c>
      <c r="C261" s="31"/>
      <c r="D261" s="32"/>
      <c r="E261" s="18" t="s">
        <v>115</v>
      </c>
      <c r="F261" s="121"/>
      <c r="G261" s="25"/>
      <c r="H261" s="122"/>
      <c r="I261" s="63"/>
      <c r="J261" s="113"/>
    </row>
    <row r="262" spans="1:15" ht="14.25" x14ac:dyDescent="0.2">
      <c r="A262" s="62">
        <f>MAX(A$2:A260)+1</f>
        <v>49</v>
      </c>
      <c r="B262" s="51"/>
      <c r="C262" s="26" t="s">
        <v>116</v>
      </c>
      <c r="D262" s="30"/>
      <c r="E262" s="21" t="s">
        <v>117</v>
      </c>
      <c r="F262" s="21"/>
      <c r="G262" s="22" t="s">
        <v>16</v>
      </c>
      <c r="H262" s="122">
        <f>H263</f>
        <v>14.170945295829888</v>
      </c>
      <c r="I262" s="89">
        <v>0</v>
      </c>
      <c r="J262" s="108">
        <f>ROUND(I262,2)*H262</f>
        <v>0</v>
      </c>
      <c r="L262" s="59"/>
      <c r="M262" s="59"/>
      <c r="N262" s="59"/>
      <c r="O262" s="59"/>
    </row>
    <row r="263" spans="1:15" ht="25.5" x14ac:dyDescent="0.2">
      <c r="A263" s="50"/>
      <c r="B263" s="51"/>
      <c r="C263" s="75"/>
      <c r="D263" s="95" t="s">
        <v>116</v>
      </c>
      <c r="E263" s="48" t="s">
        <v>250</v>
      </c>
      <c r="F263" s="48"/>
      <c r="G263" s="96" t="s">
        <v>16</v>
      </c>
      <c r="H263" s="126">
        <f>F269</f>
        <v>14.170945295829888</v>
      </c>
      <c r="I263" s="63"/>
      <c r="J263" s="113"/>
      <c r="L263" s="59"/>
      <c r="M263" s="59"/>
      <c r="N263" s="59"/>
      <c r="O263" s="59"/>
    </row>
    <row r="264" spans="1:15" ht="15" x14ac:dyDescent="0.2">
      <c r="A264" s="82"/>
      <c r="B264" s="114"/>
      <c r="C264" s="90"/>
      <c r="D264" s="91"/>
      <c r="E264" s="165" t="s">
        <v>229</v>
      </c>
      <c r="F264" s="104">
        <f>1*2</f>
        <v>2</v>
      </c>
      <c r="G264" s="93" t="s">
        <v>16</v>
      </c>
      <c r="H264" s="115"/>
      <c r="I264" s="63"/>
      <c r="J264" s="113"/>
      <c r="L264" s="59"/>
      <c r="M264" s="60"/>
      <c r="N264" s="60"/>
      <c r="O264" s="60"/>
    </row>
    <row r="265" spans="1:15" ht="15" x14ac:dyDescent="0.2">
      <c r="A265" s="82"/>
      <c r="B265" s="114"/>
      <c r="C265" s="90"/>
      <c r="D265" s="91"/>
      <c r="E265" s="165" t="s">
        <v>230</v>
      </c>
      <c r="F265" s="104">
        <v>2</v>
      </c>
      <c r="G265" s="93" t="s">
        <v>16</v>
      </c>
      <c r="H265" s="115"/>
      <c r="I265" s="63"/>
      <c r="J265" s="113"/>
      <c r="L265" s="59"/>
      <c r="M265" s="60"/>
      <c r="N265" s="60"/>
      <c r="O265" s="60"/>
    </row>
    <row r="266" spans="1:15" ht="15" x14ac:dyDescent="0.2">
      <c r="A266" s="82"/>
      <c r="B266" s="114"/>
      <c r="C266" s="90"/>
      <c r="D266" s="91"/>
      <c r="E266" s="165" t="s">
        <v>256</v>
      </c>
      <c r="F266" s="104">
        <f>2*1</f>
        <v>2</v>
      </c>
      <c r="G266" s="93" t="s">
        <v>16</v>
      </c>
      <c r="H266" s="115"/>
      <c r="I266" s="63"/>
      <c r="J266" s="113"/>
      <c r="L266" s="59"/>
      <c r="M266" s="60"/>
      <c r="N266" s="60"/>
      <c r="O266" s="60"/>
    </row>
    <row r="267" spans="1:15" ht="15" x14ac:dyDescent="0.2">
      <c r="A267" s="82"/>
      <c r="B267" s="114"/>
      <c r="C267" s="90"/>
      <c r="D267" s="91"/>
      <c r="E267" s="165" t="s">
        <v>257</v>
      </c>
      <c r="F267" s="104">
        <f>(2.7*2)/COS(RADIANS(26.57))</f>
        <v>6.0376443072634647</v>
      </c>
      <c r="G267" s="93" t="s">
        <v>16</v>
      </c>
      <c r="H267" s="115"/>
      <c r="I267" s="63"/>
      <c r="J267" s="113"/>
      <c r="L267" s="59"/>
      <c r="M267" s="60"/>
      <c r="N267" s="60"/>
      <c r="O267" s="60"/>
    </row>
    <row r="268" spans="1:15" ht="15" x14ac:dyDescent="0.2">
      <c r="A268" s="82"/>
      <c r="B268" s="114"/>
      <c r="C268" s="90"/>
      <c r="D268" s="91"/>
      <c r="E268" s="165" t="s">
        <v>258</v>
      </c>
      <c r="F268" s="159">
        <f>0.954*2/COS(RADIANS(26.57))</f>
        <v>2.133300988566424</v>
      </c>
      <c r="G268" s="93" t="s">
        <v>16</v>
      </c>
      <c r="H268" s="115"/>
      <c r="I268" s="63"/>
      <c r="J268" s="113"/>
      <c r="L268" s="59"/>
      <c r="M268" s="60"/>
      <c r="N268" s="60"/>
      <c r="O268" s="60"/>
    </row>
    <row r="269" spans="1:15" ht="15" x14ac:dyDescent="0.2">
      <c r="A269" s="82"/>
      <c r="B269" s="114"/>
      <c r="C269" s="90"/>
      <c r="D269" s="91"/>
      <c r="E269" s="151" t="s">
        <v>147</v>
      </c>
      <c r="F269" s="152">
        <f>SUM(F264:F268)</f>
        <v>14.170945295829888</v>
      </c>
      <c r="G269" s="93" t="s">
        <v>16</v>
      </c>
      <c r="H269" s="115"/>
      <c r="I269" s="63"/>
      <c r="J269" s="113"/>
      <c r="L269" s="59"/>
      <c r="M269" s="60"/>
      <c r="N269" s="60"/>
      <c r="O269" s="60"/>
    </row>
    <row r="270" spans="1:15" x14ac:dyDescent="0.2">
      <c r="A270" s="50"/>
      <c r="B270" s="51"/>
      <c r="C270" s="75"/>
      <c r="D270" s="74"/>
      <c r="E270" s="76"/>
      <c r="F270" s="121"/>
      <c r="G270" s="19"/>
      <c r="H270" s="122"/>
      <c r="I270" s="63"/>
      <c r="J270" s="113"/>
    </row>
    <row r="271" spans="1:15" x14ac:dyDescent="0.2">
      <c r="A271" s="62">
        <f>MAX(A$2:A269)+1</f>
        <v>50</v>
      </c>
      <c r="B271" s="51"/>
      <c r="C271" s="26" t="s">
        <v>259</v>
      </c>
      <c r="D271" s="30"/>
      <c r="E271" s="21" t="s">
        <v>260</v>
      </c>
      <c r="F271" s="21"/>
      <c r="G271" s="22" t="s">
        <v>16</v>
      </c>
      <c r="H271" s="122">
        <f>H272</f>
        <v>13.65</v>
      </c>
      <c r="I271" s="89">
        <v>0</v>
      </c>
      <c r="J271" s="108">
        <f>ROUND(I271,2)*H271</f>
        <v>0</v>
      </c>
    </row>
    <row r="272" spans="1:15" ht="14.25" x14ac:dyDescent="0.2">
      <c r="A272" s="50"/>
      <c r="B272" s="51"/>
      <c r="C272" s="75"/>
      <c r="D272" s="95" t="s">
        <v>261</v>
      </c>
      <c r="E272" s="48" t="s">
        <v>262</v>
      </c>
      <c r="F272" s="48"/>
      <c r="G272" s="96" t="s">
        <v>16</v>
      </c>
      <c r="H272" s="126">
        <f>F273</f>
        <v>13.65</v>
      </c>
      <c r="I272" s="63"/>
      <c r="J272" s="113"/>
      <c r="L272" s="59"/>
      <c r="M272" s="59"/>
      <c r="N272" s="59"/>
      <c r="O272" s="59"/>
    </row>
    <row r="273" spans="1:15" ht="25.5" x14ac:dyDescent="0.2">
      <c r="A273" s="82"/>
      <c r="B273" s="114"/>
      <c r="C273" s="90"/>
      <c r="D273" s="91"/>
      <c r="E273" s="165" t="s">
        <v>263</v>
      </c>
      <c r="F273" s="104">
        <f>5*1.3+5.5*1.3</f>
        <v>13.65</v>
      </c>
      <c r="G273" s="93" t="s">
        <v>16</v>
      </c>
      <c r="H273" s="115"/>
      <c r="I273" s="63"/>
      <c r="J273" s="113"/>
      <c r="L273" s="59"/>
      <c r="M273" s="60"/>
      <c r="N273" s="60"/>
      <c r="O273" s="60"/>
    </row>
    <row r="274" spans="1:15" x14ac:dyDescent="0.2">
      <c r="A274" s="50"/>
      <c r="B274" s="51"/>
      <c r="C274" s="75"/>
      <c r="D274" s="74"/>
      <c r="E274" s="35"/>
      <c r="F274" s="121"/>
      <c r="G274" s="19"/>
      <c r="H274" s="122"/>
      <c r="I274" s="63"/>
      <c r="J274" s="113"/>
    </row>
    <row r="275" spans="1:15" x14ac:dyDescent="0.2">
      <c r="A275" s="50"/>
      <c r="B275" s="29" t="s">
        <v>157</v>
      </c>
      <c r="C275" s="31"/>
      <c r="D275" s="32"/>
      <c r="E275" s="18" t="s">
        <v>158</v>
      </c>
      <c r="F275" s="121"/>
      <c r="G275" s="19"/>
      <c r="H275" s="122"/>
      <c r="I275" s="63"/>
      <c r="J275" s="113"/>
    </row>
    <row r="276" spans="1:15" ht="25.5" x14ac:dyDescent="0.2">
      <c r="A276" s="62">
        <f>MAX(A$2:A274)+1</f>
        <v>51</v>
      </c>
      <c r="B276" s="29"/>
      <c r="C276" s="26" t="s">
        <v>222</v>
      </c>
      <c r="D276" s="30"/>
      <c r="E276" s="21" t="s">
        <v>223</v>
      </c>
      <c r="F276" s="21"/>
      <c r="G276" s="22" t="s">
        <v>37</v>
      </c>
      <c r="H276" s="122">
        <f>H277</f>
        <v>1070.7200000000003</v>
      </c>
      <c r="I276" s="89">
        <v>0</v>
      </c>
      <c r="J276" s="108">
        <f>ROUND(I276,2)*H276</f>
        <v>0</v>
      </c>
    </row>
    <row r="277" spans="1:15" ht="25.5" x14ac:dyDescent="0.2">
      <c r="A277" s="50"/>
      <c r="B277" s="51"/>
      <c r="C277" s="75"/>
      <c r="D277" s="95" t="s">
        <v>224</v>
      </c>
      <c r="E277" s="48" t="s">
        <v>225</v>
      </c>
      <c r="F277" s="48"/>
      <c r="G277" s="96" t="s">
        <v>37</v>
      </c>
      <c r="H277" s="126">
        <f>F278</f>
        <v>1070.7200000000003</v>
      </c>
      <c r="I277" s="63"/>
      <c r="J277" s="113"/>
      <c r="L277" s="59"/>
      <c r="M277" s="59"/>
      <c r="N277" s="59"/>
      <c r="O277" s="59"/>
    </row>
    <row r="278" spans="1:15" ht="15" x14ac:dyDescent="0.2">
      <c r="A278" s="82"/>
      <c r="B278" s="114"/>
      <c r="C278" s="90"/>
      <c r="D278" s="91"/>
      <c r="E278" s="165" t="s">
        <v>211</v>
      </c>
      <c r="F278" s="104">
        <f>16.22*1+16.5*1+16.78*1+17.19*1+(17.72+18.26+18.8+19.33+19.87+20.45+21.19+21.91+22.59+23.22+23.8+24.31+24.27+24.15+23.93+23.59+23.12+22.42+23+23.81+24.45+24.92+25.23+25.61+26.13)*1.5+(23.05+22.55+22.06+22.11+22.05+21.75+21.34)*1</f>
        <v>1070.7200000000003</v>
      </c>
      <c r="G278" s="93" t="s">
        <v>37</v>
      </c>
      <c r="H278" s="115"/>
      <c r="I278" s="63"/>
      <c r="J278" s="113"/>
      <c r="L278" s="59"/>
      <c r="M278" s="60"/>
      <c r="N278" s="60"/>
      <c r="O278" s="60"/>
    </row>
    <row r="279" spans="1:15" x14ac:dyDescent="0.2">
      <c r="A279" s="50"/>
      <c r="B279" s="29"/>
      <c r="C279" s="31"/>
      <c r="D279" s="32"/>
      <c r="E279" s="24"/>
      <c r="F279" s="131"/>
      <c r="G279" s="19"/>
      <c r="H279" s="122"/>
      <c r="I279" s="63"/>
      <c r="J279" s="113"/>
    </row>
    <row r="280" spans="1:15" ht="25.5" x14ac:dyDescent="0.2">
      <c r="A280" s="62">
        <f>MAX(A$2:A278)+1</f>
        <v>52</v>
      </c>
      <c r="B280" s="29"/>
      <c r="C280" s="26" t="s">
        <v>264</v>
      </c>
      <c r="D280" s="30"/>
      <c r="E280" s="21" t="s">
        <v>265</v>
      </c>
      <c r="F280" s="21"/>
      <c r="G280" s="22" t="s">
        <v>86</v>
      </c>
      <c r="H280" s="122">
        <f>H281</f>
        <v>787.67999999999984</v>
      </c>
      <c r="I280" s="89">
        <v>0</v>
      </c>
      <c r="J280" s="108">
        <f>ROUND(I280,2)*H280</f>
        <v>0</v>
      </c>
    </row>
    <row r="281" spans="1:15" ht="25.5" x14ac:dyDescent="0.2">
      <c r="A281" s="50"/>
      <c r="B281" s="51"/>
      <c r="C281" s="75"/>
      <c r="D281" s="95" t="s">
        <v>266</v>
      </c>
      <c r="E281" s="48" t="s">
        <v>267</v>
      </c>
      <c r="F281" s="48"/>
      <c r="G281" s="96" t="s">
        <v>86</v>
      </c>
      <c r="H281" s="126">
        <f>F282</f>
        <v>787.67999999999984</v>
      </c>
      <c r="I281" s="63"/>
      <c r="J281" s="113"/>
      <c r="L281" s="59"/>
      <c r="M281" s="59"/>
      <c r="N281" s="59"/>
      <c r="O281" s="59"/>
    </row>
    <row r="282" spans="1:15" ht="15" x14ac:dyDescent="0.2">
      <c r="A282" s="82"/>
      <c r="B282" s="114"/>
      <c r="C282" s="90"/>
      <c r="D282" s="91"/>
      <c r="E282" s="165" t="s">
        <v>362</v>
      </c>
      <c r="F282" s="104">
        <f>16.22+16.5+16.78+17.19+17.72+18.26+18.8+19.33+19.87+20.45+21.19+21.91+22.59+23.22+23.8+24.31+24.27+24.15+23.93+23.59+23.12+22.42+23+23.81+24.45+24.92+25.23+25.61+26.13+23.05+22.55+22.06+22.11+22.05+21.75+21.34</f>
        <v>787.67999999999984</v>
      </c>
      <c r="G282" s="93" t="s">
        <v>86</v>
      </c>
      <c r="H282" s="115"/>
      <c r="I282" s="63"/>
      <c r="J282" s="113"/>
      <c r="L282" s="59"/>
      <c r="M282" s="60"/>
      <c r="N282" s="60"/>
      <c r="O282" s="60"/>
    </row>
    <row r="283" spans="1:15" x14ac:dyDescent="0.2">
      <c r="A283" s="50"/>
      <c r="B283" s="29"/>
      <c r="C283" s="31"/>
      <c r="D283" s="32"/>
      <c r="E283" s="24"/>
      <c r="F283" s="131"/>
      <c r="G283" s="19"/>
      <c r="H283" s="122"/>
      <c r="I283" s="63"/>
      <c r="J283" s="113"/>
    </row>
    <row r="284" spans="1:15" ht="25.5" x14ac:dyDescent="0.2">
      <c r="A284" s="62">
        <f>MAX(A$2:A281)+1</f>
        <v>53</v>
      </c>
      <c r="B284" s="29"/>
      <c r="C284" s="26" t="s">
        <v>159</v>
      </c>
      <c r="D284" s="30"/>
      <c r="E284" s="21" t="s">
        <v>160</v>
      </c>
      <c r="F284" s="21"/>
      <c r="G284" s="22" t="s">
        <v>16</v>
      </c>
      <c r="H284" s="122">
        <f>H285</f>
        <v>7564.22</v>
      </c>
      <c r="I284" s="89">
        <v>0</v>
      </c>
      <c r="J284" s="108">
        <f>ROUND(I284,2)*H284</f>
        <v>0</v>
      </c>
    </row>
    <row r="285" spans="1:15" ht="25.5" x14ac:dyDescent="0.2">
      <c r="A285" s="50"/>
      <c r="B285" s="51"/>
      <c r="C285" s="75"/>
      <c r="D285" s="95" t="s">
        <v>159</v>
      </c>
      <c r="E285" s="48" t="s">
        <v>160</v>
      </c>
      <c r="F285" s="48"/>
      <c r="G285" s="96" t="s">
        <v>16</v>
      </c>
      <c r="H285" s="126">
        <f>SUM(F286:F287)</f>
        <v>7564.22</v>
      </c>
      <c r="I285" s="63"/>
      <c r="J285" s="113"/>
      <c r="L285" s="59"/>
      <c r="M285" s="59"/>
      <c r="N285" s="59"/>
      <c r="O285" s="59"/>
    </row>
    <row r="286" spans="1:15" ht="15" x14ac:dyDescent="0.2">
      <c r="A286" s="82"/>
      <c r="B286" s="114"/>
      <c r="C286" s="90"/>
      <c r="D286" s="91"/>
      <c r="E286" s="165" t="s">
        <v>226</v>
      </c>
      <c r="F286" s="104">
        <f>(16.22+16.5+16.78+17.19)*7+(17.72+18.26+18.8+19.33+19.87+20.45+21.19+21.91+22.59+23.22+23.8+24.31+24.27+24.15+23.93+23.59+23.12+22.42+23+23.81+24.45+24.92+25.23+25.61+26.13)*8+(23.05+22.55+22.06+22.11+22.05+21.75+21.34)*7+12.22*13.5+21.34*6.5</f>
        <v>6383.52</v>
      </c>
      <c r="G286" s="93" t="s">
        <v>16</v>
      </c>
      <c r="H286" s="115"/>
      <c r="I286" s="63"/>
      <c r="J286" s="113"/>
      <c r="L286" s="59"/>
      <c r="M286" s="60"/>
      <c r="N286" s="60"/>
      <c r="O286" s="60"/>
    </row>
    <row r="287" spans="1:15" ht="15" x14ac:dyDescent="0.2">
      <c r="A287" s="82"/>
      <c r="B287" s="114"/>
      <c r="C287" s="90"/>
      <c r="D287" s="91"/>
      <c r="E287" s="165" t="s">
        <v>202</v>
      </c>
      <c r="F287" s="104">
        <f>1180.7</f>
        <v>1180.7</v>
      </c>
      <c r="G287" s="93" t="s">
        <v>16</v>
      </c>
      <c r="H287" s="115"/>
      <c r="I287" s="63"/>
      <c r="J287" s="113"/>
      <c r="L287" s="59"/>
      <c r="M287" s="60"/>
      <c r="N287" s="60"/>
      <c r="O287" s="60"/>
    </row>
    <row r="288" spans="1:15" x14ac:dyDescent="0.2">
      <c r="A288" s="50"/>
      <c r="B288" s="51"/>
      <c r="C288" s="52"/>
      <c r="D288" s="53"/>
      <c r="E288" s="35"/>
      <c r="F288" s="121"/>
      <c r="G288" s="19"/>
      <c r="H288" s="122"/>
      <c r="I288" s="63"/>
      <c r="J288" s="113"/>
    </row>
    <row r="289" spans="1:15" ht="25.5" x14ac:dyDescent="0.2">
      <c r="A289" s="62">
        <f>MAX(A$2:A287)+1</f>
        <v>54</v>
      </c>
      <c r="B289" s="51"/>
      <c r="C289" s="26" t="s">
        <v>161</v>
      </c>
      <c r="D289" s="132"/>
      <c r="E289" s="21" t="s">
        <v>162</v>
      </c>
      <c r="F289" s="21"/>
      <c r="G289" s="133" t="s">
        <v>16</v>
      </c>
      <c r="H289" s="122">
        <f>H290</f>
        <v>5544.3806815501375</v>
      </c>
      <c r="I289" s="89">
        <v>0</v>
      </c>
      <c r="J289" s="108">
        <f>ROUND(I289,2)*H289</f>
        <v>0</v>
      </c>
    </row>
    <row r="290" spans="1:15" ht="38.25" x14ac:dyDescent="0.2">
      <c r="A290" s="50"/>
      <c r="B290" s="51"/>
      <c r="C290" s="75"/>
      <c r="D290" s="95" t="s">
        <v>183</v>
      </c>
      <c r="E290" s="48" t="s">
        <v>184</v>
      </c>
      <c r="F290" s="48"/>
      <c r="G290" s="96" t="s">
        <v>16</v>
      </c>
      <c r="H290" s="126">
        <f>F291</f>
        <v>5544.3806815501375</v>
      </c>
      <c r="I290" s="63"/>
      <c r="J290" s="113"/>
      <c r="L290" s="59"/>
      <c r="M290" s="59"/>
      <c r="N290" s="59"/>
      <c r="O290" s="59"/>
    </row>
    <row r="291" spans="1:15" ht="15" x14ac:dyDescent="0.2">
      <c r="A291" s="82"/>
      <c r="B291" s="114"/>
      <c r="C291" s="90"/>
      <c r="D291" s="91"/>
      <c r="E291" s="165" t="s">
        <v>304</v>
      </c>
      <c r="F291" s="104">
        <f>794*SQRT(2)+938/COS(RADIANS(33.54))+284.6*SQRT(2)+27/COS(RADIANS(33.54))+106.99/COS(RADIANS(33.54))+((2356/COS(RADIANS(33.69))+2356/COS(RADIANS(26.57)))/2)</f>
        <v>5544.3806815501375</v>
      </c>
      <c r="G291" s="93" t="s">
        <v>16</v>
      </c>
      <c r="H291" s="115"/>
      <c r="I291" s="63"/>
      <c r="J291" s="113"/>
      <c r="L291" s="59"/>
      <c r="M291" s="60"/>
      <c r="N291" s="60"/>
      <c r="O291" s="60"/>
    </row>
    <row r="292" spans="1:15" x14ac:dyDescent="0.2">
      <c r="A292" s="50"/>
      <c r="B292" s="51"/>
      <c r="C292" s="52"/>
      <c r="D292" s="53"/>
      <c r="E292" s="35"/>
      <c r="F292" s="121"/>
      <c r="G292" s="134"/>
      <c r="H292" s="122"/>
      <c r="I292" s="63"/>
      <c r="J292" s="113"/>
    </row>
    <row r="293" spans="1:15" x14ac:dyDescent="0.2">
      <c r="A293" s="50"/>
      <c r="B293" s="29" t="s">
        <v>233</v>
      </c>
      <c r="C293" s="31"/>
      <c r="D293" s="32"/>
      <c r="E293" s="18" t="s">
        <v>234</v>
      </c>
      <c r="F293" s="135"/>
      <c r="G293" s="77"/>
      <c r="H293" s="136"/>
      <c r="I293" s="63"/>
      <c r="J293" s="113"/>
    </row>
    <row r="294" spans="1:15" ht="25.5" x14ac:dyDescent="0.2">
      <c r="A294" s="62">
        <f>MAX(A$2:A292)+1</f>
        <v>55</v>
      </c>
      <c r="B294" s="51"/>
      <c r="C294" s="26">
        <v>11250621</v>
      </c>
      <c r="D294" s="132"/>
      <c r="E294" s="21" t="s">
        <v>235</v>
      </c>
      <c r="F294" s="21"/>
      <c r="G294" s="133" t="s">
        <v>236</v>
      </c>
      <c r="H294" s="122">
        <f>H295</f>
        <v>0.25061</v>
      </c>
      <c r="I294" s="89">
        <v>0</v>
      </c>
      <c r="J294" s="108">
        <f>ROUND(I294,2)*H294</f>
        <v>0</v>
      </c>
    </row>
    <row r="295" spans="1:15" ht="25.5" x14ac:dyDescent="0.2">
      <c r="A295" s="50"/>
      <c r="B295" s="51"/>
      <c r="C295" s="75"/>
      <c r="D295" s="95">
        <v>1125062107</v>
      </c>
      <c r="E295" s="48" t="s">
        <v>237</v>
      </c>
      <c r="F295" s="48"/>
      <c r="G295" s="96" t="s">
        <v>236</v>
      </c>
      <c r="H295" s="126">
        <f>F302</f>
        <v>0.25061</v>
      </c>
      <c r="I295" s="63"/>
      <c r="J295" s="113"/>
      <c r="L295" s="59"/>
      <c r="M295" s="59"/>
      <c r="N295" s="59"/>
      <c r="O295" s="59"/>
    </row>
    <row r="296" spans="1:15" ht="15" x14ac:dyDescent="0.2">
      <c r="A296" s="82"/>
      <c r="B296" s="114"/>
      <c r="C296" s="90"/>
      <c r="D296" s="91"/>
      <c r="E296" s="165" t="s">
        <v>231</v>
      </c>
      <c r="F296" s="104"/>
      <c r="G296" s="93"/>
      <c r="H296" s="115"/>
      <c r="I296" s="63"/>
      <c r="J296" s="113"/>
      <c r="L296" s="59"/>
      <c r="M296" s="60"/>
      <c r="N296" s="60"/>
      <c r="O296" s="60"/>
    </row>
    <row r="297" spans="1:15" ht="15" x14ac:dyDescent="0.2">
      <c r="A297" s="82"/>
      <c r="B297" s="114"/>
      <c r="C297" s="90"/>
      <c r="D297" s="91"/>
      <c r="E297" s="165" t="s">
        <v>243</v>
      </c>
      <c r="F297" s="104">
        <f>69.11/1000</f>
        <v>6.9110000000000005E-2</v>
      </c>
      <c r="G297" s="93"/>
      <c r="H297" s="115"/>
      <c r="I297" s="63"/>
      <c r="J297" s="113"/>
      <c r="L297" s="59"/>
      <c r="M297" s="60"/>
      <c r="N297" s="60"/>
      <c r="O297" s="60"/>
    </row>
    <row r="298" spans="1:15" ht="15" x14ac:dyDescent="0.2">
      <c r="A298" s="82"/>
      <c r="B298" s="114"/>
      <c r="C298" s="90"/>
      <c r="D298" s="91"/>
      <c r="E298" s="165" t="s">
        <v>244</v>
      </c>
      <c r="F298" s="104">
        <f>50.75/1000</f>
        <v>5.0750000000000003E-2</v>
      </c>
      <c r="G298" s="93"/>
      <c r="H298" s="115"/>
      <c r="I298" s="63"/>
      <c r="J298" s="113"/>
      <c r="L298" s="59"/>
      <c r="M298" s="60"/>
      <c r="N298" s="60"/>
      <c r="O298" s="60"/>
    </row>
    <row r="299" spans="1:15" ht="15" x14ac:dyDescent="0.2">
      <c r="A299" s="82"/>
      <c r="B299" s="114"/>
      <c r="C299" s="90"/>
      <c r="D299" s="91"/>
      <c r="E299" s="165" t="s">
        <v>232</v>
      </c>
      <c r="F299" s="104"/>
      <c r="G299" s="93"/>
      <c r="H299" s="115"/>
      <c r="I299" s="63"/>
      <c r="J299" s="113"/>
      <c r="L299" s="59"/>
      <c r="M299" s="60"/>
      <c r="N299" s="60"/>
      <c r="O299" s="60"/>
    </row>
    <row r="300" spans="1:15" ht="15" x14ac:dyDescent="0.2">
      <c r="A300" s="82"/>
      <c r="B300" s="114"/>
      <c r="C300" s="90"/>
      <c r="D300" s="91"/>
      <c r="E300" s="165" t="s">
        <v>251</v>
      </c>
      <c r="F300" s="104">
        <f>73.94/1000</f>
        <v>7.3939999999999992E-2</v>
      </c>
      <c r="G300" s="93"/>
      <c r="H300" s="115"/>
      <c r="I300" s="63"/>
      <c r="J300" s="113"/>
      <c r="L300" s="59"/>
      <c r="M300" s="60"/>
      <c r="N300" s="60"/>
      <c r="O300" s="60"/>
    </row>
    <row r="301" spans="1:15" ht="15" x14ac:dyDescent="0.2">
      <c r="A301" s="82"/>
      <c r="B301" s="114"/>
      <c r="C301" s="90"/>
      <c r="D301" s="91"/>
      <c r="E301" s="165" t="s">
        <v>252</v>
      </c>
      <c r="F301" s="159">
        <f>56.81/1000</f>
        <v>5.6809999999999999E-2</v>
      </c>
      <c r="G301" s="93"/>
      <c r="H301" s="115"/>
      <c r="I301" s="63"/>
      <c r="J301" s="113"/>
      <c r="L301" s="59"/>
      <c r="M301" s="60"/>
      <c r="N301" s="60"/>
      <c r="O301" s="60"/>
    </row>
    <row r="302" spans="1:15" ht="15" x14ac:dyDescent="0.2">
      <c r="A302" s="82"/>
      <c r="B302" s="114"/>
      <c r="C302" s="90"/>
      <c r="D302" s="91"/>
      <c r="E302" s="151" t="s">
        <v>147</v>
      </c>
      <c r="F302" s="152">
        <f>SUM(F297:F301)</f>
        <v>0.25061</v>
      </c>
      <c r="G302" s="93"/>
      <c r="H302" s="115"/>
      <c r="I302" s="63"/>
      <c r="J302" s="113"/>
      <c r="L302" s="59"/>
      <c r="M302" s="60"/>
      <c r="N302" s="60"/>
      <c r="O302" s="60"/>
    </row>
    <row r="303" spans="1:15" x14ac:dyDescent="0.2">
      <c r="A303" s="50"/>
      <c r="B303" s="78"/>
      <c r="C303" s="79"/>
      <c r="D303" s="80"/>
      <c r="E303" s="35"/>
      <c r="F303" s="135"/>
      <c r="G303" s="77"/>
      <c r="H303" s="136"/>
      <c r="I303" s="63"/>
      <c r="J303" s="113"/>
    </row>
    <row r="304" spans="1:15" ht="25.5" x14ac:dyDescent="0.2">
      <c r="A304" s="62">
        <f>MAX(A$2:A302)+1</f>
        <v>56</v>
      </c>
      <c r="B304" s="51"/>
      <c r="C304" s="26" t="s">
        <v>238</v>
      </c>
      <c r="D304" s="132"/>
      <c r="E304" s="21" t="s">
        <v>239</v>
      </c>
      <c r="F304" s="21"/>
      <c r="G304" s="133" t="s">
        <v>236</v>
      </c>
      <c r="H304" s="122">
        <f>H305</f>
        <v>0.30221999999999999</v>
      </c>
      <c r="I304" s="89">
        <v>0</v>
      </c>
      <c r="J304" s="108">
        <f>ROUND(I304,2)*H304</f>
        <v>0</v>
      </c>
    </row>
    <row r="305" spans="1:15" ht="25.5" x14ac:dyDescent="0.2">
      <c r="A305" s="50"/>
      <c r="B305" s="51"/>
      <c r="C305" s="75"/>
      <c r="D305" s="95" t="s">
        <v>240</v>
      </c>
      <c r="E305" s="48" t="s">
        <v>241</v>
      </c>
      <c r="F305" s="48"/>
      <c r="G305" s="96" t="s">
        <v>236</v>
      </c>
      <c r="H305" s="126">
        <f>F312</f>
        <v>0.30221999999999999</v>
      </c>
      <c r="I305" s="63"/>
      <c r="J305" s="113"/>
      <c r="L305" s="59"/>
      <c r="M305" s="59"/>
      <c r="N305" s="59"/>
      <c r="O305" s="59"/>
    </row>
    <row r="306" spans="1:15" ht="15" x14ac:dyDescent="0.2">
      <c r="A306" s="82"/>
      <c r="B306" s="114"/>
      <c r="C306" s="90"/>
      <c r="D306" s="91"/>
      <c r="E306" s="165" t="s">
        <v>245</v>
      </c>
      <c r="F306" s="104"/>
      <c r="G306" s="93"/>
      <c r="H306" s="115"/>
      <c r="I306" s="63"/>
      <c r="J306" s="113"/>
      <c r="L306" s="59"/>
      <c r="M306" s="60"/>
      <c r="N306" s="60"/>
      <c r="O306" s="60"/>
    </row>
    <row r="307" spans="1:15" ht="15" x14ac:dyDescent="0.2">
      <c r="A307" s="82"/>
      <c r="B307" s="114"/>
      <c r="C307" s="90"/>
      <c r="D307" s="91"/>
      <c r="E307" s="165" t="s">
        <v>247</v>
      </c>
      <c r="F307" s="104">
        <f>77.87/1000</f>
        <v>7.7870000000000009E-2</v>
      </c>
      <c r="G307" s="93"/>
      <c r="H307" s="115"/>
      <c r="I307" s="63"/>
      <c r="J307" s="113"/>
      <c r="L307" s="59"/>
      <c r="M307" s="60"/>
      <c r="N307" s="60"/>
      <c r="O307" s="60"/>
    </row>
    <row r="308" spans="1:15" ht="15" x14ac:dyDescent="0.2">
      <c r="A308" s="82"/>
      <c r="B308" s="114"/>
      <c r="C308" s="90"/>
      <c r="D308" s="91"/>
      <c r="E308" s="165" t="s">
        <v>242</v>
      </c>
      <c r="F308" s="104">
        <f>84.09/1000</f>
        <v>8.4089999999999998E-2</v>
      </c>
      <c r="G308" s="93"/>
      <c r="H308" s="115"/>
      <c r="I308" s="63"/>
      <c r="J308" s="113"/>
      <c r="L308" s="59"/>
      <c r="M308" s="60"/>
      <c r="N308" s="60"/>
      <c r="O308" s="60"/>
    </row>
    <row r="309" spans="1:15" ht="15" x14ac:dyDescent="0.2">
      <c r="A309" s="82"/>
      <c r="B309" s="114"/>
      <c r="C309" s="90"/>
      <c r="D309" s="91"/>
      <c r="E309" s="165" t="s">
        <v>246</v>
      </c>
      <c r="F309" s="104"/>
      <c r="G309" s="93"/>
      <c r="H309" s="115"/>
      <c r="I309" s="63"/>
      <c r="J309" s="113"/>
      <c r="L309" s="59"/>
      <c r="M309" s="60"/>
      <c r="N309" s="60"/>
      <c r="O309" s="60"/>
    </row>
    <row r="310" spans="1:15" ht="15" x14ac:dyDescent="0.2">
      <c r="A310" s="82"/>
      <c r="B310" s="114"/>
      <c r="C310" s="90"/>
      <c r="D310" s="91"/>
      <c r="E310" s="165" t="s">
        <v>253</v>
      </c>
      <c r="F310" s="104">
        <f>70.13/1000</f>
        <v>7.0129999999999998E-2</v>
      </c>
      <c r="G310" s="93"/>
      <c r="H310" s="115"/>
      <c r="I310" s="63"/>
      <c r="J310" s="113"/>
      <c r="L310" s="59"/>
      <c r="M310" s="60"/>
      <c r="N310" s="60"/>
      <c r="O310" s="60"/>
    </row>
    <row r="311" spans="1:15" ht="15" x14ac:dyDescent="0.2">
      <c r="A311" s="82"/>
      <c r="B311" s="114"/>
      <c r="C311" s="90"/>
      <c r="D311" s="91"/>
      <c r="E311" s="165" t="s">
        <v>254</v>
      </c>
      <c r="F311" s="159">
        <f>70.13/1000</f>
        <v>7.0129999999999998E-2</v>
      </c>
      <c r="G311" s="93"/>
      <c r="H311" s="115"/>
      <c r="I311" s="63"/>
      <c r="J311" s="113"/>
      <c r="L311" s="59"/>
      <c r="M311" s="60"/>
      <c r="N311" s="60"/>
      <c r="O311" s="60"/>
    </row>
    <row r="312" spans="1:15" ht="15" x14ac:dyDescent="0.2">
      <c r="A312" s="82"/>
      <c r="B312" s="114"/>
      <c r="C312" s="90"/>
      <c r="D312" s="91"/>
      <c r="E312" s="151" t="s">
        <v>147</v>
      </c>
      <c r="F312" s="152">
        <f>SUM(F307:F311)</f>
        <v>0.30221999999999999</v>
      </c>
      <c r="G312" s="93"/>
      <c r="H312" s="115"/>
      <c r="I312" s="63"/>
      <c r="J312" s="113"/>
      <c r="L312" s="59"/>
      <c r="M312" s="60"/>
      <c r="N312" s="60"/>
      <c r="O312" s="60"/>
    </row>
    <row r="313" spans="1:15" x14ac:dyDescent="0.2">
      <c r="A313" s="50"/>
      <c r="B313" s="51"/>
      <c r="C313" s="52"/>
      <c r="D313" s="53"/>
      <c r="E313" s="81"/>
      <c r="F313" s="121"/>
      <c r="G313" s="19"/>
      <c r="H313" s="122"/>
      <c r="I313" s="63"/>
      <c r="J313" s="113"/>
    </row>
    <row r="314" spans="1:15" x14ac:dyDescent="0.2">
      <c r="A314" s="50"/>
      <c r="B314" s="51"/>
      <c r="C314" s="52"/>
      <c r="D314" s="53"/>
      <c r="E314" s="97" t="s">
        <v>343</v>
      </c>
      <c r="F314" s="98"/>
      <c r="G314" s="99"/>
      <c r="H314" s="106"/>
      <c r="I314" s="100"/>
      <c r="J314" s="107">
        <f>SUM(J7:J312)</f>
        <v>0</v>
      </c>
    </row>
    <row r="315" spans="1:15" x14ac:dyDescent="0.2">
      <c r="A315" s="15"/>
      <c r="B315" s="17"/>
      <c r="C315" s="27"/>
      <c r="D315" s="27"/>
      <c r="E315" s="39"/>
      <c r="F315" s="121"/>
      <c r="G315" s="40"/>
      <c r="H315" s="122"/>
      <c r="I315" s="63"/>
      <c r="J315" s="113"/>
    </row>
    <row r="316" spans="1:15" ht="13.5" thickBot="1" x14ac:dyDescent="0.25">
      <c r="A316" s="41"/>
      <c r="B316" s="42"/>
      <c r="C316" s="73"/>
      <c r="D316" s="43"/>
      <c r="E316" s="44"/>
      <c r="F316" s="44"/>
      <c r="G316" s="45"/>
      <c r="H316" s="137"/>
      <c r="I316" s="138"/>
      <c r="J316" s="139"/>
    </row>
  </sheetData>
  <mergeCells count="6">
    <mergeCell ref="J4:J5"/>
    <mergeCell ref="A4:C4"/>
    <mergeCell ref="E4:F5"/>
    <mergeCell ref="G4:G5"/>
    <mergeCell ref="H4:H5"/>
    <mergeCell ref="I4:I5"/>
  </mergeCells>
  <pageMargins left="0.39370078740157483" right="0.19685039370078741" top="0.98425196850393704" bottom="0.98425196850393704" header="0.51181102362204722" footer="0.51181102362204722"/>
  <pageSetup paperSize="9" scale="75" fitToHeight="100" orientation="portrait" r:id="rId1"/>
  <headerFooter alignWithMargins="0">
    <oddFooter>&amp;C&amp;P</oddFooter>
  </headerFooter>
  <rowBreaks count="5" manualBreakCount="5">
    <brk id="56" max="16383" man="1"/>
    <brk id="108" max="16383" man="1"/>
    <brk id="158" max="16383" man="1"/>
    <brk id="199" max="16383" man="1"/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Hárok1</vt:lpstr>
      <vt:lpstr>rozpocet</vt:lpstr>
      <vt:lpstr>rozpocet!Názvy_tlače</vt:lpstr>
      <vt:lpstr>Hárok1!Oblasť_tlače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Bratislava Extern1</dc:creator>
  <cp:lastModifiedBy>Michal Křepela</cp:lastModifiedBy>
  <cp:lastPrinted>2020-08-24T19:04:23Z</cp:lastPrinted>
  <dcterms:created xsi:type="dcterms:W3CDTF">2009-11-10T15:30:15Z</dcterms:created>
  <dcterms:modified xsi:type="dcterms:W3CDTF">2022-06-21T10:35:36Z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-401999916</vt:i4>
  </property>
  <property fmtid="{D5CDD505-2E9C-101B-9397-08002B2CF9AE}" pid="3" name="_NewReviewCycle">
    <vt:lpwstr/>
  </property>
  <property fmtid="{D5CDD505-2E9C-101B-9397-08002B2CF9AE}" pid="4" name="_EmailSubject">
    <vt:lpwstr>Sanácia zosuvu na ceste III/2497, Prestavlky</vt:lpwstr>
  </property>
  <property fmtid="{D5CDD505-2E9C-101B-9397-08002B2CF9AE}" pid="5" name="_AuthorEmail">
    <vt:lpwstr>Michal.Krepela@baslerhofmann.sk</vt:lpwstr>
  </property>
  <property fmtid="{D5CDD505-2E9C-101B-9397-08002B2CF9AE}" pid="6" name="_AuthorEmailDisplayName">
    <vt:lpwstr>Křepela Michal</vt:lpwstr>
  </property>
  <property fmtid="{D5CDD505-2E9C-101B-9397-08002B2CF9AE}" pid="8" name="_PreviousAdHocReviewCycleID">
    <vt:i4>-1632579924</vt:i4>
  </property>
</Properties>
</file>