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480" yWindow="150" windowWidth="27795" windowHeight="12270" tabRatio="727" activeTab="3"/>
  </bookViews>
  <sheets>
    <sheet name="SRS" sheetId="6" r:id="rId1"/>
    <sheet name="Veľkosť vzorky – SRS" sheetId="2" r:id="rId2"/>
    <sheet name="Štandardný MUS" sheetId="7" r:id="rId3"/>
    <sheet name="Veľkosť vzorky – št. MUS" sheetId="5" r:id="rId4"/>
    <sheet name="Hodnoty z" sheetId="4" r:id="rId5"/>
    <sheet name="Konzervatívny MUS" sheetId="8" r:id="rId6"/>
  </sheets>
  <calcPr calcId="145621"/>
</workbook>
</file>

<file path=xl/calcChain.xml><?xml version="1.0" encoding="utf-8"?>
<calcChain xmlns="http://schemas.openxmlformats.org/spreadsheetml/2006/main">
  <c r="K55" i="5" l="1"/>
  <c r="K53" i="5"/>
  <c r="J53" i="5"/>
  <c r="I53" i="5"/>
  <c r="K4" i="2" l="1"/>
  <c r="L4" i="2" s="1"/>
  <c r="K5" i="2"/>
  <c r="L5" i="2" s="1"/>
  <c r="K6" i="2"/>
  <c r="L6" i="2" s="1"/>
  <c r="K7" i="2"/>
  <c r="L7" i="2" s="1"/>
  <c r="K8" i="2"/>
  <c r="K9" i="2"/>
  <c r="L9" i="2" s="1"/>
  <c r="K10" i="2"/>
  <c r="L10" i="2" s="1"/>
  <c r="K11" i="2"/>
  <c r="L11" i="2" s="1"/>
  <c r="K12" i="2"/>
  <c r="L12" i="2" s="1"/>
  <c r="K13" i="2"/>
  <c r="L13" i="2" s="1"/>
  <c r="K14" i="2"/>
  <c r="L14" i="2" s="1"/>
  <c r="K15" i="2"/>
  <c r="L15" i="2" s="1"/>
  <c r="K16" i="2"/>
  <c r="K17" i="2"/>
  <c r="L17" i="2" s="1"/>
  <c r="K18" i="2"/>
  <c r="L18" i="2" s="1"/>
  <c r="K19" i="2"/>
  <c r="L19" i="2" s="1"/>
  <c r="K20" i="2"/>
  <c r="K21" i="2"/>
  <c r="K22" i="2"/>
  <c r="L22" i="2" s="1"/>
  <c r="K23" i="2"/>
  <c r="L23" i="2" s="1"/>
  <c r="K24" i="2"/>
  <c r="K25" i="2"/>
  <c r="L25" i="2" s="1"/>
  <c r="K26" i="2"/>
  <c r="L26" i="2" s="1"/>
  <c r="K27" i="2"/>
  <c r="L27" i="2" s="1"/>
  <c r="K28" i="2"/>
  <c r="K29" i="2"/>
  <c r="K30" i="2"/>
  <c r="L30" i="2" s="1"/>
  <c r="K31" i="2"/>
  <c r="L31" i="2" s="1"/>
  <c r="K32" i="2"/>
  <c r="K33" i="2"/>
  <c r="L33" i="2" s="1"/>
  <c r="K34" i="2"/>
  <c r="L34" i="2" s="1"/>
  <c r="K35" i="2"/>
  <c r="L35" i="2" s="1"/>
  <c r="K36" i="2"/>
  <c r="K37" i="2"/>
  <c r="K38" i="2"/>
  <c r="L38" i="2" s="1"/>
  <c r="K39" i="2"/>
  <c r="L39" i="2" s="1"/>
  <c r="K40" i="2"/>
  <c r="K41" i="2"/>
  <c r="L41" i="2" s="1"/>
  <c r="K42" i="2"/>
  <c r="L42" i="2" s="1"/>
  <c r="K43" i="2"/>
  <c r="L43" i="2" s="1"/>
  <c r="K44" i="2"/>
  <c r="K45" i="2"/>
  <c r="K46" i="2"/>
  <c r="L46" i="2" s="1"/>
  <c r="K47" i="2"/>
  <c r="L47" i="2" s="1"/>
  <c r="K48" i="2"/>
  <c r="L48" i="2" s="1"/>
  <c r="K49" i="2"/>
  <c r="L49" i="2" s="1"/>
  <c r="L8" i="2"/>
  <c r="L16" i="2"/>
  <c r="L20" i="2"/>
  <c r="L21" i="2"/>
  <c r="L24" i="2"/>
  <c r="L28" i="2"/>
  <c r="L29" i="2"/>
  <c r="L32" i="2"/>
  <c r="L36" i="2"/>
  <c r="L37" i="2"/>
  <c r="L40" i="2"/>
  <c r="L44" i="2"/>
  <c r="L45" i="2"/>
  <c r="A50" i="2" l="1"/>
  <c r="G58" i="2" l="1"/>
  <c r="C8" i="6" l="1"/>
  <c r="C15" i="7" l="1"/>
  <c r="C7" i="7" l="1"/>
  <c r="C8" i="7"/>
  <c r="C3" i="7"/>
  <c r="C16" i="7" s="1"/>
  <c r="C9" i="6"/>
  <c r="C5" i="6"/>
  <c r="C3" i="6"/>
  <c r="C9" i="7" l="1"/>
  <c r="C11" i="7"/>
  <c r="C10" i="6"/>
  <c r="C12" i="6"/>
  <c r="K45" i="5" l="1"/>
  <c r="L45" i="5" s="1"/>
  <c r="K46" i="5"/>
  <c r="L46" i="5" s="1"/>
  <c r="K47" i="5"/>
  <c r="K48" i="5"/>
  <c r="L48" i="5" s="1"/>
  <c r="K49" i="5"/>
  <c r="K50" i="5"/>
  <c r="L50" i="5" s="1"/>
  <c r="K51" i="5"/>
  <c r="K52" i="5"/>
  <c r="L52" i="5" s="1"/>
  <c r="L47" i="5"/>
  <c r="L49" i="5"/>
  <c r="L51" i="5"/>
  <c r="K44" i="5"/>
  <c r="L44" i="5" s="1"/>
  <c r="J50" i="2"/>
  <c r="I50" i="2"/>
  <c r="C14" i="6" s="1"/>
  <c r="G57" i="5"/>
  <c r="G58" i="5" s="1"/>
  <c r="K43" i="5"/>
  <c r="L43" i="5" s="1"/>
  <c r="K42" i="5"/>
  <c r="L42" i="5" s="1"/>
  <c r="K41" i="5"/>
  <c r="L41" i="5" s="1"/>
  <c r="K40" i="5"/>
  <c r="L40" i="5" s="1"/>
  <c r="K39" i="5"/>
  <c r="L39" i="5" s="1"/>
  <c r="K37" i="5" l="1"/>
  <c r="G53" i="5"/>
  <c r="K38" i="5"/>
  <c r="L38" i="5" s="1"/>
  <c r="K36" i="5"/>
  <c r="K35" i="5"/>
  <c r="K34" i="5"/>
  <c r="L34" i="5" s="1"/>
  <c r="K33" i="5"/>
  <c r="L33" i="5" s="1"/>
  <c r="K32" i="5"/>
  <c r="K31" i="5"/>
  <c r="L31" i="5" s="1"/>
  <c r="K30" i="5"/>
  <c r="L30" i="5" s="1"/>
  <c r="K29" i="5"/>
  <c r="K28" i="5"/>
  <c r="K27" i="5"/>
  <c r="L27" i="5" s="1"/>
  <c r="K26" i="5"/>
  <c r="K25" i="5"/>
  <c r="K24" i="5"/>
  <c r="L24" i="5" s="1"/>
  <c r="K23" i="5"/>
  <c r="L23" i="5" s="1"/>
  <c r="K22" i="5"/>
  <c r="K21" i="5"/>
  <c r="K20" i="5"/>
  <c r="L20" i="5" s="1"/>
  <c r="K19" i="5"/>
  <c r="L19" i="5" s="1"/>
  <c r="K18" i="5"/>
  <c r="K17" i="5"/>
  <c r="K16" i="5"/>
  <c r="L16" i="5" s="1"/>
  <c r="K15" i="5"/>
  <c r="L15" i="5" s="1"/>
  <c r="K14" i="5"/>
  <c r="L14" i="5" s="1"/>
  <c r="K13" i="5"/>
  <c r="K12" i="5"/>
  <c r="L12" i="5" s="1"/>
  <c r="K11" i="5"/>
  <c r="L11" i="5" s="1"/>
  <c r="K10" i="5"/>
  <c r="K9" i="5"/>
  <c r="K8" i="5"/>
  <c r="L8" i="5" s="1"/>
  <c r="K7" i="5"/>
  <c r="L7" i="5" s="1"/>
  <c r="K6" i="5"/>
  <c r="K5" i="5"/>
  <c r="K4" i="5"/>
  <c r="L4" i="5" s="1"/>
  <c r="K3" i="5"/>
  <c r="L35" i="5" l="1"/>
  <c r="C19" i="7"/>
  <c r="L55" i="5"/>
  <c r="C21" i="7" s="1"/>
  <c r="K54" i="5"/>
  <c r="L3" i="5"/>
  <c r="L6" i="5"/>
  <c r="L53" i="5" s="1"/>
  <c r="C20" i="7" s="1"/>
  <c r="L10" i="5"/>
  <c r="L18" i="5"/>
  <c r="L22" i="5"/>
  <c r="L26" i="5"/>
  <c r="L29" i="5"/>
  <c r="L37" i="5"/>
  <c r="L5" i="5"/>
  <c r="L9" i="5"/>
  <c r="L13" i="5"/>
  <c r="L17" i="5"/>
  <c r="L21" i="5"/>
  <c r="L25" i="5"/>
  <c r="L28" i="5"/>
  <c r="L32" i="5"/>
  <c r="L36" i="5"/>
  <c r="L54" i="5" l="1"/>
  <c r="G50" i="2"/>
  <c r="G55" i="2"/>
  <c r="G56" i="2" s="1"/>
  <c r="N49" i="2" l="1"/>
  <c r="K51" i="2"/>
  <c r="J58" i="2" s="1"/>
  <c r="J60" i="5"/>
  <c r="M60" i="5" s="1"/>
  <c r="C5" i="7"/>
  <c r="C12" i="7" s="1"/>
  <c r="K50" i="2"/>
  <c r="C15" i="6" s="1"/>
  <c r="C27" i="6" s="1"/>
  <c r="K52" i="2"/>
  <c r="C17" i="6" s="1"/>
  <c r="N44" i="2"/>
  <c r="N4" i="2"/>
  <c r="N43" i="2"/>
  <c r="N48" i="2"/>
  <c r="N42" i="2"/>
  <c r="N47" i="2"/>
  <c r="N46" i="2"/>
  <c r="N45" i="2"/>
  <c r="N12" i="2"/>
  <c r="N20" i="2"/>
  <c r="N28" i="2"/>
  <c r="N9" i="2"/>
  <c r="N17" i="2"/>
  <c r="N36" i="2"/>
  <c r="N40" i="2"/>
  <c r="N8" i="2"/>
  <c r="N16" i="2"/>
  <c r="N24" i="2"/>
  <c r="N32" i="2"/>
  <c r="N34" i="2"/>
  <c r="N38" i="2"/>
  <c r="N5" i="2"/>
  <c r="N13" i="2"/>
  <c r="N21" i="2"/>
  <c r="N25" i="2"/>
  <c r="N29" i="2"/>
  <c r="N33" i="2"/>
  <c r="N35" i="2"/>
  <c r="N39" i="2"/>
  <c r="N6" i="2"/>
  <c r="N10" i="2"/>
  <c r="N14" i="2"/>
  <c r="N18" i="2"/>
  <c r="N22" i="2"/>
  <c r="N26" i="2"/>
  <c r="N30" i="2"/>
  <c r="N7" i="2"/>
  <c r="N11" i="2"/>
  <c r="N15" i="2"/>
  <c r="N19" i="2"/>
  <c r="N23" i="2"/>
  <c r="N27" i="2"/>
  <c r="N31" i="2"/>
  <c r="N37" i="2"/>
  <c r="N41" i="2"/>
  <c r="N52" i="2" l="1"/>
  <c r="C29" i="6"/>
  <c r="N18" i="5"/>
  <c r="N37" i="5"/>
  <c r="N51" i="5"/>
  <c r="N24" i="5"/>
  <c r="N8" i="5"/>
  <c r="N42" i="5"/>
  <c r="N6" i="5"/>
  <c r="N25" i="5"/>
  <c r="N47" i="5"/>
  <c r="N31" i="5"/>
  <c r="N15" i="5"/>
  <c r="N49" i="5"/>
  <c r="C13" i="7"/>
  <c r="C17" i="7"/>
  <c r="N30" i="5"/>
  <c r="N52" i="5"/>
  <c r="N21" i="5"/>
  <c r="N32" i="5"/>
  <c r="N16" i="5"/>
  <c r="N50" i="5"/>
  <c r="N22" i="5"/>
  <c r="N40" i="5"/>
  <c r="N13" i="5"/>
  <c r="N39" i="5"/>
  <c r="N23" i="5"/>
  <c r="N7" i="5"/>
  <c r="N41" i="5"/>
  <c r="C6" i="6"/>
  <c r="C13" i="6" s="1"/>
  <c r="C16" i="6" s="1"/>
  <c r="C23" i="6" s="1"/>
  <c r="N38" i="5"/>
  <c r="N10" i="5"/>
  <c r="N29" i="5"/>
  <c r="N36" i="5"/>
  <c r="N20" i="5"/>
  <c r="N4" i="5"/>
  <c r="N34" i="5"/>
  <c r="N48" i="5"/>
  <c r="N17" i="5"/>
  <c r="N43" i="5"/>
  <c r="N27" i="5"/>
  <c r="N11" i="5"/>
  <c r="N45" i="5"/>
  <c r="N26" i="5"/>
  <c r="N44" i="5"/>
  <c r="N9" i="5"/>
  <c r="N28" i="5"/>
  <c r="N12" i="5"/>
  <c r="N46" i="5"/>
  <c r="N14" i="5"/>
  <c r="N33" i="5"/>
  <c r="N5" i="5"/>
  <c r="N35" i="5"/>
  <c r="N19" i="5"/>
  <c r="N3" i="5"/>
  <c r="J61" i="5"/>
  <c r="C18" i="6" l="1"/>
  <c r="C21" i="6" s="1"/>
  <c r="C22" i="6" s="1"/>
  <c r="C25" i="6"/>
  <c r="C22" i="7"/>
  <c r="C18" i="7"/>
  <c r="C23" i="7" s="1"/>
  <c r="C19" i="6"/>
  <c r="C20" i="6" s="1"/>
  <c r="C28" i="6" l="1"/>
  <c r="C30" i="6" s="1"/>
  <c r="C24" i="6"/>
  <c r="C26" i="6" s="1"/>
  <c r="C25" i="7"/>
  <c r="C24" i="7"/>
  <c r="C26" i="7" s="1"/>
</calcChain>
</file>

<file path=xl/sharedStrings.xml><?xml version="1.0" encoding="utf-8"?>
<sst xmlns="http://schemas.openxmlformats.org/spreadsheetml/2006/main" count="169" uniqueCount="169">
  <si>
    <r>
      <rPr>
        <b/>
        <sz val="12"/>
        <color theme="1"/>
        <rFont val="Arial"/>
        <family val="2"/>
      </rPr>
      <t>Jednoduchý náhodný výber vzorky</t>
    </r>
  </si>
  <si>
    <r>
      <rPr>
        <b/>
        <sz val="12"/>
        <color theme="1"/>
        <rFont val="Arial"/>
        <family val="2"/>
      </rPr>
      <t>Charakteristika súboru</t>
    </r>
  </si>
  <si>
    <r>
      <rPr>
        <sz val="12"/>
        <color theme="1"/>
        <rFont val="Arial"/>
        <family val="2"/>
      </rPr>
      <t xml:space="preserve">Výška výdavkov, ktoré sú predmetom náhodných kontrol platobnej agentúry na mieste </t>
    </r>
  </si>
  <si>
    <r>
      <rPr>
        <sz val="12"/>
        <color theme="1"/>
        <rFont val="Arial"/>
        <family val="2"/>
      </rPr>
      <t xml:space="preserve">Jednotka vzorky </t>
    </r>
  </si>
  <si>
    <r>
      <rPr>
        <sz val="12"/>
        <color theme="1"/>
        <rFont val="Arial"/>
        <family val="2"/>
      </rPr>
      <t>Veľkosť súboru (počet jednotiek vzorky)</t>
    </r>
  </si>
  <si>
    <r>
      <rPr>
        <b/>
        <sz val="12"/>
        <color theme="1"/>
        <rFont val="Arial"/>
        <family val="2"/>
      </rPr>
      <t>Stanovenie veľkosti vzorky</t>
    </r>
  </si>
  <si>
    <r>
      <rPr>
        <sz val="12"/>
        <color theme="1"/>
        <rFont val="Arial"/>
        <family val="2"/>
      </rPr>
      <t>Štandardná odchýlka chýb (na stanovenie veľkosti vzorky; môže vyplývať z historických údajov alebo pilotnej vzorky)</t>
    </r>
  </si>
  <si>
    <r>
      <rPr>
        <sz val="12"/>
        <color theme="1"/>
        <rFont val="Arial"/>
        <family val="2"/>
      </rPr>
      <t xml:space="preserve">Stupeň spoľahlivosti </t>
    </r>
  </si>
  <si>
    <r>
      <rPr>
        <sz val="12"/>
        <color theme="1"/>
        <rFont val="Arial"/>
        <family val="2"/>
      </rPr>
      <t>z</t>
    </r>
  </si>
  <si>
    <r>
      <rPr>
        <sz val="12"/>
        <color theme="1"/>
        <rFont val="Arial"/>
        <family val="2"/>
      </rPr>
      <t xml:space="preserve">Očakávaná miera chybovosti </t>
    </r>
  </si>
  <si>
    <r>
      <rPr>
        <sz val="12"/>
        <color theme="1"/>
        <rFont val="Arial"/>
        <family val="2"/>
      </rPr>
      <t>Očakávaná chyba</t>
    </r>
  </si>
  <si>
    <r>
      <rPr>
        <sz val="12"/>
        <color theme="1"/>
        <rFont val="Arial"/>
        <family val="2"/>
      </rPr>
      <t>Úroveň významnosti (max. 2 %)</t>
    </r>
  </si>
  <si>
    <r>
      <rPr>
        <sz val="12"/>
        <color theme="1"/>
        <rFont val="Arial"/>
        <family val="2"/>
      </rPr>
      <t>Prijateľná chybovosť (TE)</t>
    </r>
  </si>
  <si>
    <r>
      <rPr>
        <sz val="12"/>
        <color theme="1"/>
        <rFont val="Arial"/>
        <family val="2"/>
      </rPr>
      <t>Plánovaná veľkosť vzorky (n)</t>
    </r>
  </si>
  <si>
    <r>
      <rPr>
        <b/>
        <sz val="12"/>
        <color theme="1"/>
        <rFont val="Arial"/>
        <family val="2"/>
      </rPr>
      <t>Výsledky vzorky</t>
    </r>
  </si>
  <si>
    <r>
      <rPr>
        <sz val="12"/>
        <color theme="1"/>
        <rFont val="Arial"/>
        <family val="2"/>
      </rPr>
      <t>Celkové auditované výdavky (súčet účtovných hodnôt jednotiek vzorky vo vzorke)</t>
    </r>
  </si>
  <si>
    <r>
      <rPr>
        <sz val="12"/>
        <color theme="1"/>
        <rFont val="Arial"/>
        <family val="2"/>
      </rPr>
      <t>Celková chyba vzorky (súčet chýb vo vzorke)</t>
    </r>
  </si>
  <si>
    <r>
      <rPr>
        <sz val="12"/>
        <color theme="1"/>
        <rFont val="Arial"/>
        <family val="2"/>
      </rPr>
      <t>Priemerná chyba vzorky</t>
    </r>
  </si>
  <si>
    <r>
      <rPr>
        <sz val="12"/>
        <color theme="1"/>
        <rFont val="Arial"/>
        <family val="2"/>
      </rPr>
      <t>Štandardná odchýlka chýb vzorky (výška)</t>
    </r>
  </si>
  <si>
    <r>
      <rPr>
        <sz val="12"/>
        <color theme="1"/>
        <rFont val="Arial"/>
        <family val="2"/>
      </rPr>
      <t>Štandardná odchýlka premennej „q“ vo vzorke</t>
    </r>
  </si>
  <si>
    <r>
      <rPr>
        <b/>
        <sz val="12"/>
        <color theme="1"/>
        <rFont val="Arial"/>
        <family val="2"/>
      </rPr>
      <t>Predpoklad a presnosť</t>
    </r>
  </si>
  <si>
    <r>
      <rPr>
        <sz val="12"/>
        <color theme="1"/>
        <rFont val="Arial"/>
        <family val="2"/>
      </rPr>
      <t>Presnosť odhadu priemeru na jednotku</t>
    </r>
  </si>
  <si>
    <r>
      <rPr>
        <sz val="12"/>
        <color theme="1"/>
        <rFont val="Arial"/>
        <family val="2"/>
      </rPr>
      <t>Relatívna presnosť (v %)</t>
    </r>
  </si>
  <si>
    <r>
      <rPr>
        <sz val="12"/>
        <color theme="1"/>
        <rFont val="Arial"/>
        <family val="2"/>
      </rPr>
      <t>Presnosť odhadu pomeru</t>
    </r>
  </si>
  <si>
    <r>
      <rPr>
        <sz val="12"/>
        <color theme="1"/>
        <rFont val="Arial"/>
        <family val="2"/>
      </rPr>
      <t>Relatívna presnosť (v %)</t>
    </r>
  </si>
  <si>
    <r>
      <rPr>
        <sz val="12"/>
        <color theme="1"/>
        <rFont val="Arial"/>
        <family val="2"/>
      </rPr>
      <t>Predpokladaná chybovosť (odhad priemeru na jednotku)</t>
    </r>
  </si>
  <si>
    <r>
      <rPr>
        <b/>
        <sz val="12"/>
        <color theme="1"/>
        <rFont val="Arial"/>
        <family val="2"/>
      </rPr>
      <t>Horná hranica chybovosti (odhad priemeru na jednotku)</t>
    </r>
  </si>
  <si>
    <r>
      <rPr>
        <sz val="12"/>
        <color theme="1"/>
        <rFont val="Arial"/>
        <family val="2"/>
      </rPr>
      <t>Predpokladaná miera chybovosti (odhad priemeru na jednotku)</t>
    </r>
  </si>
  <si>
    <r>
      <rPr>
        <b/>
        <sz val="12"/>
        <color theme="1"/>
        <rFont val="Arial"/>
        <family val="2"/>
      </rPr>
      <t>Horná hranica predpokladanej miery chybovosti (odhad priemeru na jednotku)</t>
    </r>
  </si>
  <si>
    <r>
      <rPr>
        <sz val="12"/>
        <color theme="1"/>
        <rFont val="Arial"/>
        <family val="2"/>
      </rPr>
      <t>Predpokladaná chybovosť (odhad pomeru)</t>
    </r>
  </si>
  <si>
    <r>
      <rPr>
        <b/>
        <sz val="12"/>
        <color theme="1"/>
        <rFont val="Arial"/>
        <family val="2"/>
      </rPr>
      <t>Horná hranica chybovosti (odhad pomeru)</t>
    </r>
  </si>
  <si>
    <r>
      <rPr>
        <sz val="12"/>
        <color theme="1"/>
        <rFont val="Arial"/>
        <family val="2"/>
      </rPr>
      <t>Predpokladaná miera chybovosti (odhad pomeru)</t>
    </r>
  </si>
  <si>
    <r>
      <rPr>
        <b/>
        <sz val="12"/>
        <color theme="1"/>
        <rFont val="Arial"/>
        <family val="2"/>
      </rPr>
      <t>Horná hranica predpokladanej miery chybovosti (odhad pomeru)</t>
    </r>
  </si>
  <si>
    <r>
      <rPr>
        <b/>
        <sz val="10"/>
        <rFont val="Arial"/>
        <family val="2"/>
      </rPr>
      <t>Zistenia</t>
    </r>
  </si>
  <si>
    <r>
      <rPr>
        <b/>
        <sz val="10"/>
        <color theme="1"/>
        <rFont val="Arial"/>
        <family val="2"/>
      </rPr>
      <t>Vecné chyby vo vzorke</t>
    </r>
  </si>
  <si>
    <r>
      <rPr>
        <b/>
        <sz val="10"/>
        <rFont val="Arial"/>
        <family val="2"/>
      </rPr>
      <t>Č. vzorky</t>
    </r>
  </si>
  <si>
    <r>
      <rPr>
        <b/>
        <sz val="10"/>
        <rFont val="Arial"/>
        <family val="2"/>
      </rPr>
      <t>Áno/Nie</t>
    </r>
  </si>
  <si>
    <r>
      <rPr>
        <b/>
        <sz val="10"/>
        <rFont val="Arial"/>
        <family val="2"/>
      </rPr>
      <t>Kontroly na mieste – chyby</t>
    </r>
  </si>
  <si>
    <r>
      <rPr>
        <b/>
        <sz val="10"/>
        <rFont val="Arial"/>
        <family val="2"/>
      </rPr>
      <t>Formálne chyby</t>
    </r>
  </si>
  <si>
    <r>
      <rPr>
        <b/>
        <sz val="10"/>
        <rFont val="Arial"/>
        <family val="2"/>
      </rPr>
      <t>Vec. chyby</t>
    </r>
  </si>
  <si>
    <r>
      <rPr>
        <b/>
        <sz val="10"/>
        <rFont val="Arial"/>
        <family val="2"/>
      </rPr>
      <t>Bez stanoviska</t>
    </r>
  </si>
  <si>
    <r>
      <rPr>
        <b/>
        <sz val="10"/>
        <rFont val="Arial"/>
        <family val="2"/>
      </rPr>
      <t>Známe chyby</t>
    </r>
  </si>
  <si>
    <r>
      <rPr>
        <b/>
        <sz val="10"/>
        <rFont val="Arial"/>
        <family val="2"/>
      </rPr>
      <t>Pozorov. spolu</t>
    </r>
  </si>
  <si>
    <r>
      <rPr>
        <b/>
        <sz val="10"/>
        <rFont val="Arial"/>
        <family val="2"/>
      </rPr>
      <t>Účtovná hodnota v EUR*</t>
    </r>
  </si>
  <si>
    <r>
      <rPr>
        <b/>
        <sz val="10"/>
        <rFont val="Arial"/>
        <family val="2"/>
      </rPr>
      <t>Auditovaná hodnota v EUR*</t>
    </r>
  </si>
  <si>
    <r>
      <rPr>
        <b/>
        <sz val="10"/>
        <rFont val="Arial"/>
        <family val="2"/>
      </rPr>
      <t>Výška chyby v EUR</t>
    </r>
  </si>
  <si>
    <r>
      <rPr>
        <b/>
        <sz val="10"/>
        <rFont val="Arial"/>
        <family val="2"/>
      </rPr>
      <t>Miera chybovosti</t>
    </r>
  </si>
  <si>
    <r>
      <rPr>
        <b/>
        <sz val="10"/>
        <rFont val="Arial"/>
        <family val="2"/>
      </rPr>
      <t>Známa chyba</t>
    </r>
  </si>
  <si>
    <r>
      <rPr>
        <b/>
        <sz val="10"/>
        <rFont val="Arial"/>
        <family val="2"/>
      </rPr>
      <t>q</t>
    </r>
  </si>
  <si>
    <r>
      <rPr>
        <b/>
        <sz val="10"/>
        <rFont val="Arial"/>
        <family val="2"/>
      </rPr>
      <t>`</t>
    </r>
  </si>
  <si>
    <r>
      <rPr>
        <sz val="10"/>
        <rFont val="Arial"/>
        <family val="2"/>
      </rPr>
      <t>Štandardná odchýlka</t>
    </r>
  </si>
  <si>
    <r>
      <rPr>
        <sz val="10"/>
        <rFont val="Arial"/>
        <family val="2"/>
      </rPr>
      <t>Celková štandardná odchýlka</t>
    </r>
  </si>
  <si>
    <r>
      <rPr>
        <sz val="10"/>
        <rFont val="Arial"/>
        <family val="2"/>
      </rPr>
      <t xml:space="preserve">Výška výdavkov, ktoré sú predmetom náhodných kontrol platobnej agentúry na mieste </t>
    </r>
  </si>
  <si>
    <r>
      <rPr>
        <sz val="10"/>
        <rFont val="Arial"/>
        <family val="2"/>
      </rPr>
      <t>Významnosť (TE)</t>
    </r>
  </si>
  <si>
    <r>
      <rPr>
        <sz val="10"/>
        <rFont val="Arial"/>
        <family val="2"/>
      </rPr>
      <t>Odhadovaná chyba vo výške 10 % (AE)</t>
    </r>
  </si>
  <si>
    <r>
      <rPr>
        <sz val="10"/>
        <rFont val="Arial"/>
        <family val="2"/>
      </rPr>
      <t>Počet transakcií</t>
    </r>
  </si>
  <si>
    <r>
      <rPr>
        <b/>
        <sz val="10"/>
        <rFont val="Arial"/>
        <family val="2"/>
      </rPr>
      <t>Veľkosť vzorky</t>
    </r>
  </si>
  <si>
    <r>
      <rPr>
        <sz val="10"/>
        <rFont val="Arial"/>
        <family val="2"/>
      </rPr>
      <t>Hodnota z pri 85 % spoľahlivosti</t>
    </r>
  </si>
  <si>
    <r>
      <rPr>
        <b/>
        <sz val="10"/>
        <rFont val="Arial"/>
        <family val="2"/>
      </rPr>
      <t>n =</t>
    </r>
  </si>
  <si>
    <t>Errors</t>
  </si>
  <si>
    <t>Opinion</t>
  </si>
  <si>
    <t>Errors</t>
  </si>
  <si>
    <t>Obs</t>
  </si>
  <si>
    <t>Value € *</t>
  </si>
  <si>
    <t>Value €</t>
  </si>
  <si>
    <t>Amount €</t>
  </si>
  <si>
    <t>Error</t>
  </si>
  <si>
    <t>Error</t>
  </si>
  <si>
    <t>q</t>
  </si>
  <si>
    <r>
      <rPr>
        <sz val="12"/>
        <color theme="1"/>
        <rFont val="Arial"/>
        <family val="2"/>
      </rPr>
      <t>Štandardný prístup MUS</t>
    </r>
  </si>
  <si>
    <r>
      <rPr>
        <b/>
        <sz val="12"/>
        <color theme="1"/>
        <rFont val="Arial"/>
        <family val="2"/>
      </rPr>
      <t>Charakteristika súboru</t>
    </r>
  </si>
  <si>
    <r>
      <rPr>
        <sz val="12"/>
        <color theme="1"/>
        <rFont val="Arial"/>
        <family val="2"/>
      </rPr>
      <t xml:space="preserve">Výška výdavkov, ktoré sú predmetom náhodných kontrol platobnej agentúry na mieste </t>
    </r>
  </si>
  <si>
    <r>
      <rPr>
        <sz val="12"/>
        <color theme="1"/>
        <rFont val="Arial"/>
        <family val="2"/>
      </rPr>
      <t xml:space="preserve">Jednotka vzorky </t>
    </r>
  </si>
  <si>
    <r>
      <rPr>
        <sz val="12"/>
        <color theme="1"/>
        <rFont val="Arial"/>
        <family val="2"/>
      </rPr>
      <t>Štandardná odchýlka mier chybovosti (na stanovenie veľkosti vzorky; môže vyplývať z historických údajov alebo pilotnej vzorky)</t>
    </r>
  </si>
  <si>
    <r>
      <rPr>
        <b/>
        <sz val="12"/>
        <color theme="1"/>
        <rFont val="Arial"/>
        <family val="2"/>
      </rPr>
      <t>Stanovenie veľkosti vzorky</t>
    </r>
  </si>
  <si>
    <r>
      <rPr>
        <sz val="12"/>
        <color theme="1"/>
        <rFont val="Arial"/>
        <family val="2"/>
      </rPr>
      <t xml:space="preserve">Stupeň spoľahlivosti </t>
    </r>
  </si>
  <si>
    <r>
      <rPr>
        <sz val="12"/>
        <color theme="1"/>
        <rFont val="Arial"/>
        <family val="2"/>
      </rPr>
      <t>z</t>
    </r>
  </si>
  <si>
    <r>
      <rPr>
        <sz val="12"/>
        <color theme="1"/>
        <rFont val="Arial"/>
        <family val="2"/>
      </rPr>
      <t xml:space="preserve">Očakávaná miera chybovosti </t>
    </r>
  </si>
  <si>
    <r>
      <rPr>
        <sz val="12"/>
        <color theme="1"/>
        <rFont val="Arial"/>
        <family val="2"/>
      </rPr>
      <t>Očakávaná chyba</t>
    </r>
  </si>
  <si>
    <r>
      <rPr>
        <sz val="12"/>
        <color theme="1"/>
        <rFont val="Arial"/>
        <family val="2"/>
      </rPr>
      <t>Úroveň významnosti (max. 2 %; stanovuje sa v nariadení)</t>
    </r>
  </si>
  <si>
    <r>
      <rPr>
        <sz val="12"/>
        <color theme="1"/>
        <rFont val="Arial"/>
        <family val="2"/>
      </rPr>
      <t>Prijateľná chybovosť (TE)</t>
    </r>
  </si>
  <si>
    <r>
      <rPr>
        <sz val="12"/>
        <color theme="1"/>
        <rFont val="Arial"/>
        <family val="2"/>
      </rPr>
      <t>Plánovaná veľkosť vzorky (n)</t>
    </r>
  </si>
  <si>
    <r>
      <rPr>
        <sz val="12"/>
        <color theme="1"/>
        <rFont val="Arial"/>
        <family val="2"/>
      </rPr>
      <t>Hraničná hodnota</t>
    </r>
  </si>
  <si>
    <r>
      <rPr>
        <sz val="12"/>
        <color theme="1"/>
        <rFont val="Arial"/>
        <family val="2"/>
      </rPr>
      <t>Počet operácií s účtovnou hodnotou vyššou ako hraničná hodnota (hlavné položky)</t>
    </r>
  </si>
  <si>
    <r>
      <rPr>
        <sz val="12"/>
        <color theme="1"/>
        <rFont val="Arial"/>
        <family val="2"/>
      </rPr>
      <t>Účtovná hodnota operácií s účtovnou hodnotou vyššou ako hraničná hodnota</t>
    </r>
  </si>
  <si>
    <r>
      <rPr>
        <sz val="12"/>
        <color theme="1"/>
        <rFont val="Arial"/>
        <family val="2"/>
      </rPr>
      <t>Účtovná hodnota zvyšného súboru (BV_s)</t>
    </r>
  </si>
  <si>
    <r>
      <rPr>
        <sz val="12"/>
        <color theme="1"/>
        <rFont val="Arial"/>
        <family val="2"/>
      </rPr>
      <t xml:space="preserve">Počet zvyšných operácií na výber </t>
    </r>
  </si>
  <si>
    <r>
      <rPr>
        <sz val="12"/>
        <color theme="1"/>
        <rFont val="Arial"/>
        <family val="2"/>
      </rPr>
      <t>Interval výberu vzorky</t>
    </r>
  </si>
  <si>
    <r>
      <rPr>
        <b/>
        <sz val="12"/>
        <color theme="1"/>
        <rFont val="Arial"/>
        <family val="2"/>
      </rPr>
      <t>Výsledky vzorky</t>
    </r>
  </si>
  <si>
    <r>
      <rPr>
        <sz val="12"/>
        <color theme="1"/>
        <rFont val="Arial"/>
        <family val="2"/>
      </rPr>
      <t>Súčet chýb v operáciách s účtovnou hodnotou vyššou ako hraničná hodnota</t>
    </r>
  </si>
  <si>
    <r>
      <rPr>
        <sz val="12"/>
        <color theme="1"/>
        <rFont val="Arial"/>
        <family val="2"/>
      </rPr>
      <t>Súčet mier chybovosti vzoriek</t>
    </r>
  </si>
  <si>
    <r>
      <rPr>
        <sz val="12"/>
        <color theme="1"/>
        <rFont val="Arial"/>
        <family val="2"/>
      </rPr>
      <t>Štandardná odchýlka mier chybovosti operácií s účtovnou hodnotou nižšou ako hraničná hodnota</t>
    </r>
  </si>
  <si>
    <r>
      <rPr>
        <b/>
        <sz val="12"/>
        <color theme="1"/>
        <rFont val="Arial"/>
        <family val="2"/>
      </rPr>
      <t>Predpoklad a presnosť</t>
    </r>
  </si>
  <si>
    <r>
      <rPr>
        <sz val="12"/>
        <color theme="1"/>
        <rFont val="Arial"/>
        <family val="2"/>
      </rPr>
      <t>Presnosť</t>
    </r>
  </si>
  <si>
    <r>
      <rPr>
        <sz val="12"/>
        <color theme="1"/>
        <rFont val="Arial"/>
        <family val="2"/>
      </rPr>
      <t>Predpokladaná chybovosť</t>
    </r>
  </si>
  <si>
    <r>
      <rPr>
        <b/>
        <sz val="12"/>
        <color theme="1"/>
        <rFont val="Arial"/>
        <family val="2"/>
      </rPr>
      <t>Horná hranica chybovosti</t>
    </r>
  </si>
  <si>
    <r>
      <rPr>
        <sz val="12"/>
        <color theme="1"/>
        <rFont val="Arial"/>
        <family val="2"/>
      </rPr>
      <t>Predpokladaná miera chybovosti (%)</t>
    </r>
  </si>
  <si>
    <r>
      <rPr>
        <b/>
        <sz val="12"/>
        <color theme="1"/>
        <rFont val="Arial"/>
        <family val="2"/>
      </rPr>
      <t>Horná hranica predpokladanej miery chybovosti (%)</t>
    </r>
  </si>
  <si>
    <r>
      <rPr>
        <b/>
        <sz val="10"/>
        <rFont val="Arial"/>
        <family val="2"/>
      </rPr>
      <t>Č. vzorky</t>
    </r>
  </si>
  <si>
    <r>
      <rPr>
        <b/>
        <sz val="10"/>
        <rFont val="Arial"/>
        <family val="2"/>
      </rPr>
      <t>Áno/Nie</t>
    </r>
  </si>
  <si>
    <r>
      <rPr>
        <b/>
        <sz val="10"/>
        <rFont val="Arial"/>
        <family val="2"/>
      </rPr>
      <t>Kontroly na mieste – chyby</t>
    </r>
  </si>
  <si>
    <r>
      <rPr>
        <b/>
        <sz val="10"/>
        <rFont val="Arial"/>
        <family val="2"/>
      </rPr>
      <t>Formálne chyby</t>
    </r>
  </si>
  <si>
    <r>
      <rPr>
        <b/>
        <sz val="10"/>
        <rFont val="Arial"/>
        <family val="2"/>
      </rPr>
      <t>Vec. chyby</t>
    </r>
  </si>
  <si>
    <r>
      <rPr>
        <b/>
        <sz val="10"/>
        <rFont val="Arial"/>
        <family val="2"/>
      </rPr>
      <t>Bez stanoviska</t>
    </r>
  </si>
  <si>
    <r>
      <rPr>
        <b/>
        <sz val="10"/>
        <rFont val="Arial"/>
        <family val="2"/>
      </rPr>
      <t>Známe chyby</t>
    </r>
  </si>
  <si>
    <r>
      <rPr>
        <b/>
        <sz val="10"/>
        <rFont val="Arial"/>
        <family val="2"/>
      </rPr>
      <t>Pozorov. spolu</t>
    </r>
  </si>
  <si>
    <r>
      <rPr>
        <b/>
        <sz val="10"/>
        <rFont val="Arial"/>
        <family val="2"/>
      </rPr>
      <t>Účtovná hodnota v EUR*</t>
    </r>
  </si>
  <si>
    <r>
      <rPr>
        <b/>
        <sz val="10"/>
        <rFont val="Arial"/>
        <family val="2"/>
      </rPr>
      <t>Auditovaná hodnota v EUR*</t>
    </r>
  </si>
  <si>
    <r>
      <rPr>
        <b/>
        <sz val="10"/>
        <rFont val="Arial"/>
        <family val="2"/>
      </rPr>
      <t>Výška chyby v EUR</t>
    </r>
  </si>
  <si>
    <r>
      <rPr>
        <b/>
        <sz val="10"/>
        <rFont val="Arial"/>
        <family val="2"/>
      </rPr>
      <t>Miera chybovosti</t>
    </r>
  </si>
  <si>
    <r>
      <rPr>
        <b/>
        <sz val="10"/>
        <rFont val="Arial"/>
        <family val="2"/>
      </rPr>
      <t>Známa chyba</t>
    </r>
  </si>
  <si>
    <r>
      <rPr>
        <b/>
        <sz val="10"/>
        <rFont val="Arial"/>
        <family val="2"/>
      </rPr>
      <t>Hlavné položky</t>
    </r>
  </si>
  <si>
    <r>
      <rPr>
        <b/>
        <sz val="10"/>
        <rFont val="Arial"/>
        <family val="2"/>
      </rPr>
      <t>`</t>
    </r>
  </si>
  <si>
    <r>
      <rPr>
        <sz val="10"/>
        <rFont val="Arial"/>
        <family val="2"/>
      </rPr>
      <t>Štandardná odchýlka</t>
    </r>
  </si>
  <si>
    <r>
      <rPr>
        <sz val="10"/>
        <rFont val="Arial"/>
        <family val="2"/>
      </rPr>
      <t>Celková štandardná odchýlka</t>
    </r>
  </si>
  <si>
    <r>
      <rPr>
        <sz val="10"/>
        <rFont val="Arial"/>
        <family val="2"/>
      </rPr>
      <t xml:space="preserve">Výška výdavkov, ktoré sú predmetom náhodných kontrol platobnej agentúry na mieste </t>
    </r>
  </si>
  <si>
    <r>
      <rPr>
        <sz val="10"/>
        <rFont val="Arial"/>
        <family val="2"/>
      </rPr>
      <t>Významnosť (TE)</t>
    </r>
  </si>
  <si>
    <r>
      <rPr>
        <sz val="10"/>
        <rFont val="Arial"/>
        <family val="2"/>
      </rPr>
      <t>Počet transakcií</t>
    </r>
  </si>
  <si>
    <r>
      <rPr>
        <sz val="10"/>
        <rFont val="Arial"/>
        <family val="2"/>
      </rPr>
      <t>Veľkosť vzorky</t>
    </r>
  </si>
  <si>
    <r>
      <rPr>
        <sz val="10"/>
        <rFont val="Arial"/>
        <family val="2"/>
      </rPr>
      <t>Hlavné položky</t>
    </r>
  </si>
  <si>
    <r>
      <rPr>
        <sz val="10"/>
        <rFont val="Arial"/>
        <family val="2"/>
      </rPr>
      <t>Hodnota z pri 85 % spoľahlivosti</t>
    </r>
  </si>
  <si>
    <r>
      <rPr>
        <sz val="10"/>
        <rFont val="Arial"/>
        <family val="2"/>
      </rPr>
      <t>n =</t>
    </r>
  </si>
  <si>
    <r>
      <rPr>
        <sz val="10"/>
        <rFont val="Arial"/>
        <family val="2"/>
      </rPr>
      <t>Interval výberu vzorky</t>
    </r>
  </si>
  <si>
    <r>
      <rPr>
        <sz val="10"/>
        <rFont val="Arial"/>
        <family val="2"/>
      </rPr>
      <t>Veľkosť vzorky bez hlavných položiek</t>
    </r>
  </si>
  <si>
    <t>Nº</t>
  </si>
  <si>
    <t>Yes / No</t>
  </si>
  <si>
    <t>Errors</t>
  </si>
  <si>
    <t>Errors</t>
  </si>
  <si>
    <t>Errors</t>
  </si>
  <si>
    <t>Opinion</t>
  </si>
  <si>
    <t>Errors</t>
  </si>
  <si>
    <t>Obs</t>
  </si>
  <si>
    <t>Value € *</t>
  </si>
  <si>
    <t>Value €</t>
  </si>
  <si>
    <t>Amount €</t>
  </si>
  <si>
    <t>Error</t>
  </si>
  <si>
    <t>Error</t>
  </si>
  <si>
    <t>Key items</t>
  </si>
  <si>
    <r>
      <rPr>
        <b/>
        <sz val="11"/>
        <rFont val="Arial"/>
        <family val="2"/>
      </rPr>
      <t>Stupeň spoľahlivosti</t>
    </r>
  </si>
  <si>
    <r>
      <rPr>
        <b/>
        <sz val="11"/>
        <rFont val="Arial"/>
        <family val="2"/>
      </rPr>
      <t>z</t>
    </r>
  </si>
  <si>
    <r>
      <rPr>
        <b/>
        <sz val="10"/>
        <rFont val="Arial"/>
        <family val="2"/>
      </rPr>
      <t>MUS – konzervatívny prístup</t>
    </r>
  </si>
  <si>
    <r>
      <rPr>
        <sz val="10"/>
        <rFont val="Arial"/>
        <family val="2"/>
      </rPr>
      <t xml:space="preserve">'– stanoví sa prijateľná nesprávnosť – „TM“ </t>
    </r>
  </si>
  <si>
    <r>
      <rPr>
        <sz val="10"/>
        <rFont val="Arial"/>
        <family val="2"/>
      </rPr>
      <t>– vykoná sa odhad predpokladanej nesprávnosti – „AM“ a koeficientu rozšírenia – „EF“</t>
    </r>
  </si>
  <si>
    <r>
      <rPr>
        <sz val="10"/>
        <rFont val="Arial"/>
        <family val="2"/>
      </rPr>
      <t xml:space="preserve">– určí sa úroveň prípustnosti rizika prijatia nesprávnych údajov/faktor spoľahlivosti – „RF“ </t>
    </r>
  </si>
  <si>
    <r>
      <rPr>
        <sz val="10"/>
        <rFont val="Arial"/>
        <family val="2"/>
      </rPr>
      <t>– vykoná sa odhad veľkosti súboru po odstránení položiek, ktoré sa majú preskúmať na úrovni 100 % (t. j. položiek s hodnotou vyššou ako interval alebo položiek podľa podmienok uvedených ako „atypické“ operácie)</t>
    </r>
  </si>
  <si>
    <r>
      <rPr>
        <sz val="10"/>
        <rFont val="Arial"/>
        <family val="2"/>
      </rPr>
      <t>– stanoví sa vhodná veľkosť vzorky – „n“</t>
    </r>
  </si>
  <si>
    <r>
      <rPr>
        <sz val="10"/>
        <rFont val="Arial"/>
        <family val="2"/>
      </rPr>
      <t>Stupeň spoľahlivosti</t>
    </r>
  </si>
  <si>
    <r>
      <rPr>
        <sz val="10"/>
        <rFont val="Arial"/>
        <family val="2"/>
      </rPr>
      <t>Faktor spoľahlivosti (RF)</t>
    </r>
  </si>
  <si>
    <r>
      <rPr>
        <sz val="10"/>
        <rFont val="Arial"/>
        <family val="2"/>
      </rPr>
      <t>4,61</t>
    </r>
  </si>
  <si>
    <r>
      <rPr>
        <sz val="10"/>
        <rFont val="Arial"/>
        <family val="2"/>
      </rPr>
      <t>3,00</t>
    </r>
  </si>
  <si>
    <r>
      <rPr>
        <sz val="10"/>
        <rFont val="Arial"/>
        <family val="2"/>
      </rPr>
      <t>2,31</t>
    </r>
  </si>
  <si>
    <r>
      <rPr>
        <sz val="10"/>
        <rFont val="Arial"/>
        <family val="2"/>
      </rPr>
      <t>1,90</t>
    </r>
  </si>
  <si>
    <r>
      <rPr>
        <sz val="10"/>
        <rFont val="Arial"/>
        <family val="2"/>
      </rPr>
      <t>1,61</t>
    </r>
  </si>
  <si>
    <r>
      <rPr>
        <sz val="10"/>
        <rFont val="Arial"/>
        <family val="2"/>
      </rPr>
      <t>1,39</t>
    </r>
  </si>
  <si>
    <r>
      <rPr>
        <sz val="10"/>
        <rFont val="Arial"/>
        <family val="2"/>
      </rPr>
      <t>1,21</t>
    </r>
  </si>
  <si>
    <r>
      <rPr>
        <sz val="10"/>
        <rFont val="Arial"/>
        <family val="2"/>
      </rPr>
      <t>0,92</t>
    </r>
  </si>
  <si>
    <r>
      <rPr>
        <sz val="10"/>
        <rFont val="Arial"/>
        <family val="2"/>
      </rPr>
      <t>0,70</t>
    </r>
  </si>
  <si>
    <r>
      <rPr>
        <sz val="10"/>
        <rFont val="Arial"/>
        <family val="2"/>
      </rPr>
      <t>Stupeň spoľahlivosti</t>
    </r>
  </si>
  <si>
    <r>
      <rPr>
        <sz val="10"/>
        <rFont val="Arial"/>
        <family val="2"/>
      </rPr>
      <t>Koeficient rozšírenia (EF)</t>
    </r>
  </si>
  <si>
    <r>
      <rPr>
        <sz val="10"/>
        <rFont val="Arial"/>
        <family val="2"/>
      </rPr>
      <t>1,9</t>
    </r>
  </si>
  <si>
    <r>
      <rPr>
        <sz val="10"/>
        <rFont val="Arial"/>
        <family val="2"/>
      </rPr>
      <t>1,6</t>
    </r>
  </si>
  <si>
    <r>
      <rPr>
        <sz val="10"/>
        <rFont val="Arial"/>
        <family val="2"/>
      </rPr>
      <t>1,5</t>
    </r>
  </si>
  <si>
    <r>
      <rPr>
        <sz val="10"/>
        <rFont val="Arial"/>
        <family val="2"/>
      </rPr>
      <t>1,4</t>
    </r>
  </si>
  <si>
    <r>
      <rPr>
        <sz val="10"/>
        <rFont val="Arial"/>
        <family val="2"/>
      </rPr>
      <t>1,3</t>
    </r>
  </si>
  <si>
    <r>
      <rPr>
        <sz val="10"/>
        <rFont val="Arial"/>
        <family val="2"/>
      </rPr>
      <t>1,25</t>
    </r>
  </si>
  <si>
    <r>
      <rPr>
        <sz val="10"/>
        <rFont val="Arial"/>
        <family val="2"/>
      </rPr>
      <t>1,2</t>
    </r>
  </si>
  <si>
    <r>
      <rPr>
        <sz val="10"/>
        <rFont val="Arial"/>
        <family val="2"/>
      </rPr>
      <t>1,1</t>
    </r>
  </si>
  <si>
    <r>
      <rPr>
        <sz val="10"/>
        <rFont val="Arial"/>
        <family val="2"/>
      </rPr>
      <t>1,0</t>
    </r>
  </si>
  <si>
    <t>Odhadovaná chyba vo výške 10 % (AE)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</si>
</sst>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-;\-* #,##0.00_-;_-* &quot;-&quot;??_-;_-@_-"/>
    <numFmt numFmtId="164" formatCode="_(* #,##0.00_);_(* \(#,##0.00\);_(* &quot;-&quot;??_);_(@_)"/>
    <numFmt numFmtId="165" formatCode="#,##0.00;\(#,##0.00\)"/>
    <numFmt numFmtId="166" formatCode="_-* #,##0.00\ _$_-;\-* #,##0.00\ _$_-;_-* &quot;-&quot;??\ _$_-;_-@_-"/>
    <numFmt numFmtId="167" formatCode="_ * #,##0.00_ ;_ * \-#,##0.00_ ;_ * &quot;-&quot;??_ ;_ @_ "/>
    <numFmt numFmtId="168" formatCode="_-* #,##0.00\ _€_-;\-* #,##0.00\ _€_-;_-* &quot;-&quot;??\ _€_-;_-@_-"/>
    <numFmt numFmtId="169" formatCode="dd/mm/yy"/>
    <numFmt numFmtId="170" formatCode="_-* #,##0_-;\-* #,##0_-;_-* &quot;-&quot;??_-;_-@_-"/>
    <numFmt numFmtId="171" formatCode="_-* #,##0.00_-;\(#,##0.00\);_-* &quot;-&quot;??_-;_-@_-"/>
    <numFmt numFmtId="172" formatCode="0.0%"/>
    <numFmt numFmtId="173" formatCode="_-* #,##0.0_-;\-* #,##0.0_-;_-* &quot;-&quot;??_-;_-@_-"/>
    <numFmt numFmtId="174" formatCode="0.000"/>
    <numFmt numFmtId="175" formatCode="_-* #,##0.0_-;\-* #,##0.0_-;_-* &quot;-&quot;?_-;_-@_-"/>
    <numFmt numFmtId="176" formatCode="_-* #,##0.00\ &quot;€&quot;_-;\-* #,##0.00\ &quot;€&quot;_-;_-* &quot;-&quot;??\ &quot;€&quot;_-;_-@_-"/>
    <numFmt numFmtId="177" formatCode="_-* #,##0\ _€_-;\-* #,##0\ _€_-;_-* &quot;-&quot;??\ _€_-;_-@_-"/>
    <numFmt numFmtId="178" formatCode="_-* #,##0.000\ _€_-;\-* #,##0.000\ _€_-;_-* &quot;-&quot;??\ _€_-;_-@_-"/>
    <numFmt numFmtId="179" formatCode="_-* #,##0.0000000\ _€_-;\-* #,##0.0000000\ _€_-;_-* &quot;-&quot;??\ _€_-;_-@_-"/>
    <numFmt numFmtId="180" formatCode="0.0000"/>
    <numFmt numFmtId="181" formatCode="_-* #,##0.000000\ _€_-;\-* #,##0.000000\ _€_-;_-* &quot;-&quot;??\ _€_-;_-@_-"/>
    <numFmt numFmtId="182" formatCode="#\ ###\ ###\ \€"/>
    <numFmt numFmtId="183" formatCode="0\ %"/>
    <numFmt numFmtId="184" formatCode="0.00\ %"/>
    <numFmt numFmtId="185" formatCode="#\ ##0.00"/>
    <numFmt numFmtId="186" formatCode="#\ ###\ ##0.00"/>
    <numFmt numFmtId="187" formatCode="#\ ###\ ##0"/>
    <numFmt numFmtId="188" formatCode="#\ ##0\ \€"/>
    <numFmt numFmtId="189" formatCode="#\ ###\ ##0\ \€"/>
    <numFmt numFmtId="190" formatCode="0.0\ %"/>
  </numFmts>
  <fonts count="5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0"/>
      <color indexed="20"/>
      <name val="Arial"/>
      <family val="2"/>
    </font>
    <font>
      <sz val="11"/>
      <color indexed="20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sz val="10"/>
      <name val="Arial"/>
      <family val="2"/>
      <charset val="204"/>
    </font>
    <font>
      <sz val="10"/>
      <name val="Timok"/>
      <charset val="204"/>
    </font>
    <font>
      <sz val="10"/>
      <name val="Times New Roman"/>
      <family val="1"/>
    </font>
    <font>
      <i/>
      <sz val="10"/>
      <color indexed="23"/>
      <name val="Arial"/>
      <family val="2"/>
    </font>
    <font>
      <i/>
      <sz val="11"/>
      <color indexed="23"/>
      <name val="Calibri"/>
      <family val="2"/>
    </font>
    <font>
      <sz val="10"/>
      <color indexed="8"/>
      <name val="Times New Roman"/>
      <family val="2"/>
    </font>
    <font>
      <sz val="10"/>
      <color indexed="17"/>
      <name val="Arial"/>
      <family val="2"/>
    </font>
    <font>
      <sz val="11"/>
      <color indexed="17"/>
      <name val="Calibri"/>
      <family val="2"/>
    </font>
    <font>
      <b/>
      <sz val="15"/>
      <color indexed="56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Arial"/>
      <family val="2"/>
    </font>
    <font>
      <b/>
      <sz val="13"/>
      <color indexed="56"/>
      <name val="Calibri"/>
      <family val="2"/>
    </font>
    <font>
      <b/>
      <sz val="11"/>
      <color indexed="56"/>
      <name val="Arial"/>
      <family val="2"/>
    </font>
    <font>
      <b/>
      <sz val="11"/>
      <color indexed="56"/>
      <name val="Calibri"/>
      <family val="2"/>
    </font>
    <font>
      <sz val="10"/>
      <color indexed="62"/>
      <name val="Arial"/>
      <family val="2"/>
    </font>
    <font>
      <sz val="11"/>
      <color indexed="62"/>
      <name val="Calibri"/>
      <family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sz val="10"/>
      <color indexed="60"/>
      <name val="Arial"/>
      <family val="2"/>
    </font>
    <font>
      <sz val="11"/>
      <color indexed="60"/>
      <name val="Calibri"/>
      <family val="2"/>
    </font>
    <font>
      <sz val="12"/>
      <color indexed="8"/>
      <name val="Times New Roman"/>
      <family val="2"/>
    </font>
    <font>
      <b/>
      <sz val="10"/>
      <color indexed="63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sz val="10"/>
      <color indexed="10"/>
      <name val="Arial"/>
      <family val="2"/>
    </font>
    <font>
      <sz val="11"/>
      <color indexed="10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</font>
    <font>
      <sz val="10"/>
      <color rgb="FFFF0000"/>
      <name val="Arial"/>
      <family val="2"/>
    </font>
    <font>
      <sz val="12"/>
      <name val="Arial"/>
      <family val="2"/>
    </font>
    <font>
      <sz val="10"/>
      <color rgb="FFC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rgb="FFC00000"/>
      <name val="Arial"/>
      <family val="2"/>
    </font>
    <font>
      <b/>
      <sz val="10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4E7ED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7">
    <xf numFmtId="0" fontId="0" fillId="0" borderId="0"/>
    <xf numFmtId="43" fontId="3" fillId="0" borderId="0" applyFont="0" applyFill="0" applyBorder="0" applyAlignment="0" applyProtection="0"/>
    <xf numFmtId="0" fontId="5" fillId="2" borderId="0" applyNumberFormat="0" applyBorder="0" applyAlignment="0" applyProtection="0"/>
    <xf numFmtId="0" fontId="7" fillId="2" borderId="0" applyNumberFormat="0" applyBorder="0" applyAlignment="0" applyProtection="0"/>
    <xf numFmtId="0" fontId="5" fillId="3" borderId="0" applyNumberFormat="0" applyBorder="0" applyAlignment="0" applyProtection="0"/>
    <xf numFmtId="0" fontId="7" fillId="3" borderId="0" applyNumberFormat="0" applyBorder="0" applyAlignment="0" applyProtection="0"/>
    <xf numFmtId="0" fontId="5" fillId="4" borderId="0" applyNumberFormat="0" applyBorder="0" applyAlignment="0" applyProtection="0"/>
    <xf numFmtId="0" fontId="7" fillId="4" borderId="0" applyNumberFormat="0" applyBorder="0" applyAlignment="0" applyProtection="0"/>
    <xf numFmtId="0" fontId="5" fillId="5" borderId="0" applyNumberFormat="0" applyBorder="0" applyAlignment="0" applyProtection="0"/>
    <xf numFmtId="0" fontId="7" fillId="5" borderId="0" applyNumberFormat="0" applyBorder="0" applyAlignment="0" applyProtection="0"/>
    <xf numFmtId="0" fontId="5" fillId="6" borderId="0" applyNumberFormat="0" applyBorder="0" applyAlignment="0" applyProtection="0"/>
    <xf numFmtId="0" fontId="7" fillId="6" borderId="0" applyNumberFormat="0" applyBorder="0" applyAlignment="0" applyProtection="0"/>
    <xf numFmtId="0" fontId="5" fillId="7" borderId="0" applyNumberFormat="0" applyBorder="0" applyAlignment="0" applyProtection="0"/>
    <xf numFmtId="0" fontId="7" fillId="7" borderId="0" applyNumberFormat="0" applyBorder="0" applyAlignment="0" applyProtection="0"/>
    <xf numFmtId="0" fontId="5" fillId="8" borderId="0" applyNumberFormat="0" applyBorder="0" applyAlignment="0" applyProtection="0"/>
    <xf numFmtId="0" fontId="7" fillId="8" borderId="0" applyNumberFormat="0" applyBorder="0" applyAlignment="0" applyProtection="0"/>
    <xf numFmtId="0" fontId="5" fillId="9" borderId="0" applyNumberFormat="0" applyBorder="0" applyAlignment="0" applyProtection="0"/>
    <xf numFmtId="0" fontId="7" fillId="9" borderId="0" applyNumberFormat="0" applyBorder="0" applyAlignment="0" applyProtection="0"/>
    <xf numFmtId="0" fontId="5" fillId="10" borderId="0" applyNumberFormat="0" applyBorder="0" applyAlignment="0" applyProtection="0"/>
    <xf numFmtId="0" fontId="7" fillId="10" borderId="0" applyNumberFormat="0" applyBorder="0" applyAlignment="0" applyProtection="0"/>
    <xf numFmtId="0" fontId="5" fillId="5" borderId="0" applyNumberFormat="0" applyBorder="0" applyAlignment="0" applyProtection="0"/>
    <xf numFmtId="0" fontId="7" fillId="5" borderId="0" applyNumberFormat="0" applyBorder="0" applyAlignment="0" applyProtection="0"/>
    <xf numFmtId="0" fontId="5" fillId="8" borderId="0" applyNumberFormat="0" applyBorder="0" applyAlignment="0" applyProtection="0"/>
    <xf numFmtId="0" fontId="7" fillId="8" borderId="0" applyNumberFormat="0" applyBorder="0" applyAlignment="0" applyProtection="0"/>
    <xf numFmtId="0" fontId="5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9" fillId="12" borderId="0" applyNumberFormat="0" applyBorder="0" applyAlignment="0" applyProtection="0"/>
    <xf numFmtId="0" fontId="8" fillId="9" borderId="0" applyNumberFormat="0" applyBorder="0" applyAlignment="0" applyProtection="0"/>
    <xf numFmtId="0" fontId="9" fillId="9" borderId="0" applyNumberFormat="0" applyBorder="0" applyAlignment="0" applyProtection="0"/>
    <xf numFmtId="0" fontId="8" fillId="10" borderId="0" applyNumberFormat="0" applyBorder="0" applyAlignment="0" applyProtection="0"/>
    <xf numFmtId="0" fontId="9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8" borderId="0" applyNumberFormat="0" applyBorder="0" applyAlignment="0" applyProtection="0"/>
    <xf numFmtId="0" fontId="9" fillId="18" borderId="0" applyNumberFormat="0" applyBorder="0" applyAlignment="0" applyProtection="0"/>
    <xf numFmtId="0" fontId="8" fillId="13" borderId="0" applyNumberFormat="0" applyBorder="0" applyAlignment="0" applyProtection="0"/>
    <xf numFmtId="0" fontId="9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1" applyNumberFormat="0" applyAlignment="0" applyProtection="0"/>
    <xf numFmtId="0" fontId="13" fillId="20" borderId="11" applyNumberFormat="0" applyAlignment="0" applyProtection="0"/>
    <xf numFmtId="0" fontId="14" fillId="21" borderId="12" applyNumberFormat="0" applyAlignment="0" applyProtection="0"/>
    <xf numFmtId="0" fontId="15" fillId="21" borderId="12" applyNumberFormat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7" fontId="18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Font="0" applyFill="0" applyAlignment="0" applyProtection="0"/>
    <xf numFmtId="0" fontId="21" fillId="0" borderId="13" applyFont="0" applyFill="0" applyAlignment="0" applyProtection="0"/>
    <xf numFmtId="0" fontId="5" fillId="0" borderId="13" applyFont="0" applyFill="0" applyAlignment="0" applyProtection="0"/>
    <xf numFmtId="0" fontId="22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0" borderId="14" applyNumberFormat="0" applyFill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9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7" borderId="11" applyNumberFormat="0" applyAlignment="0" applyProtection="0"/>
    <xf numFmtId="0" fontId="31" fillId="7" borderId="11" applyNumberFormat="0" applyAlignment="0" applyProtection="0"/>
    <xf numFmtId="0" fontId="32" fillId="0" borderId="17" applyNumberFormat="0" applyFill="0" applyAlignment="0" applyProtection="0"/>
    <xf numFmtId="0" fontId="33" fillId="0" borderId="17" applyNumberFormat="0" applyFill="0" applyAlignment="0" applyProtection="0"/>
    <xf numFmtId="0" fontId="34" fillId="22" borderId="0" applyNumberFormat="0" applyBorder="0" applyAlignment="0" applyProtection="0"/>
    <xf numFmtId="0" fontId="35" fillId="22" borderId="0" applyNumberFormat="0" applyBorder="0" applyAlignment="0" applyProtection="0"/>
    <xf numFmtId="0" fontId="16" fillId="0" borderId="0"/>
    <xf numFmtId="0" fontId="16" fillId="0" borderId="0"/>
    <xf numFmtId="0" fontId="5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36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5" fillId="23" borderId="18" applyNumberFormat="0" applyFont="0" applyAlignment="0" applyProtection="0"/>
    <xf numFmtId="0" fontId="5" fillId="23" borderId="18" applyNumberFormat="0" applyFont="0" applyAlignment="0" applyProtection="0"/>
    <xf numFmtId="0" fontId="37" fillId="20" borderId="19" applyNumberFormat="0" applyAlignment="0" applyProtection="0"/>
    <xf numFmtId="0" fontId="38" fillId="20" borderId="19" applyNumberFormat="0" applyAlignment="0" applyProtection="0"/>
    <xf numFmtId="9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9" fontId="46" fillId="0" borderId="0" applyFont="0" applyFill="0" applyBorder="0" applyAlignment="0" applyProtection="0"/>
    <xf numFmtId="0" fontId="1" fillId="0" borderId="0"/>
    <xf numFmtId="17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4" fillId="0" borderId="0" xfId="0" applyFont="1"/>
    <xf numFmtId="4" fontId="4" fillId="0" borderId="0" xfId="0" applyNumberFormat="1" applyFont="1" applyFill="1" applyBorder="1" applyAlignment="1">
      <alignment horizontal="center"/>
    </xf>
    <xf numFmtId="0" fontId="6" fillId="0" borderId="0" xfId="0" applyFont="1"/>
    <xf numFmtId="0" fontId="4" fillId="0" borderId="5" xfId="0" applyFont="1" applyBorder="1"/>
    <xf numFmtId="0" fontId="6" fillId="0" borderId="0" xfId="0" applyFont="1" applyAlignment="1">
      <alignment wrapText="1"/>
    </xf>
    <xf numFmtId="0" fontId="44" fillId="0" borderId="0" xfId="0" applyFont="1"/>
    <xf numFmtId="0" fontId="44" fillId="25" borderId="5" xfId="0" applyFont="1" applyFill="1" applyBorder="1" applyAlignment="1">
      <alignment horizontal="center" vertical="center" wrapText="1"/>
    </xf>
    <xf numFmtId="0" fontId="44" fillId="25" borderId="5" xfId="0" applyFont="1" applyFill="1" applyBorder="1" applyAlignment="1">
      <alignment horizontal="left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43" fontId="4" fillId="0" borderId="0" xfId="1" applyFont="1"/>
    <xf numFmtId="9" fontId="4" fillId="0" borderId="0" xfId="112" applyNumberFormat="1" applyFont="1" applyBorder="1" applyAlignment="1">
      <alignment horizontal="center"/>
    </xf>
    <xf numFmtId="173" fontId="4" fillId="0" borderId="0" xfId="1" applyNumberFormat="1" applyFont="1"/>
    <xf numFmtId="172" fontId="6" fillId="0" borderId="0" xfId="112" applyNumberFormat="1" applyFont="1" applyAlignment="1">
      <alignment wrapText="1"/>
    </xf>
    <xf numFmtId="172" fontId="47" fillId="0" borderId="5" xfId="112" applyNumberFormat="1" applyFont="1" applyBorder="1" applyAlignment="1">
      <alignment horizontal="center"/>
    </xf>
    <xf numFmtId="43" fontId="4" fillId="0" borderId="0" xfId="0" applyNumberFormat="1" applyFont="1"/>
    <xf numFmtId="0" fontId="48" fillId="0" borderId="0" xfId="0" applyFont="1" applyAlignment="1">
      <alignment horizontal="justify" vertical="center"/>
    </xf>
    <xf numFmtId="0" fontId="4" fillId="0" borderId="3" xfId="85" applyFont="1" applyFill="1" applyBorder="1" applyAlignment="1">
      <alignment horizontal="center" vertical="top"/>
    </xf>
    <xf numFmtId="0" fontId="4" fillId="0" borderId="23" xfId="85" applyFont="1" applyFill="1" applyBorder="1" applyAlignment="1">
      <alignment horizontal="center" vertical="top"/>
    </xf>
    <xf numFmtId="0" fontId="4" fillId="0" borderId="21" xfId="85" applyFont="1" applyFill="1" applyBorder="1" applyAlignment="1">
      <alignment horizontal="center" vertical="top"/>
    </xf>
    <xf numFmtId="170" fontId="4" fillId="0" borderId="3" xfId="85" applyNumberFormat="1" applyFont="1" applyFill="1" applyBorder="1" applyAlignment="1">
      <alignment horizontal="center" vertical="top"/>
    </xf>
    <xf numFmtId="171" fontId="4" fillId="0" borderId="3" xfId="85" applyNumberFormat="1" applyFont="1" applyFill="1" applyBorder="1" applyAlignment="1">
      <alignment horizontal="center" vertical="top"/>
    </xf>
    <xf numFmtId="0" fontId="4" fillId="0" borderId="5" xfId="85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center"/>
    </xf>
    <xf numFmtId="168" fontId="6" fillId="0" borderId="5" xfId="1" applyNumberFormat="1" applyFont="1" applyFill="1" applyBorder="1" applyAlignment="1">
      <alignment horizontal="center" vertical="center"/>
    </xf>
    <xf numFmtId="1" fontId="6" fillId="0" borderId="5" xfId="1" applyNumberFormat="1" applyFont="1" applyFill="1" applyBorder="1" applyAlignment="1">
      <alignment horizontal="center" vertical="center"/>
    </xf>
    <xf numFmtId="170" fontId="6" fillId="0" borderId="5" xfId="1" applyNumberFormat="1" applyFont="1" applyFill="1" applyBorder="1" applyAlignment="1">
      <alignment horizontal="center" vertical="center"/>
    </xf>
    <xf numFmtId="2" fontId="6" fillId="0" borderId="5" xfId="0" quotePrefix="1" applyNumberFormat="1" applyFont="1" applyFill="1" applyBorder="1" applyAlignment="1">
      <alignment horizontal="center" vertical="center"/>
    </xf>
    <xf numFmtId="165" fontId="6" fillId="24" borderId="28" xfId="0" quotePrefix="1" applyNumberFormat="1" applyFont="1" applyFill="1" applyBorder="1" applyAlignment="1">
      <alignment horizontal="center" vertical="center"/>
    </xf>
    <xf numFmtId="172" fontId="6" fillId="0" borderId="5" xfId="112" applyNumberFormat="1" applyFont="1" applyBorder="1" applyAlignment="1">
      <alignment horizontal="center"/>
    </xf>
    <xf numFmtId="0" fontId="6" fillId="0" borderId="5" xfId="0" applyFont="1" applyFill="1" applyBorder="1"/>
    <xf numFmtId="9" fontId="6" fillId="0" borderId="0" xfId="112" applyFont="1"/>
    <xf numFmtId="168" fontId="49" fillId="0" borderId="5" xfId="1" applyNumberFormat="1" applyFont="1" applyFill="1" applyBorder="1" applyAlignment="1">
      <alignment horizontal="center" vertical="center"/>
    </xf>
    <xf numFmtId="168" fontId="6" fillId="0" borderId="8" xfId="1" applyNumberFormat="1" applyFont="1" applyFill="1" applyBorder="1" applyAlignment="1">
      <alignment horizontal="center" vertical="center"/>
    </xf>
    <xf numFmtId="1" fontId="6" fillId="0" borderId="8" xfId="1" applyNumberFormat="1" applyFont="1" applyFill="1" applyBorder="1" applyAlignment="1">
      <alignment horizontal="center" vertical="center"/>
    </xf>
    <xf numFmtId="0" fontId="6" fillId="0" borderId="8" xfId="0" applyFont="1" applyFill="1" applyBorder="1"/>
    <xf numFmtId="2" fontId="6" fillId="0" borderId="8" xfId="0" quotePrefix="1" applyNumberFormat="1" applyFont="1" applyFill="1" applyBorder="1" applyAlignment="1">
      <alignment horizontal="center" vertical="center"/>
    </xf>
    <xf numFmtId="4" fontId="6" fillId="24" borderId="29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0" fontId="6" fillId="0" borderId="5" xfId="0" applyFont="1" applyBorder="1"/>
    <xf numFmtId="2" fontId="6" fillId="0" borderId="25" xfId="0" quotePrefix="1" applyNumberFormat="1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0" fontId="6" fillId="0" borderId="25" xfId="0" applyFont="1" applyBorder="1"/>
    <xf numFmtId="170" fontId="4" fillId="0" borderId="5" xfId="1" applyNumberFormat="1" applyFont="1" applyFill="1" applyBorder="1" applyAlignment="1">
      <alignment horizontal="center" vertical="center"/>
    </xf>
    <xf numFmtId="170" fontId="4" fillId="0" borderId="25" xfId="1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4" fontId="6" fillId="24" borderId="28" xfId="0" applyNumberFormat="1" applyFont="1" applyFill="1" applyBorder="1" applyAlignment="1">
      <alignment horizontal="center"/>
    </xf>
    <xf numFmtId="4" fontId="6" fillId="24" borderId="5" xfId="0" applyNumberFormat="1" applyFont="1" applyFill="1" applyBorder="1" applyAlignment="1">
      <alignment horizontal="center"/>
    </xf>
    <xf numFmtId="170" fontId="4" fillId="0" borderId="0" xfId="1" applyNumberFormat="1" applyFont="1" applyFill="1" applyBorder="1" applyAlignment="1">
      <alignment horizontal="center" vertical="center"/>
    </xf>
    <xf numFmtId="43" fontId="4" fillId="0" borderId="5" xfId="1" quotePrefix="1" applyFont="1" applyFill="1" applyBorder="1" applyAlignment="1">
      <alignment horizontal="center" vertical="center"/>
    </xf>
    <xf numFmtId="172" fontId="6" fillId="0" borderId="0" xfId="112" applyNumberFormat="1" applyFont="1"/>
    <xf numFmtId="0" fontId="6" fillId="0" borderId="0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6" fillId="0" borderId="0" xfId="0" applyFont="1" applyBorder="1"/>
    <xf numFmtId="165" fontId="6" fillId="0" borderId="0" xfId="0" quotePrefix="1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/>
    </xf>
    <xf numFmtId="43" fontId="6" fillId="0" borderId="0" xfId="1" applyFont="1"/>
    <xf numFmtId="0" fontId="6" fillId="0" borderId="0" xfId="0" applyFont="1" applyAlignment="1">
      <alignment horizontal="justify" vertical="center"/>
    </xf>
    <xf numFmtId="164" fontId="6" fillId="0" borderId="0" xfId="0" applyNumberFormat="1" applyFont="1"/>
    <xf numFmtId="175" fontId="6" fillId="0" borderId="0" xfId="0" applyNumberFormat="1" applyFont="1"/>
    <xf numFmtId="43" fontId="6" fillId="0" borderId="0" xfId="0" applyNumberFormat="1" applyFont="1"/>
    <xf numFmtId="0" fontId="50" fillId="0" borderId="0" xfId="113" applyFont="1" applyFill="1"/>
    <xf numFmtId="0" fontId="50" fillId="0" borderId="5" xfId="113" applyFont="1" applyFill="1" applyBorder="1" applyAlignment="1">
      <alignment horizontal="left" vertical="center" wrapText="1"/>
    </xf>
    <xf numFmtId="0" fontId="50" fillId="0" borderId="5" xfId="113" applyFont="1" applyFill="1" applyBorder="1" applyAlignment="1">
      <alignment horizontal="justify" vertical="top" wrapText="1"/>
    </xf>
    <xf numFmtId="0" fontId="50" fillId="0" borderId="5" xfId="113" applyFont="1" applyFill="1" applyBorder="1" applyAlignment="1" applyProtection="1">
      <alignment horizontal="right" vertical="top" wrapText="1"/>
      <protection locked="0"/>
    </xf>
    <xf numFmtId="0" fontId="50" fillId="0" borderId="5" xfId="113" applyFont="1" applyFill="1" applyBorder="1" applyAlignment="1">
      <alignment horizontal="justify" vertical="top"/>
    </xf>
    <xf numFmtId="43" fontId="50" fillId="0" borderId="5" xfId="1" applyFont="1" applyFill="1" applyBorder="1" applyAlignment="1" applyProtection="1">
      <alignment horizontal="right" vertical="top" wrapText="1"/>
      <protection locked="0"/>
    </xf>
    <xf numFmtId="0" fontId="50" fillId="0" borderId="5" xfId="113" applyFont="1" applyFill="1" applyBorder="1" applyAlignment="1">
      <alignment horizontal="left" vertical="top" wrapText="1"/>
    </xf>
    <xf numFmtId="0" fontId="50" fillId="0" borderId="5" xfId="113" applyFont="1" applyFill="1" applyBorder="1" applyAlignment="1">
      <alignment horizontal="left" vertical="top" wrapText="1" indent="1"/>
    </xf>
    <xf numFmtId="178" fontId="50" fillId="0" borderId="5" xfId="115" applyNumberFormat="1" applyFont="1" applyFill="1" applyBorder="1" applyAlignment="1">
      <alignment horizontal="right" vertical="top" wrapText="1"/>
    </xf>
    <xf numFmtId="0" fontId="50" fillId="0" borderId="5" xfId="113" applyFont="1" applyFill="1" applyBorder="1"/>
    <xf numFmtId="177" fontId="50" fillId="0" borderId="5" xfId="115" applyNumberFormat="1" applyFont="1" applyFill="1" applyBorder="1"/>
    <xf numFmtId="0" fontId="50" fillId="0" borderId="5" xfId="113" applyFont="1" applyFill="1" applyBorder="1" applyAlignment="1">
      <alignment horizontal="left"/>
    </xf>
    <xf numFmtId="177" fontId="50" fillId="0" borderId="5" xfId="115" applyNumberFormat="1" applyFont="1" applyFill="1" applyBorder="1" applyProtection="1">
      <protection locked="0"/>
    </xf>
    <xf numFmtId="176" fontId="50" fillId="0" borderId="0" xfId="113" applyNumberFormat="1" applyFont="1" applyFill="1"/>
    <xf numFmtId="174" fontId="50" fillId="0" borderId="5" xfId="113" applyNumberFormat="1" applyFont="1" applyFill="1" applyBorder="1" applyProtection="1">
      <protection locked="0"/>
    </xf>
    <xf numFmtId="172" fontId="48" fillId="0" borderId="0" xfId="116" applyNumberFormat="1" applyFont="1" applyFill="1"/>
    <xf numFmtId="179" fontId="48" fillId="0" borderId="0" xfId="115" applyNumberFormat="1" applyFont="1" applyFill="1"/>
    <xf numFmtId="180" fontId="50" fillId="0" borderId="5" xfId="113" applyNumberFormat="1" applyFont="1" applyFill="1" applyBorder="1" applyProtection="1">
      <protection locked="0"/>
    </xf>
    <xf numFmtId="10" fontId="48" fillId="0" borderId="0" xfId="116" applyNumberFormat="1" applyFont="1" applyFill="1"/>
    <xf numFmtId="179" fontId="50" fillId="0" borderId="0" xfId="113" applyNumberFormat="1" applyFont="1" applyFill="1"/>
    <xf numFmtId="0" fontId="51" fillId="0" borderId="5" xfId="113" applyFont="1" applyFill="1" applyBorder="1" applyAlignment="1">
      <alignment horizontal="left" indent="1"/>
    </xf>
    <xf numFmtId="181" fontId="48" fillId="0" borderId="0" xfId="115" applyNumberFormat="1" applyFont="1" applyFill="1"/>
    <xf numFmtId="0" fontId="50" fillId="0" borderId="5" xfId="113" applyFont="1" applyFill="1" applyBorder="1" applyAlignment="1">
      <alignment horizontal="left" indent="1"/>
    </xf>
    <xf numFmtId="0" fontId="51" fillId="0" borderId="5" xfId="113" applyFont="1" applyFill="1" applyBorder="1" applyAlignment="1">
      <alignment horizontal="left" indent="3"/>
    </xf>
    <xf numFmtId="168" fontId="50" fillId="0" borderId="0" xfId="113" applyNumberFormat="1" applyFont="1" applyFill="1"/>
    <xf numFmtId="165" fontId="6" fillId="24" borderId="6" xfId="0" quotePrefix="1" applyNumberFormat="1" applyFont="1" applyFill="1" applyBorder="1" applyAlignment="1">
      <alignment horizontal="center" vertical="center"/>
    </xf>
    <xf numFmtId="4" fontId="6" fillId="24" borderId="9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70" fontId="53" fillId="0" borderId="5" xfId="1" applyNumberFormat="1" applyFont="1" applyFill="1" applyBorder="1" applyAlignment="1">
      <alignment horizontal="center" vertical="center"/>
    </xf>
    <xf numFmtId="4" fontId="6" fillId="24" borderId="26" xfId="0" applyNumberFormat="1" applyFont="1" applyFill="1" applyBorder="1" applyAlignment="1">
      <alignment horizontal="center"/>
    </xf>
    <xf numFmtId="170" fontId="6" fillId="0" borderId="5" xfId="0" applyNumberFormat="1" applyFont="1" applyBorder="1"/>
    <xf numFmtId="4" fontId="6" fillId="24" borderId="25" xfId="0" applyNumberFormat="1" applyFont="1" applyFill="1" applyBorder="1" applyAlignment="1">
      <alignment horizontal="center"/>
    </xf>
    <xf numFmtId="10" fontId="4" fillId="0" borderId="0" xfId="0" quotePrefix="1" applyNumberFormat="1" applyFont="1" applyFill="1" applyBorder="1" applyAlignment="1">
      <alignment horizontal="center" vertical="center"/>
    </xf>
    <xf numFmtId="10" fontId="6" fillId="0" borderId="0" xfId="0" quotePrefix="1" applyNumberFormat="1" applyFont="1" applyFill="1" applyBorder="1" applyAlignment="1">
      <alignment horizontal="center" vertical="center"/>
    </xf>
    <xf numFmtId="0" fontId="51" fillId="0" borderId="0" xfId="113" applyFont="1"/>
    <xf numFmtId="0" fontId="50" fillId="0" borderId="0" xfId="113" applyFont="1"/>
    <xf numFmtId="0" fontId="50" fillId="0" borderId="5" xfId="113" applyFont="1" applyFill="1" applyBorder="1" applyAlignment="1">
      <alignment horizontal="justify" vertical="center" wrapText="1"/>
    </xf>
    <xf numFmtId="177" fontId="50" fillId="0" borderId="5" xfId="115" applyNumberFormat="1" applyFont="1" applyFill="1" applyBorder="1" applyAlignment="1" applyProtection="1">
      <alignment horizontal="right" vertical="top" wrapText="1"/>
      <protection locked="0"/>
    </xf>
    <xf numFmtId="0" fontId="51" fillId="0" borderId="0" xfId="113" applyFont="1" applyBorder="1" applyAlignment="1">
      <alignment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right" vertical="center" wrapText="1"/>
    </xf>
    <xf numFmtId="0" fontId="6" fillId="0" borderId="32" xfId="0" applyFont="1" applyBorder="1" applyAlignment="1">
      <alignment horizontal="center" vertical="center" wrapText="1"/>
    </xf>
    <xf numFmtId="169" fontId="4" fillId="0" borderId="22" xfId="85" applyNumberFormat="1" applyFont="1" applyFill="1" applyBorder="1" applyAlignment="1">
      <alignment horizontal="center" vertical="top" wrapText="1"/>
    </xf>
    <xf numFmtId="0" fontId="4" fillId="0" borderId="23" xfId="85" applyFont="1" applyFill="1" applyBorder="1" applyAlignment="1">
      <alignment horizontal="center" vertical="top" wrapText="1"/>
    </xf>
    <xf numFmtId="170" fontId="4" fillId="0" borderId="23" xfId="85" applyNumberFormat="1" applyFont="1" applyFill="1" applyBorder="1" applyAlignment="1">
      <alignment horizontal="center" vertical="top" wrapText="1"/>
    </xf>
    <xf numFmtId="171" fontId="4" fillId="0" borderId="23" xfId="85" applyNumberFormat="1" applyFont="1" applyFill="1" applyBorder="1" applyAlignment="1">
      <alignment horizontal="center" vertical="top" wrapText="1"/>
    </xf>
    <xf numFmtId="0" fontId="4" fillId="0" borderId="3" xfId="85" applyFont="1" applyFill="1" applyBorder="1" applyAlignment="1">
      <alignment horizontal="center" vertical="top" wrapText="1"/>
    </xf>
    <xf numFmtId="182" fontId="50" fillId="0" borderId="5" xfId="114" applyNumberFormat="1" applyFont="1" applyFill="1" applyBorder="1" applyAlignment="1" applyProtection="1">
      <alignment horizontal="right" vertical="top" wrapText="1"/>
      <protection locked="0"/>
    </xf>
    <xf numFmtId="182" fontId="50" fillId="0" borderId="5" xfId="113" applyNumberFormat="1" applyFont="1" applyFill="1" applyBorder="1" applyAlignment="1" applyProtection="1">
      <alignment horizontal="right" vertical="top" wrapText="1"/>
      <protection locked="0"/>
    </xf>
    <xf numFmtId="182" fontId="51" fillId="0" borderId="5" xfId="113" applyNumberFormat="1" applyFont="1" applyFill="1" applyBorder="1" applyAlignment="1" applyProtection="1">
      <alignment horizontal="right" vertical="top" wrapText="1"/>
      <protection locked="0"/>
    </xf>
    <xf numFmtId="183" fontId="50" fillId="0" borderId="5" xfId="113" applyNumberFormat="1" applyFont="1" applyFill="1" applyBorder="1" applyAlignment="1" applyProtection="1">
      <alignment horizontal="right" vertical="top" wrapText="1"/>
      <protection locked="0"/>
    </xf>
    <xf numFmtId="184" fontId="50" fillId="0" borderId="5" xfId="113" applyNumberFormat="1" applyFont="1" applyFill="1" applyBorder="1" applyAlignment="1" applyProtection="1">
      <alignment horizontal="right" vertical="top" wrapText="1"/>
      <protection locked="0"/>
    </xf>
    <xf numFmtId="184" fontId="50" fillId="0" borderId="5" xfId="116" applyNumberFormat="1" applyFont="1" applyFill="1" applyBorder="1" applyAlignment="1">
      <alignment horizontal="right" vertical="top" wrapText="1"/>
    </xf>
    <xf numFmtId="184" fontId="50" fillId="0" borderId="5" xfId="116" applyNumberFormat="1" applyFont="1" applyFill="1" applyBorder="1"/>
    <xf numFmtId="184" fontId="52" fillId="0" borderId="5" xfId="116" applyNumberFormat="1" applyFont="1" applyFill="1" applyBorder="1"/>
    <xf numFmtId="183" fontId="4" fillId="0" borderId="0" xfId="112" applyNumberFormat="1" applyFont="1" applyBorder="1" applyAlignment="1">
      <alignment horizontal="center"/>
    </xf>
    <xf numFmtId="183" fontId="4" fillId="0" borderId="0" xfId="112" applyNumberFormat="1" applyFont="1" applyBorder="1"/>
    <xf numFmtId="183" fontId="6" fillId="0" borderId="2" xfId="0" applyNumberFormat="1" applyFont="1" applyBorder="1" applyAlignment="1">
      <alignment horizontal="center" vertical="center" wrapText="1"/>
    </xf>
    <xf numFmtId="185" fontId="6" fillId="0" borderId="0" xfId="1" applyNumberFormat="1" applyFont="1"/>
    <xf numFmtId="186" fontId="6" fillId="0" borderId="0" xfId="1" applyNumberFormat="1" applyFont="1"/>
    <xf numFmtId="185" fontId="4" fillId="0" borderId="0" xfId="0" quotePrefix="1" applyNumberFormat="1" applyFont="1" applyFill="1" applyBorder="1" applyAlignment="1">
      <alignment horizontal="center" vertical="center"/>
    </xf>
    <xf numFmtId="185" fontId="4" fillId="0" borderId="0" xfId="0" applyNumberFormat="1" applyFont="1" applyFill="1" applyBorder="1" applyAlignment="1">
      <alignment horizontal="center" vertical="center"/>
    </xf>
    <xf numFmtId="184" fontId="6" fillId="0" borderId="5" xfId="0" quotePrefix="1" applyNumberFormat="1" applyFont="1" applyFill="1" applyBorder="1" applyAlignment="1">
      <alignment horizontal="center" vertical="center"/>
    </xf>
    <xf numFmtId="184" fontId="6" fillId="0" borderId="8" xfId="0" quotePrefix="1" applyNumberFormat="1" applyFont="1" applyFill="1" applyBorder="1" applyAlignment="1">
      <alignment horizontal="center" vertical="center"/>
    </xf>
    <xf numFmtId="184" fontId="6" fillId="0" borderId="25" xfId="0" quotePrefix="1" applyNumberFormat="1" applyFont="1" applyFill="1" applyBorder="1" applyAlignment="1">
      <alignment horizontal="center" vertical="center"/>
    </xf>
    <xf numFmtId="185" fontId="4" fillId="0" borderId="0" xfId="0" applyNumberFormat="1" applyFont="1"/>
    <xf numFmtId="185" fontId="6" fillId="24" borderId="5" xfId="0" applyNumberFormat="1" applyFont="1" applyFill="1" applyBorder="1" applyAlignment="1">
      <alignment horizontal="center" vertical="center"/>
    </xf>
    <xf numFmtId="187" fontId="50" fillId="0" borderId="5" xfId="113" applyNumberFormat="1" applyFont="1" applyFill="1" applyBorder="1" applyProtection="1">
      <protection locked="0"/>
    </xf>
    <xf numFmtId="188" fontId="50" fillId="0" borderId="5" xfId="114" applyNumberFormat="1" applyFont="1" applyFill="1" applyBorder="1" applyAlignment="1">
      <alignment horizontal="right" vertical="top" wrapText="1"/>
    </xf>
    <xf numFmtId="189" fontId="50" fillId="0" borderId="5" xfId="114" applyNumberFormat="1" applyFont="1" applyFill="1" applyBorder="1" applyAlignment="1">
      <alignment horizontal="right" vertical="top" wrapText="1"/>
    </xf>
    <xf numFmtId="189" fontId="51" fillId="0" borderId="5" xfId="1" applyNumberFormat="1" applyFont="1" applyFill="1" applyBorder="1" applyProtection="1">
      <protection locked="0"/>
    </xf>
    <xf numFmtId="187" fontId="50" fillId="0" borderId="5" xfId="114" applyNumberFormat="1" applyFont="1" applyFill="1" applyBorder="1" applyAlignment="1">
      <alignment horizontal="right" vertical="top" wrapText="1"/>
    </xf>
    <xf numFmtId="185" fontId="50" fillId="0" borderId="5" xfId="1" applyNumberFormat="1" applyFont="1" applyFill="1" applyBorder="1" applyProtection="1">
      <protection locked="0"/>
    </xf>
    <xf numFmtId="186" fontId="4" fillId="0" borderId="0" xfId="0" quotePrefix="1" applyNumberFormat="1" applyFont="1" applyFill="1" applyBorder="1" applyAlignment="1">
      <alignment horizontal="center" vertical="center"/>
    </xf>
    <xf numFmtId="190" fontId="4" fillId="0" borderId="0" xfId="112" applyNumberFormat="1" applyFont="1" applyFill="1" applyBorder="1" applyAlignment="1">
      <alignment horizontal="center" vertical="center"/>
    </xf>
    <xf numFmtId="186" fontId="6" fillId="0" borderId="5" xfId="0" quotePrefix="1" applyNumberFormat="1" applyFont="1" applyFill="1" applyBorder="1" applyAlignment="1">
      <alignment horizontal="center" vertical="center"/>
    </xf>
    <xf numFmtId="186" fontId="6" fillId="0" borderId="8" xfId="0" quotePrefix="1" applyNumberFormat="1" applyFont="1" applyFill="1" applyBorder="1" applyAlignment="1">
      <alignment horizontal="center" vertical="center"/>
    </xf>
    <xf numFmtId="186" fontId="6" fillId="0" borderId="25" xfId="0" quotePrefix="1" applyNumberFormat="1" applyFont="1" applyFill="1" applyBorder="1" applyAlignment="1">
      <alignment horizontal="center" vertical="center"/>
    </xf>
    <xf numFmtId="0" fontId="51" fillId="0" borderId="5" xfId="113" applyFont="1" applyBorder="1" applyAlignment="1">
      <alignment horizontal="center" vertical="center" wrapText="1"/>
    </xf>
    <xf numFmtId="0" fontId="51" fillId="0" borderId="25" xfId="113" applyFont="1" applyBorder="1" applyAlignment="1">
      <alignment horizontal="center" vertical="center" wrapText="1"/>
    </xf>
    <xf numFmtId="0" fontId="51" fillId="0" borderId="10" xfId="113" applyFont="1" applyBorder="1" applyAlignment="1">
      <alignment horizontal="center" vertical="center" wrapText="1"/>
    </xf>
    <xf numFmtId="0" fontId="51" fillId="0" borderId="4" xfId="113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1" xfId="85" applyFont="1" applyFill="1" applyBorder="1" applyAlignment="1">
      <alignment horizontal="center" vertical="top"/>
    </xf>
    <xf numFmtId="0" fontId="4" fillId="0" borderId="24" xfId="85" applyFont="1" applyFill="1" applyBorder="1" applyAlignment="1">
      <alignment horizontal="center" vertical="top"/>
    </xf>
    <xf numFmtId="0" fontId="4" fillId="0" borderId="2" xfId="85" applyFont="1" applyFill="1" applyBorder="1" applyAlignment="1">
      <alignment horizontal="center" vertical="top"/>
    </xf>
    <xf numFmtId="0" fontId="54" fillId="0" borderId="1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" xfId="0" applyFont="1" applyBorder="1" applyAlignment="1">
      <alignment horizontal="center" wrapText="1"/>
    </xf>
    <xf numFmtId="2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51" fillId="0" borderId="25" xfId="113" applyFont="1" applyFill="1" applyBorder="1" applyAlignment="1">
      <alignment horizontal="center" vertical="center" wrapText="1"/>
    </xf>
    <xf numFmtId="0" fontId="51" fillId="0" borderId="10" xfId="113" applyFont="1" applyFill="1" applyBorder="1" applyAlignment="1">
      <alignment horizontal="center" vertical="center" wrapText="1"/>
    </xf>
    <xf numFmtId="0" fontId="51" fillId="0" borderId="4" xfId="113" applyFont="1" applyFill="1" applyBorder="1" applyAlignment="1">
      <alignment horizontal="center" vertical="center" wrapText="1"/>
    </xf>
    <xf numFmtId="0" fontId="51" fillId="0" borderId="5" xfId="113" applyFont="1" applyFill="1" applyBorder="1" applyAlignment="1">
      <alignment horizontal="center" vertical="center"/>
    </xf>
  </cellXfs>
  <cellStyles count="117">
    <cellStyle name="20% - Accent1 2" xfId="2"/>
    <cellStyle name="20% - Accent1 3" xfId="3"/>
    <cellStyle name="20% - Accent2 2" xfId="4"/>
    <cellStyle name="20% - Accent2 3" xfId="5"/>
    <cellStyle name="20% - Accent3 2" xfId="6"/>
    <cellStyle name="20% - Accent3 3" xfId="7"/>
    <cellStyle name="20% - Accent4 2" xfId="8"/>
    <cellStyle name="20% - Accent4 3" xfId="9"/>
    <cellStyle name="20% - Accent5 2" xfId="10"/>
    <cellStyle name="20% - Accent5 3" xfId="11"/>
    <cellStyle name="20% - Accent6 2" xfId="12"/>
    <cellStyle name="20% - Accent6 3" xfId="13"/>
    <cellStyle name="40% - Accent1 2" xfId="14"/>
    <cellStyle name="40% - Accent1 3" xfId="15"/>
    <cellStyle name="40% - Accent2 2" xfId="16"/>
    <cellStyle name="40% - Accent2 3" xfId="17"/>
    <cellStyle name="40% - Accent3 2" xfId="18"/>
    <cellStyle name="40% - Accent3 3" xfId="19"/>
    <cellStyle name="40% - Accent4 2" xfId="20"/>
    <cellStyle name="40% - Accent4 3" xfId="21"/>
    <cellStyle name="40% - Accent5 2" xfId="22"/>
    <cellStyle name="40% - Accent5 3" xfId="23"/>
    <cellStyle name="40% - Accent6 2" xfId="24"/>
    <cellStyle name="40% - Accent6 3" xfId="25"/>
    <cellStyle name="60% - Accent1 2" xfId="26"/>
    <cellStyle name="60% - Accent1 3" xfId="27"/>
    <cellStyle name="60% - Accent2 2" xfId="28"/>
    <cellStyle name="60% - Accent2 3" xfId="29"/>
    <cellStyle name="60% - Accent3 2" xfId="30"/>
    <cellStyle name="60% - Accent3 3" xfId="31"/>
    <cellStyle name="60% - Accent4 2" xfId="32"/>
    <cellStyle name="60% - Accent4 3" xfId="33"/>
    <cellStyle name="60% - Accent5 2" xfId="34"/>
    <cellStyle name="60% - Accent5 3" xfId="35"/>
    <cellStyle name="60% - Accent6 2" xfId="36"/>
    <cellStyle name="60% - Accent6 3" xfId="37"/>
    <cellStyle name="Accent1 2" xfId="38"/>
    <cellStyle name="Accent1 3" xfId="39"/>
    <cellStyle name="Accent2 2" xfId="40"/>
    <cellStyle name="Accent2 3" xfId="41"/>
    <cellStyle name="Accent3 2" xfId="42"/>
    <cellStyle name="Accent3 3" xfId="43"/>
    <cellStyle name="Accent4 2" xfId="44"/>
    <cellStyle name="Accent4 3" xfId="45"/>
    <cellStyle name="Accent5 2" xfId="46"/>
    <cellStyle name="Accent5 3" xfId="47"/>
    <cellStyle name="Accent6 2" xfId="48"/>
    <cellStyle name="Accent6 3" xfId="49"/>
    <cellStyle name="Bad 2" xfId="50"/>
    <cellStyle name="Bad 3" xfId="51"/>
    <cellStyle name="Calculation 2" xfId="52"/>
    <cellStyle name="Calculation 3" xfId="53"/>
    <cellStyle name="Check Cell 2" xfId="54"/>
    <cellStyle name="Check Cell 3" xfId="55"/>
    <cellStyle name="Comma" xfId="1" builtinId="3"/>
    <cellStyle name="Comma 12" xfId="56"/>
    <cellStyle name="Comma 13" xfId="57"/>
    <cellStyle name="Comma 2" xfId="58"/>
    <cellStyle name="Comma 2 2" xfId="59"/>
    <cellStyle name="Comma 3" xfId="60"/>
    <cellStyle name="Comma 4" xfId="115"/>
    <cellStyle name="Currency 2" xfId="114"/>
    <cellStyle name="Explanatory Text 2" xfId="61"/>
    <cellStyle name="Explanatory Text 3" xfId="62"/>
    <cellStyle name="FormatedNumberBorderPatern" xfId="63"/>
    <cellStyle name="FormatedNumberBorderPatern 2" xfId="64"/>
    <cellStyle name="FormatedNumberBorderPatern 3" xfId="65"/>
    <cellStyle name="Good 2" xfId="66"/>
    <cellStyle name="Good 3" xfId="67"/>
    <cellStyle name="Heading 1 2" xfId="68"/>
    <cellStyle name="Heading 1 3" xfId="69"/>
    <cellStyle name="Heading 2 2" xfId="70"/>
    <cellStyle name="Heading 2 3" xfId="71"/>
    <cellStyle name="Heading 3 2" xfId="72"/>
    <cellStyle name="Heading 3 3" xfId="73"/>
    <cellStyle name="Heading 4 2" xfId="74"/>
    <cellStyle name="Heading 4 3" xfId="75"/>
    <cellStyle name="Input 2" xfId="76"/>
    <cellStyle name="Input 3" xfId="77"/>
    <cellStyle name="Linked Cell 2" xfId="78"/>
    <cellStyle name="Linked Cell 3" xfId="79"/>
    <cellStyle name="Neutral 2" xfId="80"/>
    <cellStyle name="Neutral 3" xfId="81"/>
    <cellStyle name="Normal" xfId="0" builtinId="0"/>
    <cellStyle name="Normal 16" xfId="82"/>
    <cellStyle name="Normal 17" xfId="83"/>
    <cellStyle name="Normal 18" xfId="84"/>
    <cellStyle name="Normal 2" xfId="85"/>
    <cellStyle name="Normal 2 2" xfId="86"/>
    <cellStyle name="Normal 2 3" xfId="87"/>
    <cellStyle name="Normal 2 4" xfId="88"/>
    <cellStyle name="Normal 2 5" xfId="89"/>
    <cellStyle name="Normal 2 6" xfId="90"/>
    <cellStyle name="Normal 2 7" xfId="91"/>
    <cellStyle name="Normal 3" xfId="92"/>
    <cellStyle name="Normal 3 2" xfId="93"/>
    <cellStyle name="Normal 3 3" xfId="94"/>
    <cellStyle name="Normal 3 4" xfId="95"/>
    <cellStyle name="Normal 4" xfId="96"/>
    <cellStyle name="Normal 5" xfId="97"/>
    <cellStyle name="Normal 6" xfId="98"/>
    <cellStyle name="Normal 7" xfId="99"/>
    <cellStyle name="Normal 8" xfId="100"/>
    <cellStyle name="Normal 9" xfId="113"/>
    <cellStyle name="Note 2" xfId="101"/>
    <cellStyle name="Note 3" xfId="102"/>
    <cellStyle name="Output 2" xfId="103"/>
    <cellStyle name="Output 3" xfId="104"/>
    <cellStyle name="Percent" xfId="112" builtinId="5"/>
    <cellStyle name="Percent 12" xfId="105"/>
    <cellStyle name="Percent 2" xfId="106"/>
    <cellStyle name="Percent 3" xfId="116"/>
    <cellStyle name="Title 2" xfId="107"/>
    <cellStyle name="Total 2" xfId="108"/>
    <cellStyle name="Total 3" xfId="109"/>
    <cellStyle name="Warning Text 2" xfId="110"/>
    <cellStyle name="Warning Text 3" xfId="111"/>
  </cellStyles>
  <dxfs count="2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275117</xdr:colOff>
      <xdr:row>53</xdr:row>
      <xdr:rowOff>47625</xdr:rowOff>
    </xdr:from>
    <xdr:to>
      <xdr:col>9</xdr:col>
      <xdr:colOff>1190625</xdr:colOff>
      <xdr:row>54</xdr:row>
      <xdr:rowOff>76200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3467" y="9896475"/>
          <a:ext cx="1953733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828674</xdr:colOff>
      <xdr:row>55</xdr:row>
      <xdr:rowOff>95250</xdr:rowOff>
    </xdr:from>
    <xdr:to>
      <xdr:col>10</xdr:col>
      <xdr:colOff>723121</xdr:colOff>
      <xdr:row>57</xdr:row>
      <xdr:rowOff>17156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49" y="9001125"/>
          <a:ext cx="2123297" cy="626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8</xdr:row>
      <xdr:rowOff>19049</xdr:rowOff>
    </xdr:from>
    <xdr:to>
      <xdr:col>3</xdr:col>
      <xdr:colOff>550182</xdr:colOff>
      <xdr:row>11</xdr:row>
      <xdr:rowOff>152399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314449"/>
          <a:ext cx="2093232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41"/>
  <sheetViews>
    <sheetView zoomScaleNormal="100" workbookViewId="0">
      <selection activeCell="K28" sqref="K28"/>
    </sheetView>
  </sheetViews>
  <sheetFormatPr defaultColWidth="8.85546875" defaultRowHeight="15"/>
  <cols>
    <col min="1" max="1" width="20" style="103" customWidth="1"/>
    <col min="2" max="2" width="98.28515625" style="103" customWidth="1"/>
    <col min="3" max="3" width="24.7109375" style="103" bestFit="1" customWidth="1"/>
    <col min="4" max="16384" width="8.85546875" style="103"/>
  </cols>
  <sheetData>
    <row r="1" spans="1:3" ht="15.75">
      <c r="A1" s="102" t="s">
        <v>0</v>
      </c>
    </row>
    <row r="3" spans="1:3">
      <c r="A3" s="147" t="s">
        <v>1</v>
      </c>
      <c r="B3" s="68" t="s">
        <v>2</v>
      </c>
      <c r="C3" s="116">
        <f>'Veľkosť vzorky – SRS'!G54</f>
        <v>9010247.3606000002</v>
      </c>
    </row>
    <row r="4" spans="1:3">
      <c r="A4" s="147"/>
      <c r="B4" s="104" t="s">
        <v>3</v>
      </c>
      <c r="C4" s="70"/>
    </row>
    <row r="5" spans="1:3">
      <c r="A5" s="147"/>
      <c r="B5" s="104" t="s">
        <v>4</v>
      </c>
      <c r="C5" s="105">
        <f>'Veľkosť vzorky – SRS'!G57</f>
        <v>600</v>
      </c>
    </row>
    <row r="6" spans="1:3" ht="30">
      <c r="A6" s="147" t="s">
        <v>5</v>
      </c>
      <c r="B6" s="71" t="s">
        <v>6</v>
      </c>
      <c r="C6" s="117">
        <f>'Veľkosť vzorky – SRS'!K51</f>
        <v>1269.2803135925801</v>
      </c>
    </row>
    <row r="7" spans="1:3">
      <c r="A7" s="147"/>
      <c r="B7" s="73" t="s">
        <v>7</v>
      </c>
      <c r="C7" s="119">
        <v>0.85</v>
      </c>
    </row>
    <row r="8" spans="1:3">
      <c r="A8" s="147"/>
      <c r="B8" s="74" t="s">
        <v>8</v>
      </c>
      <c r="C8" s="75">
        <f>INDEX('Hodnoty z'!B2:B13,MATCH(SRS!C7,'Hodnoty z'!A2:A13,0))</f>
        <v>1.44</v>
      </c>
    </row>
    <row r="9" spans="1:3">
      <c r="A9" s="147"/>
      <c r="B9" s="73" t="s">
        <v>9</v>
      </c>
      <c r="C9" s="120">
        <f>0.1*C11</f>
        <v>2E-3</v>
      </c>
    </row>
    <row r="10" spans="1:3">
      <c r="A10" s="147"/>
      <c r="B10" s="74" t="s">
        <v>10</v>
      </c>
      <c r="C10" s="117">
        <f>C9*C3</f>
        <v>18020.494721200001</v>
      </c>
    </row>
    <row r="11" spans="1:3">
      <c r="A11" s="147"/>
      <c r="B11" s="73" t="s">
        <v>11</v>
      </c>
      <c r="C11" s="121">
        <v>0.02</v>
      </c>
    </row>
    <row r="12" spans="1:3">
      <c r="A12" s="147"/>
      <c r="B12" s="74" t="s">
        <v>12</v>
      </c>
      <c r="C12" s="117">
        <f>C11*C3</f>
        <v>180204.947212</v>
      </c>
    </row>
    <row r="13" spans="1:3">
      <c r="A13" s="147"/>
      <c r="B13" s="76" t="s">
        <v>13</v>
      </c>
      <c r="C13" s="77">
        <f>IF(ROUNDUP((C5*C8*C6/(C12-C10))^2,0)&lt;30,30,ROUNDUP((C5*C8*C6/(C12-C10))^2,0))</f>
        <v>46</v>
      </c>
    </row>
    <row r="14" spans="1:3">
      <c r="A14" s="147" t="s">
        <v>14</v>
      </c>
      <c r="B14" s="76" t="s">
        <v>15</v>
      </c>
      <c r="C14" s="117">
        <f>'Veľkosť vzorky – SRS'!I50</f>
        <v>792770.36999999976</v>
      </c>
    </row>
    <row r="15" spans="1:3">
      <c r="A15" s="147"/>
      <c r="B15" s="78" t="s">
        <v>16</v>
      </c>
      <c r="C15" s="117">
        <f>'Veľkosť vzorky – SRS'!K50</f>
        <v>19714.840000000004</v>
      </c>
    </row>
    <row r="16" spans="1:3">
      <c r="A16" s="147"/>
      <c r="B16" s="78" t="s">
        <v>17</v>
      </c>
      <c r="C16" s="117">
        <f>C15/C13</f>
        <v>428.58347826086964</v>
      </c>
    </row>
    <row r="17" spans="1:3">
      <c r="A17" s="147"/>
      <c r="B17" s="78" t="s">
        <v>18</v>
      </c>
      <c r="C17" s="117">
        <f>'Veľkosť vzorky – SRS'!K52</f>
        <v>1059.1937589133379</v>
      </c>
    </row>
    <row r="18" spans="1:3">
      <c r="A18" s="147"/>
      <c r="B18" s="78" t="s">
        <v>19</v>
      </c>
      <c r="C18" s="117">
        <f>'Veľkosť vzorky – SRS'!N52</f>
        <v>1178.6222853192921</v>
      </c>
    </row>
    <row r="19" spans="1:3">
      <c r="A19" s="148" t="s">
        <v>20</v>
      </c>
      <c r="B19" s="78" t="s">
        <v>21</v>
      </c>
      <c r="C19" s="117">
        <f>C5*C8*C17/SQRT(C13)</f>
        <v>134930.53419371229</v>
      </c>
    </row>
    <row r="20" spans="1:3">
      <c r="A20" s="149"/>
      <c r="B20" s="89" t="s">
        <v>22</v>
      </c>
      <c r="C20" s="122">
        <f>C19/C3</f>
        <v>1.497523084479749E-2</v>
      </c>
    </row>
    <row r="21" spans="1:3">
      <c r="A21" s="149"/>
      <c r="B21" s="78" t="s">
        <v>23</v>
      </c>
      <c r="C21" s="117">
        <f>C5*C8*C18/SQRT(C13)</f>
        <v>150144.51627236023</v>
      </c>
    </row>
    <row r="22" spans="1:3">
      <c r="A22" s="149"/>
      <c r="B22" s="89" t="s">
        <v>24</v>
      </c>
      <c r="C22" s="122">
        <f>C21/C3</f>
        <v>1.6663750756600978E-2</v>
      </c>
    </row>
    <row r="23" spans="1:3">
      <c r="A23" s="149"/>
      <c r="B23" s="78" t="s">
        <v>25</v>
      </c>
      <c r="C23" s="117">
        <f>C16*C5</f>
        <v>257150.08695652179</v>
      </c>
    </row>
    <row r="24" spans="1:3" s="102" customFormat="1" ht="15.75">
      <c r="A24" s="149"/>
      <c r="B24" s="87" t="s">
        <v>26</v>
      </c>
      <c r="C24" s="118">
        <f>C23+C19</f>
        <v>392080.62115023407</v>
      </c>
    </row>
    <row r="25" spans="1:3" ht="15.75">
      <c r="A25" s="149"/>
      <c r="B25" s="78" t="s">
        <v>27</v>
      </c>
      <c r="C25" s="123">
        <f>C23/C3</f>
        <v>2.8539736664832022E-2</v>
      </c>
    </row>
    <row r="26" spans="1:3" s="102" customFormat="1" ht="15.75">
      <c r="A26" s="149"/>
      <c r="B26" s="87" t="s">
        <v>28</v>
      </c>
      <c r="C26" s="123">
        <f>C24/C3</f>
        <v>4.3514967509629514E-2</v>
      </c>
    </row>
    <row r="27" spans="1:3">
      <c r="A27" s="149"/>
      <c r="B27" s="78" t="s">
        <v>29</v>
      </c>
      <c r="C27" s="117">
        <f>C15/C14*C3</f>
        <v>224069.40495852716</v>
      </c>
    </row>
    <row r="28" spans="1:3" s="102" customFormat="1" ht="15.75">
      <c r="A28" s="149"/>
      <c r="B28" s="90" t="s">
        <v>30</v>
      </c>
      <c r="C28" s="118">
        <f>C27+C21</f>
        <v>374213.92123088741</v>
      </c>
    </row>
    <row r="29" spans="1:3" ht="15.75">
      <c r="A29" s="149"/>
      <c r="B29" s="78" t="s">
        <v>31</v>
      </c>
      <c r="C29" s="123">
        <f>C27/C3</f>
        <v>2.4868285629797201E-2</v>
      </c>
    </row>
    <row r="30" spans="1:3" s="102" customFormat="1" ht="15.75">
      <c r="A30" s="150"/>
      <c r="B30" s="90" t="s">
        <v>32</v>
      </c>
      <c r="C30" s="123">
        <f>C28/C3</f>
        <v>4.1532036386398186E-2</v>
      </c>
    </row>
    <row r="31" spans="1:3" ht="15" customHeight="1">
      <c r="A31" s="106"/>
      <c r="C31" s="67"/>
    </row>
    <row r="32" spans="1:3" ht="15" customHeight="1">
      <c r="A32" s="106"/>
    </row>
    <row r="33" spans="1:1" ht="15" customHeight="1">
      <c r="A33" s="106"/>
    </row>
    <row r="34" spans="1:1" ht="15" customHeight="1">
      <c r="A34" s="106"/>
    </row>
    <row r="35" spans="1:1" ht="15" customHeight="1">
      <c r="A35" s="106"/>
    </row>
    <row r="36" spans="1:1" ht="15" customHeight="1">
      <c r="A36" s="106"/>
    </row>
    <row r="37" spans="1:1" ht="15" customHeight="1">
      <c r="A37" s="106"/>
    </row>
    <row r="38" spans="1:1" ht="15" customHeight="1">
      <c r="A38" s="106"/>
    </row>
    <row r="39" spans="1:1" ht="15" customHeight="1">
      <c r="A39" s="106"/>
    </row>
    <row r="40" spans="1:1" ht="15" customHeight="1">
      <c r="A40" s="106"/>
    </row>
    <row r="41" spans="1:1" ht="15" customHeight="1">
      <c r="A41" s="106"/>
    </row>
  </sheetData>
  <mergeCells count="4">
    <mergeCell ref="A3:A5"/>
    <mergeCell ref="A6:A13"/>
    <mergeCell ref="A14:A18"/>
    <mergeCell ref="A19:A30"/>
  </mergeCells>
  <pageMargins left="0.7" right="0.7" top="0.75" bottom="0.75" header="0.3" footer="0.3"/>
  <pageSetup paperSize="9" orientation="portrait" r:id="rId1"/>
  <ignoredErrors>
    <ignoredError sqref="C9 C14 C1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74"/>
  <sheetViews>
    <sheetView workbookViewId="0">
      <selection activeCell="L61" sqref="L61"/>
    </sheetView>
  </sheetViews>
  <sheetFormatPr defaultColWidth="9.140625" defaultRowHeight="12.75"/>
  <cols>
    <col min="1" max="5" width="9.140625" style="3"/>
    <col min="6" max="6" width="14.85546875" style="3" customWidth="1"/>
    <col min="7" max="7" width="18" style="3" customWidth="1"/>
    <col min="8" max="8" width="9.140625" style="3"/>
    <col min="9" max="9" width="15.5703125" style="3" customWidth="1"/>
    <col min="10" max="10" width="22.5703125" style="3" customWidth="1"/>
    <col min="11" max="11" width="15.140625" style="3" bestFit="1" customWidth="1"/>
    <col min="12" max="12" width="13.140625" style="3" bestFit="1" customWidth="1"/>
    <col min="13" max="13" width="9.140625" style="3"/>
    <col min="14" max="14" width="12.7109375" style="3" customWidth="1"/>
    <col min="15" max="15" width="14.140625" style="3" bestFit="1" customWidth="1"/>
    <col min="16" max="16" width="7.28515625" style="3" customWidth="1"/>
    <col min="17" max="17" width="9.140625" style="3"/>
    <col min="18" max="18" width="13.7109375" style="3" customWidth="1"/>
    <col min="19" max="16384" width="9.140625" style="3"/>
  </cols>
  <sheetData>
    <row r="1" spans="1:14" ht="13.5" thickBot="1">
      <c r="A1" s="21"/>
      <c r="B1" s="152" t="s">
        <v>33</v>
      </c>
      <c r="C1" s="153"/>
      <c r="D1" s="153"/>
      <c r="E1" s="153"/>
      <c r="F1" s="153"/>
      <c r="G1" s="153"/>
      <c r="H1" s="154"/>
      <c r="I1" s="155" t="s">
        <v>34</v>
      </c>
      <c r="J1" s="156"/>
      <c r="K1" s="156"/>
      <c r="L1" s="156"/>
      <c r="M1" s="157"/>
    </row>
    <row r="2" spans="1:14" ht="51">
      <c r="A2" s="20" t="s">
        <v>35</v>
      </c>
      <c r="B2" s="22" t="s">
        <v>36</v>
      </c>
      <c r="C2" s="111" t="s">
        <v>37</v>
      </c>
      <c r="D2" s="112" t="s">
        <v>38</v>
      </c>
      <c r="E2" s="113" t="s">
        <v>39</v>
      </c>
      <c r="F2" s="112" t="s">
        <v>40</v>
      </c>
      <c r="G2" s="112" t="s">
        <v>41</v>
      </c>
      <c r="H2" s="113" t="s">
        <v>42</v>
      </c>
      <c r="I2" s="114" t="s">
        <v>43</v>
      </c>
      <c r="J2" s="112" t="s">
        <v>44</v>
      </c>
      <c r="K2" s="112" t="s">
        <v>45</v>
      </c>
      <c r="L2" s="112" t="s">
        <v>46</v>
      </c>
      <c r="M2" s="112" t="s">
        <v>47</v>
      </c>
      <c r="N2" s="20" t="s">
        <v>48</v>
      </c>
    </row>
    <row r="3" spans="1:14" hidden="1">
      <c r="A3" s="20"/>
      <c r="C3" s="22"/>
      <c r="D3" s="20"/>
      <c r="E3" s="23" t="s">
        <v>59</v>
      </c>
      <c r="F3" s="20" t="s">
        <v>60</v>
      </c>
      <c r="G3" s="20" t="s">
        <v>61</v>
      </c>
      <c r="H3" s="23" t="s">
        <v>62</v>
      </c>
      <c r="I3" s="24" t="s">
        <v>63</v>
      </c>
      <c r="J3" s="20" t="s">
        <v>64</v>
      </c>
      <c r="K3" s="20" t="s">
        <v>65</v>
      </c>
      <c r="L3" s="20" t="s">
        <v>66</v>
      </c>
      <c r="M3" s="20" t="s">
        <v>67</v>
      </c>
      <c r="N3" s="20" t="s">
        <v>68</v>
      </c>
    </row>
    <row r="4" spans="1:14">
      <c r="A4" s="26">
        <v>1</v>
      </c>
      <c r="B4" s="27"/>
      <c r="C4" s="28"/>
      <c r="D4" s="27"/>
      <c r="E4" s="29"/>
      <c r="F4" s="27"/>
      <c r="G4" s="27"/>
      <c r="H4" s="29"/>
      <c r="I4" s="135">
        <v>13334.15</v>
      </c>
      <c r="J4" s="135">
        <v>10000</v>
      </c>
      <c r="K4" s="135">
        <f t="shared" ref="K4:K49" si="0">I4-J4</f>
        <v>3334.1499999999996</v>
      </c>
      <c r="L4" s="131">
        <f t="shared" ref="L4:L49" si="1">K4/I4</f>
        <v>0.25004593468650044</v>
      </c>
      <c r="M4" s="92">
        <v>0</v>
      </c>
      <c r="N4" s="127">
        <f t="shared" ref="N4:N49" si="2">K4-(SUM($K$4:$K$41)/SUM($I$4:$I$41))*I4</f>
        <v>2951.4627043467567</v>
      </c>
    </row>
    <row r="5" spans="1:14">
      <c r="A5" s="26">
        <v>2</v>
      </c>
      <c r="B5" s="27"/>
      <c r="C5" s="28"/>
      <c r="D5" s="27"/>
      <c r="E5" s="29"/>
      <c r="F5" s="27"/>
      <c r="G5" s="27"/>
      <c r="H5" s="29"/>
      <c r="I5" s="135">
        <v>23432</v>
      </c>
      <c r="J5" s="135">
        <v>23400</v>
      </c>
      <c r="K5" s="135">
        <f t="shared" si="0"/>
        <v>32</v>
      </c>
      <c r="L5" s="131">
        <f t="shared" si="1"/>
        <v>1.3656538067599864E-3</v>
      </c>
      <c r="M5" s="92">
        <v>0</v>
      </c>
      <c r="N5" s="127">
        <f t="shared" si="2"/>
        <v>-640.4934631563907</v>
      </c>
    </row>
    <row r="6" spans="1:14">
      <c r="A6" s="26">
        <v>3</v>
      </c>
      <c r="B6" s="27"/>
      <c r="C6" s="28"/>
      <c r="D6" s="27"/>
      <c r="E6" s="29"/>
      <c r="F6" s="27"/>
      <c r="G6" s="27"/>
      <c r="H6" s="29"/>
      <c r="I6" s="135">
        <v>9686.91</v>
      </c>
      <c r="J6" s="135">
        <v>9684.98</v>
      </c>
      <c r="K6" s="135">
        <f t="shared" si="0"/>
        <v>1.930000000000291</v>
      </c>
      <c r="L6" s="131">
        <f t="shared" si="1"/>
        <v>1.9923794068493371E-4</v>
      </c>
      <c r="M6" s="92">
        <v>0</v>
      </c>
      <c r="N6" s="127">
        <f t="shared" si="2"/>
        <v>-276.08227608331623</v>
      </c>
    </row>
    <row r="7" spans="1:14">
      <c r="A7" s="26">
        <v>4</v>
      </c>
      <c r="B7" s="27"/>
      <c r="C7" s="28"/>
      <c r="D7" s="27"/>
      <c r="E7" s="29"/>
      <c r="F7" s="27"/>
      <c r="G7" s="27"/>
      <c r="H7" s="33"/>
      <c r="I7" s="135">
        <v>19044.64</v>
      </c>
      <c r="J7" s="135">
        <v>19044.64</v>
      </c>
      <c r="K7" s="135">
        <f t="shared" si="0"/>
        <v>0</v>
      </c>
      <c r="L7" s="131">
        <f t="shared" si="1"/>
        <v>0</v>
      </c>
      <c r="M7" s="92">
        <v>0</v>
      </c>
      <c r="N7" s="127">
        <f t="shared" si="2"/>
        <v>-546.57715552094248</v>
      </c>
    </row>
    <row r="8" spans="1:14">
      <c r="A8" s="26">
        <v>5</v>
      </c>
      <c r="B8" s="27"/>
      <c r="C8" s="28"/>
      <c r="D8" s="27"/>
      <c r="E8" s="29"/>
      <c r="F8" s="27"/>
      <c r="G8" s="27"/>
      <c r="H8" s="33"/>
      <c r="I8" s="135">
        <v>6833.12</v>
      </c>
      <c r="J8" s="135">
        <v>6174.44</v>
      </c>
      <c r="K8" s="135">
        <f t="shared" si="0"/>
        <v>658.68000000000029</v>
      </c>
      <c r="L8" s="131">
        <f t="shared" si="1"/>
        <v>9.6395204533214734E-2</v>
      </c>
      <c r="M8" s="92">
        <v>0</v>
      </c>
      <c r="N8" s="127">
        <f t="shared" si="2"/>
        <v>462.57089565708475</v>
      </c>
    </row>
    <row r="9" spans="1:14">
      <c r="A9" s="26">
        <v>6</v>
      </c>
      <c r="B9" s="27"/>
      <c r="C9" s="28"/>
      <c r="D9" s="27"/>
      <c r="E9" s="29"/>
      <c r="F9" s="27"/>
      <c r="G9" s="27"/>
      <c r="H9" s="33"/>
      <c r="I9" s="135">
        <v>14331.96</v>
      </c>
      <c r="J9" s="135">
        <v>13895.57</v>
      </c>
      <c r="K9" s="135">
        <f t="shared" si="0"/>
        <v>436.38999999999942</v>
      </c>
      <c r="L9" s="131">
        <f t="shared" si="1"/>
        <v>3.0448731366819293E-2</v>
      </c>
      <c r="M9" s="92">
        <v>0</v>
      </c>
      <c r="N9" s="127">
        <f t="shared" si="2"/>
        <v>25.065767573451751</v>
      </c>
    </row>
    <row r="10" spans="1:14">
      <c r="A10" s="26">
        <v>7</v>
      </c>
      <c r="B10" s="27"/>
      <c r="C10" s="28"/>
      <c r="D10" s="27"/>
      <c r="E10" s="29"/>
      <c r="F10" s="27"/>
      <c r="G10" s="27"/>
      <c r="H10" s="33"/>
      <c r="I10" s="135">
        <v>8716.6</v>
      </c>
      <c r="J10" s="135">
        <v>8632.36</v>
      </c>
      <c r="K10" s="135">
        <f t="shared" si="0"/>
        <v>84.239999999999782</v>
      </c>
      <c r="L10" s="131">
        <f t="shared" si="1"/>
        <v>9.6643186563568108E-3</v>
      </c>
      <c r="M10" s="92">
        <v>0</v>
      </c>
      <c r="N10" s="127">
        <f t="shared" si="2"/>
        <v>-165.92458351608911</v>
      </c>
    </row>
    <row r="11" spans="1:14">
      <c r="A11" s="26">
        <v>8</v>
      </c>
      <c r="B11" s="27"/>
      <c r="C11" s="28"/>
      <c r="D11" s="27"/>
      <c r="E11" s="29"/>
      <c r="F11" s="27"/>
      <c r="G11" s="27"/>
      <c r="H11" s="33"/>
      <c r="I11" s="135">
        <v>2605.42</v>
      </c>
      <c r="J11" s="135">
        <v>0</v>
      </c>
      <c r="K11" s="135">
        <f t="shared" si="0"/>
        <v>2605.42</v>
      </c>
      <c r="L11" s="131">
        <f t="shared" si="1"/>
        <v>1</v>
      </c>
      <c r="M11" s="92">
        <v>0</v>
      </c>
      <c r="N11" s="127">
        <f t="shared" si="2"/>
        <v>2530.6449949309949</v>
      </c>
    </row>
    <row r="12" spans="1:14">
      <c r="A12" s="26">
        <v>9</v>
      </c>
      <c r="B12" s="27"/>
      <c r="C12" s="28"/>
      <c r="D12" s="27"/>
      <c r="E12" s="29"/>
      <c r="F12" s="27"/>
      <c r="G12" s="27"/>
      <c r="H12" s="33"/>
      <c r="I12" s="135">
        <v>12433.37</v>
      </c>
      <c r="J12" s="135">
        <v>9800</v>
      </c>
      <c r="K12" s="135">
        <f t="shared" si="0"/>
        <v>2633.3700000000008</v>
      </c>
      <c r="L12" s="131">
        <f t="shared" si="1"/>
        <v>0.21179857110340966</v>
      </c>
      <c r="M12" s="92">
        <v>0</v>
      </c>
      <c r="N12" s="127">
        <f t="shared" si="2"/>
        <v>2276.5349005631292</v>
      </c>
    </row>
    <row r="13" spans="1:14">
      <c r="A13" s="26">
        <v>10</v>
      </c>
      <c r="B13" s="27"/>
      <c r="C13" s="28"/>
      <c r="D13" s="27"/>
      <c r="E13" s="29"/>
      <c r="F13" s="27"/>
      <c r="G13" s="27"/>
      <c r="H13" s="33"/>
      <c r="I13" s="135">
        <v>11289.29</v>
      </c>
      <c r="J13" s="135">
        <v>11289.29</v>
      </c>
      <c r="K13" s="135">
        <f t="shared" si="0"/>
        <v>0</v>
      </c>
      <c r="L13" s="131">
        <f t="shared" si="1"/>
        <v>0</v>
      </c>
      <c r="M13" s="92">
        <v>0</v>
      </c>
      <c r="N13" s="127">
        <f t="shared" si="2"/>
        <v>-324.00024448091546</v>
      </c>
    </row>
    <row r="14" spans="1:14">
      <c r="A14" s="26">
        <v>11</v>
      </c>
      <c r="B14" s="27"/>
      <c r="C14" s="28"/>
      <c r="D14" s="27"/>
      <c r="E14" s="29"/>
      <c r="F14" s="27"/>
      <c r="G14" s="27"/>
      <c r="H14" s="33"/>
      <c r="I14" s="135">
        <v>7477.84</v>
      </c>
      <c r="J14" s="135">
        <v>3567</v>
      </c>
      <c r="K14" s="135">
        <f t="shared" si="0"/>
        <v>3910.84</v>
      </c>
      <c r="L14" s="131">
        <f t="shared" si="1"/>
        <v>0.52299059621494981</v>
      </c>
      <c r="M14" s="92">
        <v>0</v>
      </c>
      <c r="N14" s="127">
        <f t="shared" si="2"/>
        <v>3696.2275674919179</v>
      </c>
    </row>
    <row r="15" spans="1:14">
      <c r="A15" s="26">
        <v>12</v>
      </c>
      <c r="B15" s="27"/>
      <c r="C15" s="28"/>
      <c r="D15" s="27"/>
      <c r="E15" s="29"/>
      <c r="F15" s="27"/>
      <c r="G15" s="27"/>
      <c r="H15" s="33"/>
      <c r="I15" s="135">
        <v>23309.52</v>
      </c>
      <c r="J15" s="135">
        <v>23309.52</v>
      </c>
      <c r="K15" s="135">
        <f t="shared" si="0"/>
        <v>0</v>
      </c>
      <c r="L15" s="131">
        <f t="shared" si="1"/>
        <v>0</v>
      </c>
      <c r="M15" s="92">
        <v>0</v>
      </c>
      <c r="N15" s="127">
        <f t="shared" si="2"/>
        <v>-668.97831296146944</v>
      </c>
    </row>
    <row r="16" spans="1:14">
      <c r="A16" s="26">
        <v>13</v>
      </c>
      <c r="B16" s="27"/>
      <c r="C16" s="28"/>
      <c r="D16" s="27"/>
      <c r="E16" s="29"/>
      <c r="F16" s="27"/>
      <c r="G16" s="27"/>
      <c r="H16" s="33"/>
      <c r="I16" s="135">
        <v>9196.99</v>
      </c>
      <c r="J16" s="135">
        <v>9196.99</v>
      </c>
      <c r="K16" s="135">
        <f t="shared" si="0"/>
        <v>0</v>
      </c>
      <c r="L16" s="131">
        <f t="shared" si="1"/>
        <v>0</v>
      </c>
      <c r="M16" s="92">
        <v>0</v>
      </c>
      <c r="N16" s="127">
        <f t="shared" si="2"/>
        <v>-263.95167530363153</v>
      </c>
    </row>
    <row r="17" spans="1:14">
      <c r="A17" s="26">
        <v>14</v>
      </c>
      <c r="B17" s="27"/>
      <c r="C17" s="28"/>
      <c r="D17" s="27"/>
      <c r="E17" s="29"/>
      <c r="F17" s="27"/>
      <c r="G17" s="27"/>
      <c r="H17" s="33"/>
      <c r="I17" s="135">
        <v>72049.259999999995</v>
      </c>
      <c r="J17" s="135">
        <v>71900.289999999994</v>
      </c>
      <c r="K17" s="135">
        <f t="shared" si="0"/>
        <v>148.97000000000116</v>
      </c>
      <c r="L17" s="131">
        <f t="shared" si="1"/>
        <v>2.0676131857565389E-3</v>
      </c>
      <c r="M17" s="92">
        <v>0</v>
      </c>
      <c r="N17" s="127">
        <f t="shared" si="2"/>
        <v>-1918.8285820781489</v>
      </c>
    </row>
    <row r="18" spans="1:14">
      <c r="A18" s="26">
        <v>15</v>
      </c>
      <c r="B18" s="27"/>
      <c r="C18" s="28"/>
      <c r="D18" s="27"/>
      <c r="E18" s="29"/>
      <c r="F18" s="27"/>
      <c r="G18" s="27"/>
      <c r="H18" s="33"/>
      <c r="I18" s="135">
        <v>28493.52</v>
      </c>
      <c r="J18" s="135">
        <v>28069.22</v>
      </c>
      <c r="K18" s="135">
        <f t="shared" si="0"/>
        <v>424.29999999999927</v>
      </c>
      <c r="L18" s="131">
        <f t="shared" si="1"/>
        <v>1.4891105065292013E-2</v>
      </c>
      <c r="M18" s="92">
        <v>0</v>
      </c>
      <c r="N18" s="127">
        <f t="shared" si="2"/>
        <v>-393.45802075434869</v>
      </c>
    </row>
    <row r="19" spans="1:14">
      <c r="A19" s="26">
        <v>16</v>
      </c>
      <c r="B19" s="27"/>
      <c r="C19" s="28"/>
      <c r="D19" s="27"/>
      <c r="E19" s="29"/>
      <c r="F19" s="27"/>
      <c r="G19" s="27"/>
      <c r="H19" s="33"/>
      <c r="I19" s="135">
        <v>36855.919999999998</v>
      </c>
      <c r="J19" s="135">
        <v>36855.919999999998</v>
      </c>
      <c r="K19" s="135">
        <f t="shared" si="0"/>
        <v>0</v>
      </c>
      <c r="L19" s="131">
        <f t="shared" si="1"/>
        <v>0</v>
      </c>
      <c r="M19" s="92">
        <v>0</v>
      </c>
      <c r="N19" s="127">
        <f t="shared" si="2"/>
        <v>-1057.7571388961626</v>
      </c>
    </row>
    <row r="20" spans="1:14">
      <c r="A20" s="26">
        <v>17</v>
      </c>
      <c r="B20" s="27"/>
      <c r="C20" s="28"/>
      <c r="D20" s="27"/>
      <c r="E20" s="29"/>
      <c r="F20" s="27"/>
      <c r="G20" s="27"/>
      <c r="H20" s="33"/>
      <c r="I20" s="135">
        <v>14135.72</v>
      </c>
      <c r="J20" s="135">
        <v>9949.4</v>
      </c>
      <c r="K20" s="135">
        <f t="shared" si="0"/>
        <v>4186.32</v>
      </c>
      <c r="L20" s="131">
        <f t="shared" si="1"/>
        <v>0.29615187623976708</v>
      </c>
      <c r="M20" s="92">
        <v>0</v>
      </c>
      <c r="N20" s="127">
        <f t="shared" si="2"/>
        <v>3780.6278142280189</v>
      </c>
    </row>
    <row r="21" spans="1:14">
      <c r="A21" s="26">
        <v>18</v>
      </c>
      <c r="B21" s="27"/>
      <c r="C21" s="28"/>
      <c r="D21" s="27"/>
      <c r="E21" s="29"/>
      <c r="F21" s="35"/>
      <c r="G21" s="27"/>
      <c r="H21" s="33"/>
      <c r="I21" s="135">
        <v>14503.810000000001</v>
      </c>
      <c r="J21" s="135">
        <v>14491.740000000002</v>
      </c>
      <c r="K21" s="135">
        <f t="shared" si="0"/>
        <v>12.069999999999709</v>
      </c>
      <c r="L21" s="131">
        <f t="shared" si="1"/>
        <v>8.3219512665980231E-4</v>
      </c>
      <c r="M21" s="92">
        <v>0</v>
      </c>
      <c r="N21" s="127">
        <f t="shared" si="2"/>
        <v>-404.18629121979762</v>
      </c>
    </row>
    <row r="22" spans="1:14">
      <c r="A22" s="26">
        <v>19</v>
      </c>
      <c r="B22" s="27"/>
      <c r="C22" s="28"/>
      <c r="D22" s="27"/>
      <c r="E22" s="29"/>
      <c r="F22" s="27"/>
      <c r="G22" s="27"/>
      <c r="H22" s="33"/>
      <c r="I22" s="135">
        <v>49296.34</v>
      </c>
      <c r="J22" s="135">
        <v>48956.77</v>
      </c>
      <c r="K22" s="135">
        <f t="shared" si="0"/>
        <v>339.56999999999971</v>
      </c>
      <c r="L22" s="131">
        <f t="shared" si="1"/>
        <v>6.8883410005692054E-3</v>
      </c>
      <c r="M22" s="92">
        <v>0</v>
      </c>
      <c r="N22" s="127">
        <f t="shared" si="2"/>
        <v>-1075.2245718476831</v>
      </c>
    </row>
    <row r="23" spans="1:14">
      <c r="A23" s="26">
        <v>20</v>
      </c>
      <c r="B23" s="27"/>
      <c r="C23" s="28"/>
      <c r="D23" s="27"/>
      <c r="E23" s="29"/>
      <c r="F23" s="27"/>
      <c r="G23" s="27"/>
      <c r="H23" s="33"/>
      <c r="I23" s="135">
        <v>30076.95</v>
      </c>
      <c r="J23" s="135">
        <v>30076.95</v>
      </c>
      <c r="K23" s="135">
        <f t="shared" si="0"/>
        <v>0</v>
      </c>
      <c r="L23" s="131">
        <f t="shared" si="1"/>
        <v>0</v>
      </c>
      <c r="M23" s="92">
        <v>0</v>
      </c>
      <c r="N23" s="127">
        <f t="shared" si="2"/>
        <v>-863.20212814448644</v>
      </c>
    </row>
    <row r="24" spans="1:14">
      <c r="A24" s="26">
        <v>21</v>
      </c>
      <c r="B24" s="27"/>
      <c r="C24" s="28"/>
      <c r="D24" s="27"/>
      <c r="E24" s="29"/>
      <c r="F24" s="27"/>
      <c r="G24" s="27"/>
      <c r="H24" s="33"/>
      <c r="I24" s="135">
        <v>9145.64</v>
      </c>
      <c r="J24" s="135">
        <v>9145.64</v>
      </c>
      <c r="K24" s="135">
        <f t="shared" si="0"/>
        <v>0</v>
      </c>
      <c r="L24" s="131">
        <f t="shared" si="1"/>
        <v>0</v>
      </c>
      <c r="M24" s="92">
        <v>0</v>
      </c>
      <c r="N24" s="127">
        <f t="shared" si="2"/>
        <v>-262.47794112246555</v>
      </c>
    </row>
    <row r="25" spans="1:14">
      <c r="A25" s="26">
        <v>22</v>
      </c>
      <c r="B25" s="27"/>
      <c r="C25" s="28"/>
      <c r="D25" s="33"/>
      <c r="E25" s="33"/>
      <c r="F25" s="33"/>
      <c r="G25" s="33"/>
      <c r="H25" s="33"/>
      <c r="I25" s="135">
        <v>21180.83</v>
      </c>
      <c r="J25" s="135">
        <v>21180.83</v>
      </c>
      <c r="K25" s="135">
        <f t="shared" si="0"/>
        <v>0</v>
      </c>
      <c r="L25" s="131">
        <f t="shared" si="1"/>
        <v>0</v>
      </c>
      <c r="M25" s="92">
        <v>0</v>
      </c>
      <c r="N25" s="127">
        <f t="shared" si="2"/>
        <v>-607.88535845112563</v>
      </c>
    </row>
    <row r="26" spans="1:14">
      <c r="A26" s="26">
        <v>23</v>
      </c>
      <c r="B26" s="27"/>
      <c r="C26" s="28"/>
      <c r="D26" s="33"/>
      <c r="E26" s="33"/>
      <c r="F26" s="33"/>
      <c r="G26" s="33"/>
      <c r="H26" s="33"/>
      <c r="I26" s="135">
        <v>30747.989999999998</v>
      </c>
      <c r="J26" s="135">
        <v>30747.989999999998</v>
      </c>
      <c r="K26" s="135">
        <f t="shared" si="0"/>
        <v>0</v>
      </c>
      <c r="L26" s="131">
        <f t="shared" si="1"/>
        <v>0</v>
      </c>
      <c r="M26" s="92">
        <v>0</v>
      </c>
      <c r="N26" s="127">
        <f t="shared" si="2"/>
        <v>-882.46083476434228</v>
      </c>
    </row>
    <row r="27" spans="1:14">
      <c r="A27" s="26">
        <v>24</v>
      </c>
      <c r="B27" s="27"/>
      <c r="C27" s="28"/>
      <c r="D27" s="33"/>
      <c r="E27" s="33"/>
      <c r="F27" s="33"/>
      <c r="G27" s="33"/>
      <c r="H27" s="33"/>
      <c r="I27" s="135">
        <v>7644.66</v>
      </c>
      <c r="J27" s="135">
        <v>7644.66</v>
      </c>
      <c r="K27" s="135">
        <f t="shared" si="0"/>
        <v>0</v>
      </c>
      <c r="L27" s="131">
        <f t="shared" si="1"/>
        <v>0</v>
      </c>
      <c r="M27" s="92">
        <v>0</v>
      </c>
      <c r="N27" s="127">
        <f t="shared" si="2"/>
        <v>-219.40013136109312</v>
      </c>
    </row>
    <row r="28" spans="1:14">
      <c r="A28" s="26">
        <v>25</v>
      </c>
      <c r="B28" s="27"/>
      <c r="C28" s="28"/>
      <c r="D28" s="33"/>
      <c r="E28" s="33"/>
      <c r="F28" s="33"/>
      <c r="G28" s="33"/>
      <c r="H28" s="33"/>
      <c r="I28" s="135">
        <v>19531.77</v>
      </c>
      <c r="J28" s="135">
        <v>19531.77</v>
      </c>
      <c r="K28" s="135">
        <f t="shared" si="0"/>
        <v>0</v>
      </c>
      <c r="L28" s="131">
        <f t="shared" si="1"/>
        <v>0</v>
      </c>
      <c r="M28" s="92">
        <v>0</v>
      </c>
      <c r="N28" s="127">
        <f t="shared" si="2"/>
        <v>-560.55768388844729</v>
      </c>
    </row>
    <row r="29" spans="1:14">
      <c r="A29" s="26">
        <v>26</v>
      </c>
      <c r="B29" s="27"/>
      <c r="C29" s="28"/>
      <c r="D29" s="33"/>
      <c r="E29" s="33"/>
      <c r="F29" s="33"/>
      <c r="G29" s="33"/>
      <c r="H29" s="33"/>
      <c r="I29" s="135">
        <v>9938.1200000000008</v>
      </c>
      <c r="J29" s="135">
        <v>9938.1200000000008</v>
      </c>
      <c r="K29" s="135">
        <f t="shared" si="0"/>
        <v>0</v>
      </c>
      <c r="L29" s="131">
        <f t="shared" si="1"/>
        <v>0</v>
      </c>
      <c r="M29" s="92">
        <v>0</v>
      </c>
      <c r="N29" s="127">
        <f t="shared" si="2"/>
        <v>-285.22195015635839</v>
      </c>
    </row>
    <row r="30" spans="1:14">
      <c r="A30" s="26">
        <v>27</v>
      </c>
      <c r="B30" s="27"/>
      <c r="C30" s="28"/>
      <c r="D30" s="33"/>
      <c r="E30" s="33"/>
      <c r="F30" s="33"/>
      <c r="G30" s="33"/>
      <c r="H30" s="33"/>
      <c r="I30" s="135">
        <v>22613.43</v>
      </c>
      <c r="J30" s="135">
        <v>22613.43</v>
      </c>
      <c r="K30" s="135">
        <f t="shared" si="0"/>
        <v>0</v>
      </c>
      <c r="L30" s="131">
        <f t="shared" si="1"/>
        <v>0</v>
      </c>
      <c r="M30" s="92">
        <v>0</v>
      </c>
      <c r="N30" s="127">
        <f t="shared" si="2"/>
        <v>-649.00067661935043</v>
      </c>
    </row>
    <row r="31" spans="1:14">
      <c r="A31" s="26">
        <v>28</v>
      </c>
      <c r="B31" s="27"/>
      <c r="C31" s="28"/>
      <c r="D31" s="33"/>
      <c r="E31" s="33"/>
      <c r="F31" s="33"/>
      <c r="G31" s="33"/>
      <c r="H31" s="33"/>
      <c r="I31" s="135">
        <v>36360.47</v>
      </c>
      <c r="J31" s="135">
        <v>36360.47</v>
      </c>
      <c r="K31" s="135">
        <f t="shared" si="0"/>
        <v>0</v>
      </c>
      <c r="L31" s="131">
        <f t="shared" si="1"/>
        <v>0</v>
      </c>
      <c r="M31" s="92">
        <v>0</v>
      </c>
      <c r="N31" s="127">
        <f t="shared" si="2"/>
        <v>-1043.537828281583</v>
      </c>
    </row>
    <row r="32" spans="1:14">
      <c r="A32" s="26">
        <v>29</v>
      </c>
      <c r="B32" s="36"/>
      <c r="C32" s="37"/>
      <c r="D32" s="38"/>
      <c r="E32" s="38"/>
      <c r="F32" s="38"/>
      <c r="G32" s="38"/>
      <c r="H32" s="38"/>
      <c r="I32" s="135">
        <v>7084.99</v>
      </c>
      <c r="J32" s="135">
        <v>7002.67</v>
      </c>
      <c r="K32" s="135">
        <f t="shared" si="0"/>
        <v>82.319999999999709</v>
      </c>
      <c r="L32" s="132">
        <f t="shared" si="1"/>
        <v>1.1618929596230865E-2</v>
      </c>
      <c r="M32" s="93">
        <v>0</v>
      </c>
      <c r="N32" s="127">
        <f t="shared" si="2"/>
        <v>-121.0177202769035</v>
      </c>
    </row>
    <row r="33" spans="1:14">
      <c r="A33" s="26">
        <v>30</v>
      </c>
      <c r="B33" s="41"/>
      <c r="C33" s="42"/>
      <c r="D33" s="43"/>
      <c r="E33" s="43"/>
      <c r="F33" s="43"/>
      <c r="G33" s="43"/>
      <c r="H33" s="48"/>
      <c r="I33" s="135">
        <v>9968.7999999999993</v>
      </c>
      <c r="J33" s="135">
        <v>9968.7999999999993</v>
      </c>
      <c r="K33" s="135">
        <f t="shared" si="0"/>
        <v>0</v>
      </c>
      <c r="L33" s="132">
        <f t="shared" si="1"/>
        <v>0</v>
      </c>
      <c r="M33" s="93">
        <v>0</v>
      </c>
      <c r="N33" s="127">
        <f t="shared" si="2"/>
        <v>-286.10245969244738</v>
      </c>
    </row>
    <row r="34" spans="1:14">
      <c r="A34" s="26">
        <v>31</v>
      </c>
      <c r="B34" s="94"/>
      <c r="C34" s="95"/>
      <c r="D34" s="33"/>
      <c r="E34" s="33"/>
      <c r="F34" s="43"/>
      <c r="G34" s="43"/>
      <c r="H34" s="96"/>
      <c r="I34" s="135">
        <v>7681.1</v>
      </c>
      <c r="J34" s="135">
        <v>7681.1</v>
      </c>
      <c r="K34" s="135">
        <f t="shared" si="0"/>
        <v>0</v>
      </c>
      <c r="L34" s="133">
        <f t="shared" si="1"/>
        <v>0</v>
      </c>
      <c r="M34" s="97">
        <v>0</v>
      </c>
      <c r="N34" s="127">
        <f t="shared" si="2"/>
        <v>-220.44595168361869</v>
      </c>
    </row>
    <row r="35" spans="1:14">
      <c r="A35" s="26">
        <v>32</v>
      </c>
      <c r="B35" s="41"/>
      <c r="C35" s="42"/>
      <c r="D35" s="43"/>
      <c r="E35" s="43"/>
      <c r="F35" s="43"/>
      <c r="G35" s="4"/>
      <c r="H35" s="48"/>
      <c r="I35" s="135">
        <v>8490.33</v>
      </c>
      <c r="J35" s="135">
        <v>8450.51</v>
      </c>
      <c r="K35" s="135">
        <f t="shared" si="0"/>
        <v>39.819999999999709</v>
      </c>
      <c r="L35" s="133">
        <f t="shared" si="1"/>
        <v>4.6900414942646178E-3</v>
      </c>
      <c r="M35" s="97">
        <v>0</v>
      </c>
      <c r="N35" s="127">
        <f t="shared" si="2"/>
        <v>-203.85068218848605</v>
      </c>
    </row>
    <row r="36" spans="1:14">
      <c r="A36" s="26">
        <v>33</v>
      </c>
      <c r="B36" s="41"/>
      <c r="C36" s="42"/>
      <c r="D36" s="43"/>
      <c r="E36" s="43"/>
      <c r="F36" s="43"/>
      <c r="G36" s="43"/>
      <c r="H36" s="29"/>
      <c r="I36" s="135">
        <v>12452.09</v>
      </c>
      <c r="J36" s="135">
        <v>12452.09</v>
      </c>
      <c r="K36" s="135">
        <f t="shared" si="0"/>
        <v>0</v>
      </c>
      <c r="L36" s="133">
        <f t="shared" si="1"/>
        <v>0</v>
      </c>
      <c r="M36" s="97">
        <v>0</v>
      </c>
      <c r="N36" s="127">
        <f t="shared" si="2"/>
        <v>-357.37235949279022</v>
      </c>
    </row>
    <row r="37" spans="1:14">
      <c r="A37" s="26">
        <v>34</v>
      </c>
      <c r="B37" s="41"/>
      <c r="C37" s="42"/>
      <c r="D37" s="43"/>
      <c r="E37" s="43"/>
      <c r="F37" s="43"/>
      <c r="G37" s="43"/>
      <c r="H37" s="98"/>
      <c r="I37" s="135">
        <v>7687.86</v>
      </c>
      <c r="J37" s="135">
        <v>7687.86</v>
      </c>
      <c r="K37" s="135">
        <f t="shared" si="0"/>
        <v>0</v>
      </c>
      <c r="L37" s="133">
        <f t="shared" si="1"/>
        <v>0</v>
      </c>
      <c r="M37" s="97">
        <v>0</v>
      </c>
      <c r="N37" s="127">
        <f t="shared" si="2"/>
        <v>-220.63996225936708</v>
      </c>
    </row>
    <row r="38" spans="1:14">
      <c r="A38" s="26">
        <v>35</v>
      </c>
      <c r="B38" s="41"/>
      <c r="C38" s="42"/>
      <c r="D38" s="43"/>
      <c r="E38" s="43"/>
      <c r="F38" s="43"/>
      <c r="G38" s="43"/>
      <c r="H38" s="29"/>
      <c r="I38" s="135">
        <v>14944.65</v>
      </c>
      <c r="J38" s="135">
        <v>14944.65</v>
      </c>
      <c r="K38" s="135">
        <f t="shared" si="0"/>
        <v>0</v>
      </c>
      <c r="L38" s="133">
        <f t="shared" si="1"/>
        <v>0</v>
      </c>
      <c r="M38" s="97">
        <v>0</v>
      </c>
      <c r="N38" s="127">
        <f t="shared" si="2"/>
        <v>-428.90830634005437</v>
      </c>
    </row>
    <row r="39" spans="1:14">
      <c r="A39" s="26">
        <v>36</v>
      </c>
      <c r="B39" s="41"/>
      <c r="C39" s="42"/>
      <c r="D39" s="43"/>
      <c r="E39" s="43"/>
      <c r="F39" s="43"/>
      <c r="G39" s="43"/>
      <c r="H39" s="43"/>
      <c r="I39" s="135">
        <v>22658.67</v>
      </c>
      <c r="J39" s="135">
        <v>22562.309999999998</v>
      </c>
      <c r="K39" s="135">
        <f t="shared" si="0"/>
        <v>96.360000000000582</v>
      </c>
      <c r="L39" s="133">
        <f t="shared" si="1"/>
        <v>4.2526767899440081E-3</v>
      </c>
      <c r="M39" s="97">
        <v>0</v>
      </c>
      <c r="N39" s="127">
        <f t="shared" si="2"/>
        <v>-553.93905508782007</v>
      </c>
    </row>
    <row r="40" spans="1:14">
      <c r="A40" s="26">
        <v>37</v>
      </c>
      <c r="B40" s="41"/>
      <c r="C40" s="42"/>
      <c r="D40" s="43"/>
      <c r="E40" s="43"/>
      <c r="F40" s="43"/>
      <c r="G40" s="43"/>
      <c r="H40" s="43"/>
      <c r="I40" s="135">
        <v>3822.11</v>
      </c>
      <c r="J40" s="135">
        <v>3822.11</v>
      </c>
      <c r="K40" s="135">
        <f t="shared" si="0"/>
        <v>0</v>
      </c>
      <c r="L40" s="133">
        <f t="shared" si="1"/>
        <v>0</v>
      </c>
      <c r="M40" s="97">
        <v>0</v>
      </c>
      <c r="N40" s="127">
        <f t="shared" si="2"/>
        <v>-109.69375172689794</v>
      </c>
    </row>
    <row r="41" spans="1:14">
      <c r="A41" s="26">
        <v>38</v>
      </c>
      <c r="B41" s="45"/>
      <c r="C41" s="46"/>
      <c r="D41" s="47"/>
      <c r="E41" s="47"/>
      <c r="F41" s="47"/>
      <c r="G41" s="47"/>
      <c r="H41" s="47"/>
      <c r="I41" s="135">
        <v>4169.9799999999996</v>
      </c>
      <c r="J41" s="135">
        <v>4162.2599999999993</v>
      </c>
      <c r="K41" s="135">
        <f t="shared" si="0"/>
        <v>7.7200000000002547</v>
      </c>
      <c r="L41" s="133">
        <f t="shared" si="1"/>
        <v>1.8513278241143257E-3</v>
      </c>
      <c r="M41" s="97">
        <v>0</v>
      </c>
      <c r="N41" s="127">
        <f t="shared" si="2"/>
        <v>-111.95754743482757</v>
      </c>
    </row>
    <row r="42" spans="1:14">
      <c r="A42" s="26">
        <v>39</v>
      </c>
      <c r="B42" s="41"/>
      <c r="C42" s="42"/>
      <c r="D42" s="43"/>
      <c r="E42" s="43"/>
      <c r="F42" s="43"/>
      <c r="G42" s="43"/>
      <c r="H42" s="48"/>
      <c r="I42" s="135">
        <v>7210.08</v>
      </c>
      <c r="J42" s="135">
        <v>7191.38</v>
      </c>
      <c r="K42" s="135">
        <f t="shared" si="0"/>
        <v>18.699999999999818</v>
      </c>
      <c r="L42" s="131">
        <f t="shared" si="1"/>
        <v>2.5935911945498273E-3</v>
      </c>
      <c r="M42" s="97">
        <v>0</v>
      </c>
      <c r="N42" s="127">
        <f t="shared" si="2"/>
        <v>-188.22777692192872</v>
      </c>
    </row>
    <row r="43" spans="1:14">
      <c r="A43" s="26">
        <v>40</v>
      </c>
      <c r="B43" s="41"/>
      <c r="C43" s="42"/>
      <c r="D43" s="43"/>
      <c r="E43" s="43"/>
      <c r="F43" s="43"/>
      <c r="G43" s="43"/>
      <c r="H43" s="48"/>
      <c r="I43" s="135">
        <v>7654.74</v>
      </c>
      <c r="J43" s="135">
        <v>7654.74</v>
      </c>
      <c r="K43" s="135">
        <f t="shared" si="0"/>
        <v>0</v>
      </c>
      <c r="L43" s="131">
        <f t="shared" si="1"/>
        <v>0</v>
      </c>
      <c r="M43" s="52"/>
      <c r="N43" s="127">
        <f t="shared" si="2"/>
        <v>-219.68942523735703</v>
      </c>
    </row>
    <row r="44" spans="1:14">
      <c r="A44" s="26">
        <v>41</v>
      </c>
      <c r="B44" s="41"/>
      <c r="C44" s="42"/>
      <c r="D44" s="43"/>
      <c r="E44" s="43"/>
      <c r="F44" s="43"/>
      <c r="G44" s="43"/>
      <c r="H44" s="48"/>
      <c r="I44" s="135">
        <v>25352.36</v>
      </c>
      <c r="J44" s="135">
        <v>25231.89</v>
      </c>
      <c r="K44" s="135">
        <f t="shared" si="0"/>
        <v>120.47000000000116</v>
      </c>
      <c r="L44" s="131">
        <f t="shared" si="1"/>
        <v>4.7518258655210466E-3</v>
      </c>
      <c r="M44" s="52"/>
      <c r="N44" s="127">
        <f t="shared" si="2"/>
        <v>-607.13739055938572</v>
      </c>
    </row>
    <row r="45" spans="1:14">
      <c r="A45" s="26">
        <v>42</v>
      </c>
      <c r="B45" s="41"/>
      <c r="C45" s="42"/>
      <c r="D45" s="43"/>
      <c r="E45" s="43"/>
      <c r="F45" s="43"/>
      <c r="G45" s="43"/>
      <c r="H45" s="48"/>
      <c r="I45" s="135">
        <v>14289.79</v>
      </c>
      <c r="J45" s="135">
        <v>14289.79</v>
      </c>
      <c r="K45" s="135">
        <f t="shared" si="0"/>
        <v>0</v>
      </c>
      <c r="L45" s="131">
        <f t="shared" si="1"/>
        <v>0</v>
      </c>
      <c r="M45" s="52"/>
      <c r="N45" s="127">
        <f t="shared" si="2"/>
        <v>-410.11396231126497</v>
      </c>
    </row>
    <row r="46" spans="1:14">
      <c r="A46" s="26">
        <v>43</v>
      </c>
      <c r="B46" s="41"/>
      <c r="C46" s="42"/>
      <c r="D46" s="43"/>
      <c r="E46" s="43"/>
      <c r="F46" s="43"/>
      <c r="G46" s="43"/>
      <c r="H46" s="48"/>
      <c r="I46" s="135">
        <v>23033.45</v>
      </c>
      <c r="J46" s="135">
        <v>23033.45</v>
      </c>
      <c r="K46" s="135">
        <f t="shared" si="0"/>
        <v>0</v>
      </c>
      <c r="L46" s="131">
        <f t="shared" si="1"/>
        <v>0</v>
      </c>
      <c r="M46" s="52"/>
      <c r="N46" s="127">
        <f t="shared" si="2"/>
        <v>-661.05516212613384</v>
      </c>
    </row>
    <row r="47" spans="1:14">
      <c r="A47" s="26">
        <v>44</v>
      </c>
      <c r="B47" s="41"/>
      <c r="C47" s="42"/>
      <c r="D47" s="43"/>
      <c r="E47" s="43"/>
      <c r="F47" s="43"/>
      <c r="G47" s="43"/>
      <c r="H47" s="48"/>
      <c r="I47" s="135">
        <v>14266.32</v>
      </c>
      <c r="J47" s="135">
        <v>14266</v>
      </c>
      <c r="K47" s="135">
        <f t="shared" si="0"/>
        <v>0.31999999999970896</v>
      </c>
      <c r="L47" s="131">
        <f t="shared" si="1"/>
        <v>2.2430451581046056E-5</v>
      </c>
      <c r="M47" s="52"/>
      <c r="N47" s="127">
        <f t="shared" si="2"/>
        <v>-409.12037825611498</v>
      </c>
    </row>
    <row r="48" spans="1:14">
      <c r="A48" s="26">
        <v>45</v>
      </c>
      <c r="B48" s="45"/>
      <c r="C48" s="46"/>
      <c r="D48" s="47"/>
      <c r="E48" s="47"/>
      <c r="F48" s="47"/>
      <c r="G48" s="47"/>
      <c r="H48" s="49"/>
      <c r="I48" s="135">
        <v>13340.88</v>
      </c>
      <c r="J48" s="135">
        <v>12800</v>
      </c>
      <c r="K48" s="135">
        <f t="shared" si="0"/>
        <v>540.8799999999992</v>
      </c>
      <c r="L48" s="133">
        <f t="shared" si="1"/>
        <v>4.0543052632210114E-2</v>
      </c>
      <c r="M48" s="99"/>
      <c r="N48" s="127">
        <f t="shared" si="2"/>
        <v>157.99955476468728</v>
      </c>
    </row>
    <row r="49" spans="1:18">
      <c r="A49" s="26">
        <v>46</v>
      </c>
      <c r="B49" s="41"/>
      <c r="C49" s="42"/>
      <c r="D49" s="43"/>
      <c r="E49" s="43"/>
      <c r="F49" s="43"/>
      <c r="G49" s="43"/>
      <c r="H49" s="48"/>
      <c r="I49" s="135">
        <v>24395.93</v>
      </c>
      <c r="J49" s="135">
        <v>24395.93</v>
      </c>
      <c r="K49" s="135">
        <f t="shared" si="0"/>
        <v>0</v>
      </c>
      <c r="L49" s="131">
        <f t="shared" si="1"/>
        <v>0</v>
      </c>
      <c r="M49" s="52"/>
      <c r="N49" s="127">
        <f t="shared" si="2"/>
        <v>-700.1580510678084</v>
      </c>
    </row>
    <row r="50" spans="1:18" s="1" customFormat="1">
      <c r="A50" s="124">
        <f>A49/G57</f>
        <v>7.6666666666666661E-2</v>
      </c>
      <c r="B50" s="10"/>
      <c r="C50" s="11"/>
      <c r="D50" s="12"/>
      <c r="E50" s="12"/>
      <c r="F50" s="12"/>
      <c r="G50" s="125">
        <f>I50/G54</f>
        <v>8.7985416856214749E-2</v>
      </c>
      <c r="H50" s="53"/>
      <c r="I50" s="129">
        <f>SUM(I4:I49)</f>
        <v>792770.36999999976</v>
      </c>
      <c r="J50" s="129">
        <f>SUM(J4:J49)</f>
        <v>773055.53</v>
      </c>
      <c r="K50" s="129">
        <f>SUM(K4:K49)</f>
        <v>19714.840000000004</v>
      </c>
      <c r="L50" s="100"/>
      <c r="M50" s="2"/>
      <c r="N50" s="134"/>
    </row>
    <row r="51" spans="1:18">
      <c r="A51" s="56"/>
      <c r="B51" s="56"/>
      <c r="C51" s="57"/>
      <c r="D51" s="58"/>
      <c r="E51" s="58"/>
      <c r="F51" s="58"/>
      <c r="G51" s="58"/>
      <c r="H51" s="53" t="s">
        <v>49</v>
      </c>
      <c r="I51" s="59"/>
      <c r="J51" s="3" t="s">
        <v>50</v>
      </c>
      <c r="K51" s="130">
        <f>STDEV(K4:K33)</f>
        <v>1269.2803135925801</v>
      </c>
      <c r="L51" s="101"/>
      <c r="M51" s="61"/>
      <c r="O51" s="62"/>
      <c r="P51" s="64"/>
    </row>
    <row r="52" spans="1:18">
      <c r="J52" s="3" t="s">
        <v>51</v>
      </c>
      <c r="K52" s="130">
        <f>STDEV(K3:K49)</f>
        <v>1059.1937589133379</v>
      </c>
      <c r="N52" s="130">
        <f>STDEV(N4:N49)</f>
        <v>1178.6222853192921</v>
      </c>
    </row>
    <row r="53" spans="1:18">
      <c r="K53" s="60"/>
      <c r="N53" s="60"/>
    </row>
    <row r="54" spans="1:18" ht="50.25" customHeight="1">
      <c r="E54" s="158" t="s">
        <v>52</v>
      </c>
      <c r="F54" s="159"/>
      <c r="G54" s="128">
        <v>9010247.3606000002</v>
      </c>
      <c r="M54" s="158"/>
      <c r="N54" s="158"/>
      <c r="O54" s="62"/>
    </row>
    <row r="55" spans="1:18">
      <c r="E55" s="151" t="s">
        <v>53</v>
      </c>
      <c r="F55" s="151"/>
      <c r="G55" s="127">
        <f>2%*G54</f>
        <v>180204.947212</v>
      </c>
      <c r="J55" s="64"/>
      <c r="M55" s="151"/>
      <c r="N55" s="151"/>
      <c r="O55" s="62"/>
    </row>
    <row r="56" spans="1:18">
      <c r="E56" s="151" t="s">
        <v>54</v>
      </c>
      <c r="F56" s="151"/>
      <c r="G56" s="127">
        <f>10%*G55</f>
        <v>18020.494721200001</v>
      </c>
      <c r="M56" s="151"/>
      <c r="N56" s="151"/>
      <c r="O56" s="62"/>
    </row>
    <row r="57" spans="1:18">
      <c r="E57" s="151" t="s">
        <v>55</v>
      </c>
      <c r="F57" s="151"/>
      <c r="G57" s="3">
        <v>600</v>
      </c>
      <c r="I57" s="1" t="s">
        <v>56</v>
      </c>
      <c r="J57" s="1"/>
      <c r="M57" s="151"/>
      <c r="N57" s="151"/>
    </row>
    <row r="58" spans="1:18">
      <c r="E58" s="151" t="s">
        <v>57</v>
      </c>
      <c r="F58" s="151"/>
      <c r="G58" s="3">
        <f>'Hodnoty z'!B7</f>
        <v>1.44</v>
      </c>
      <c r="I58" s="1" t="s">
        <v>58</v>
      </c>
      <c r="J58" s="13">
        <f>ROUNDUP(((G57*K51*G58)/(G55-G56))^2,0)</f>
        <v>46</v>
      </c>
      <c r="M58" s="151"/>
      <c r="N58" s="151"/>
      <c r="R58" s="13"/>
    </row>
    <row r="59" spans="1:18">
      <c r="K59" s="64"/>
    </row>
    <row r="61" spans="1:18">
      <c r="G61" s="64"/>
      <c r="I61" s="5"/>
      <c r="L61" s="1"/>
    </row>
    <row r="62" spans="1:18">
      <c r="J62" s="62"/>
      <c r="L62" s="64"/>
    </row>
    <row r="63" spans="1:18">
      <c r="G63" s="62"/>
    </row>
    <row r="64" spans="1:18">
      <c r="G64" s="66"/>
    </row>
    <row r="65" spans="9:12">
      <c r="I65" s="5"/>
      <c r="J65" s="62"/>
      <c r="L65" s="64"/>
    </row>
    <row r="69" spans="9:12">
      <c r="I69" s="5"/>
    </row>
    <row r="70" spans="9:12">
      <c r="J70" s="64"/>
    </row>
    <row r="73" spans="9:12">
      <c r="I73" s="5"/>
    </row>
    <row r="74" spans="9:12">
      <c r="J74" s="64"/>
    </row>
  </sheetData>
  <mergeCells count="12">
    <mergeCell ref="E58:F58"/>
    <mergeCell ref="B1:H1"/>
    <mergeCell ref="I1:M1"/>
    <mergeCell ref="E54:F54"/>
    <mergeCell ref="E55:F55"/>
    <mergeCell ref="E56:F56"/>
    <mergeCell ref="E57:F57"/>
    <mergeCell ref="M54:N54"/>
    <mergeCell ref="M55:N55"/>
    <mergeCell ref="M56:N56"/>
    <mergeCell ref="M57:N57"/>
    <mergeCell ref="M58:N58"/>
  </mergeCells>
  <conditionalFormatting sqref="M18:M31 I4:M4 I5:I8 I18:I33 L18:L33 J5:J33 I51 L51 I50:L50 L42:L49 L5:M17 K5:K49 I42:J49">
    <cfRule type="expression" dxfId="19" priority="16" stopIfTrue="1">
      <formula>$L4="No"</formula>
    </cfRule>
  </conditionalFormatting>
  <conditionalFormatting sqref="I9:I17">
    <cfRule type="expression" dxfId="18" priority="14" stopIfTrue="1">
      <formula>$L9="No"</formula>
    </cfRule>
  </conditionalFormatting>
  <conditionalFormatting sqref="K51">
    <cfRule type="expression" dxfId="17" priority="10" stopIfTrue="1">
      <formula>$L52="No"</formula>
    </cfRule>
  </conditionalFormatting>
  <conditionalFormatting sqref="I34:I35">
    <cfRule type="expression" dxfId="16" priority="9" stopIfTrue="1">
      <formula>$L34="No"</formula>
    </cfRule>
  </conditionalFormatting>
  <conditionalFormatting sqref="I36">
    <cfRule type="expression" dxfId="15" priority="8" stopIfTrue="1">
      <formula>$M20="No"</formula>
    </cfRule>
  </conditionalFormatting>
  <conditionalFormatting sqref="L34:L41">
    <cfRule type="expression" dxfId="14" priority="7" stopIfTrue="1">
      <formula>$L34="No"</formula>
    </cfRule>
  </conditionalFormatting>
  <conditionalFormatting sqref="I37:I41">
    <cfRule type="expression" dxfId="13" priority="6" stopIfTrue="1">
      <formula>$M21="No"</formula>
    </cfRule>
  </conditionalFormatting>
  <conditionalFormatting sqref="J34:J41">
    <cfRule type="expression" dxfId="12" priority="5" stopIfTrue="1">
      <formula>$L34="No"</formula>
    </cfRule>
  </conditionalFormatting>
  <conditionalFormatting sqref="K52:K53">
    <cfRule type="expression" dxfId="11" priority="3" stopIfTrue="1">
      <formula>$L54="No"</formula>
    </cfRule>
  </conditionalFormatting>
  <conditionalFormatting sqref="N53">
    <cfRule type="expression" dxfId="10" priority="2" stopIfTrue="1">
      <formula>$L55="No"</formula>
    </cfRule>
  </conditionalFormatting>
  <conditionalFormatting sqref="N52">
    <cfRule type="expression" dxfId="9" priority="1" stopIfTrue="1">
      <formula>$L53="No"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28"/>
  <sheetViews>
    <sheetView workbookViewId="0">
      <selection activeCell="D27" sqref="D27"/>
    </sheetView>
  </sheetViews>
  <sheetFormatPr defaultColWidth="8.85546875" defaultRowHeight="15"/>
  <cols>
    <col min="1" max="1" width="23.85546875" style="67" customWidth="1"/>
    <col min="2" max="2" width="87.28515625" style="67" customWidth="1"/>
    <col min="3" max="3" width="21.85546875" style="67" customWidth="1"/>
    <col min="4" max="4" width="29" style="67" customWidth="1"/>
    <col min="5" max="5" width="22.140625" style="67" customWidth="1"/>
    <col min="6" max="16384" width="8.85546875" style="67"/>
  </cols>
  <sheetData>
    <row r="1" spans="1:4">
      <c r="A1" s="67" t="s">
        <v>69</v>
      </c>
    </row>
    <row r="3" spans="1:4" ht="30">
      <c r="A3" s="160" t="s">
        <v>70</v>
      </c>
      <c r="B3" s="68" t="s">
        <v>71</v>
      </c>
      <c r="C3" s="136">
        <f>'Veľkosť vzorky – št. MUS'!G56</f>
        <v>20456233</v>
      </c>
    </row>
    <row r="4" spans="1:4">
      <c r="A4" s="161"/>
      <c r="B4" s="69" t="s">
        <v>72</v>
      </c>
      <c r="C4" s="70"/>
    </row>
    <row r="5" spans="1:4" ht="30">
      <c r="A5" s="162"/>
      <c r="B5" s="71" t="s">
        <v>73</v>
      </c>
      <c r="C5" s="72">
        <f>'Veľkosť vzorky – št. MUS'!L54</f>
        <v>8.8319275916833764E-2</v>
      </c>
    </row>
    <row r="6" spans="1:4" ht="18.75" customHeight="1">
      <c r="A6" s="160" t="s">
        <v>74</v>
      </c>
      <c r="B6" s="73" t="s">
        <v>75</v>
      </c>
      <c r="C6" s="119">
        <v>0.85</v>
      </c>
    </row>
    <row r="7" spans="1:4">
      <c r="A7" s="161"/>
      <c r="B7" s="74" t="s">
        <v>76</v>
      </c>
      <c r="C7" s="75">
        <f>INDEX('Hodnoty z'!B2:B12,MATCH(C6,'Hodnoty z'!A2:A13,0))</f>
        <v>1.44</v>
      </c>
    </row>
    <row r="8" spans="1:4">
      <c r="A8" s="161"/>
      <c r="B8" s="73" t="s">
        <v>77</v>
      </c>
      <c r="C8" s="120">
        <f>0.1*C10</f>
        <v>2E-3</v>
      </c>
    </row>
    <row r="9" spans="1:4">
      <c r="A9" s="161"/>
      <c r="B9" s="74" t="s">
        <v>78</v>
      </c>
      <c r="C9" s="137">
        <f>C8*C3</f>
        <v>40912.466</v>
      </c>
    </row>
    <row r="10" spans="1:4">
      <c r="A10" s="161"/>
      <c r="B10" s="73" t="s">
        <v>79</v>
      </c>
      <c r="C10" s="119">
        <v>0.02</v>
      </c>
    </row>
    <row r="11" spans="1:4">
      <c r="A11" s="161"/>
      <c r="B11" s="74" t="s">
        <v>80</v>
      </c>
      <c r="C11" s="137">
        <f>C10*C3</f>
        <v>409124.66000000003</v>
      </c>
    </row>
    <row r="12" spans="1:4">
      <c r="A12" s="161"/>
      <c r="B12" s="76" t="s">
        <v>81</v>
      </c>
      <c r="C12" s="77">
        <f>IF(ROUNDUP((C7*C3*C5/(C11-C9))^2,0)&lt;30,30,ROUNDUP((C7*C3*C5/(C11-C9))^2,0))</f>
        <v>50</v>
      </c>
    </row>
    <row r="13" spans="1:4">
      <c r="A13" s="161"/>
      <c r="B13" s="78" t="s">
        <v>82</v>
      </c>
      <c r="C13" s="137">
        <f>C3/C12</f>
        <v>409124.66</v>
      </c>
    </row>
    <row r="14" spans="1:4">
      <c r="A14" s="161"/>
      <c r="B14" s="78" t="s">
        <v>83</v>
      </c>
      <c r="C14" s="79">
        <v>3</v>
      </c>
    </row>
    <row r="15" spans="1:4">
      <c r="A15" s="161"/>
      <c r="B15" s="78" t="s">
        <v>84</v>
      </c>
      <c r="C15" s="140">
        <f>'Veľkosť vzorky – št. MUS'!I35+'Veľkosť vzorky – št. MUS'!I5+'Veľkosť vzorky – št. MUS'!I3</f>
        <v>1806155.6630488536</v>
      </c>
    </row>
    <row r="16" spans="1:4">
      <c r="A16" s="161"/>
      <c r="B16" s="78" t="s">
        <v>85</v>
      </c>
      <c r="C16" s="138">
        <f>C3-C15</f>
        <v>18650077.336951148</v>
      </c>
      <c r="D16" s="80"/>
    </row>
    <row r="17" spans="1:5">
      <c r="A17" s="161"/>
      <c r="B17" s="78" t="s">
        <v>86</v>
      </c>
      <c r="C17" s="77">
        <f>C12-C14</f>
        <v>47</v>
      </c>
    </row>
    <row r="18" spans="1:5">
      <c r="A18" s="162"/>
      <c r="B18" s="78" t="s">
        <v>87</v>
      </c>
      <c r="C18" s="138">
        <f>C16/C17</f>
        <v>396810.15610534354</v>
      </c>
    </row>
    <row r="19" spans="1:5">
      <c r="A19" s="163" t="s">
        <v>88</v>
      </c>
      <c r="B19" s="76" t="s">
        <v>89</v>
      </c>
      <c r="C19" s="138">
        <f>'Veľkosť vzorky – št. MUS'!K35+'Veľkosť vzorky – št. MUS'!K5+'Veľkosť vzorky – št. MUS'!K3</f>
        <v>100544</v>
      </c>
    </row>
    <row r="20" spans="1:5">
      <c r="A20" s="163"/>
      <c r="B20" s="76" t="s">
        <v>90</v>
      </c>
      <c r="C20" s="81">
        <f>'Veľkosť vzorky – št. MUS'!L53</f>
        <v>1.4535388354962431</v>
      </c>
      <c r="D20" s="82"/>
      <c r="E20" s="83"/>
    </row>
    <row r="21" spans="1:5">
      <c r="A21" s="163"/>
      <c r="B21" s="76" t="s">
        <v>91</v>
      </c>
      <c r="C21" s="84">
        <f>'Veľkosť vzorky – št. MUS'!L55</f>
        <v>6.9386588225435475E-2</v>
      </c>
      <c r="D21" s="83"/>
      <c r="E21" s="85"/>
    </row>
    <row r="22" spans="1:5" ht="18.75" customHeight="1">
      <c r="A22" s="160" t="s">
        <v>92</v>
      </c>
      <c r="B22" s="78" t="s">
        <v>93</v>
      </c>
      <c r="C22" s="138">
        <f>C7*C16/SQRT(C17)*C21</f>
        <v>271812.69320733153</v>
      </c>
      <c r="D22" s="86"/>
    </row>
    <row r="23" spans="1:5">
      <c r="A23" s="161"/>
      <c r="B23" s="76" t="s">
        <v>94</v>
      </c>
      <c r="C23" s="141">
        <f>C18*C20+C19</f>
        <v>677322.97221844352</v>
      </c>
    </row>
    <row r="24" spans="1:5" ht="15.75">
      <c r="A24" s="161"/>
      <c r="B24" s="87" t="s">
        <v>95</v>
      </c>
      <c r="C24" s="139">
        <f>C23+C22</f>
        <v>949135.66542577511</v>
      </c>
      <c r="D24" s="86"/>
      <c r="E24" s="88"/>
    </row>
    <row r="25" spans="1:5" ht="15.75">
      <c r="A25" s="161"/>
      <c r="B25" s="89" t="s">
        <v>96</v>
      </c>
      <c r="C25" s="123">
        <f>C23/C3</f>
        <v>3.3110835813145244E-2</v>
      </c>
    </row>
    <row r="26" spans="1:5" ht="15.75">
      <c r="A26" s="162"/>
      <c r="B26" s="90" t="s">
        <v>97</v>
      </c>
      <c r="C26" s="123">
        <f>C24/C3</f>
        <v>4.6398360119665E-2</v>
      </c>
      <c r="E26" s="85"/>
    </row>
    <row r="28" spans="1:5">
      <c r="C28" s="91"/>
    </row>
  </sheetData>
  <mergeCells count="4">
    <mergeCell ref="A3:A5"/>
    <mergeCell ref="A6:A18"/>
    <mergeCell ref="A19:A21"/>
    <mergeCell ref="A22:A26"/>
  </mergeCells>
  <pageMargins left="0.7" right="0.7" top="0.75" bottom="0.75" header="0.3" footer="0.3"/>
  <ignoredErrors>
    <ignoredError sqref="C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70"/>
  <sheetViews>
    <sheetView tabSelected="1" topLeftCell="A16" workbookViewId="0">
      <selection activeCell="K56" sqref="K56"/>
    </sheetView>
  </sheetViews>
  <sheetFormatPr defaultColWidth="9.140625" defaultRowHeight="12.75"/>
  <cols>
    <col min="1" max="1" width="8" style="3" customWidth="1"/>
    <col min="2" max="2" width="8.28515625" style="3" bestFit="1" customWidth="1"/>
    <col min="3" max="3" width="6.7109375" style="3" bestFit="1" customWidth="1"/>
    <col min="4" max="4" width="7" style="3" bestFit="1" customWidth="1"/>
    <col min="5" max="5" width="15.140625" style="3" customWidth="1"/>
    <col min="6" max="6" width="7.7109375" style="3" bestFit="1" customWidth="1"/>
    <col min="7" max="7" width="17.5703125" style="3" bestFit="1" customWidth="1"/>
    <col min="8" max="8" width="11" style="3" customWidth="1"/>
    <col min="9" max="9" width="14.7109375" style="3" customWidth="1"/>
    <col min="10" max="10" width="20.28515625" style="3" bestFit="1" customWidth="1"/>
    <col min="11" max="11" width="12.7109375" style="3" bestFit="1" customWidth="1"/>
    <col min="12" max="12" width="11.28515625" style="3" customWidth="1"/>
    <col min="13" max="13" width="14.28515625" style="3" bestFit="1" customWidth="1"/>
    <col min="14" max="14" width="14" style="3" customWidth="1"/>
    <col min="15" max="16384" width="9.140625" style="3"/>
  </cols>
  <sheetData>
    <row r="1" spans="1:17" ht="63.75">
      <c r="A1" s="115" t="s">
        <v>98</v>
      </c>
      <c r="B1" s="22" t="s">
        <v>99</v>
      </c>
      <c r="C1" s="111" t="s">
        <v>100</v>
      </c>
      <c r="D1" s="112" t="s">
        <v>101</v>
      </c>
      <c r="E1" s="113" t="s">
        <v>102</v>
      </c>
      <c r="F1" s="112" t="s">
        <v>103</v>
      </c>
      <c r="G1" s="112" t="s">
        <v>104</v>
      </c>
      <c r="H1" s="113" t="s">
        <v>105</v>
      </c>
      <c r="I1" s="114" t="s">
        <v>106</v>
      </c>
      <c r="J1" s="112" t="s">
        <v>107</v>
      </c>
      <c r="K1" s="112" t="s">
        <v>108</v>
      </c>
      <c r="L1" s="112" t="s">
        <v>109</v>
      </c>
      <c r="M1" s="112" t="s">
        <v>110</v>
      </c>
      <c r="N1" s="25" t="s">
        <v>111</v>
      </c>
    </row>
    <row r="2" spans="1:17" hidden="1">
      <c r="A2" s="20" t="s">
        <v>124</v>
      </c>
      <c r="B2" s="22" t="s">
        <v>125</v>
      </c>
      <c r="C2" s="22" t="s">
        <v>126</v>
      </c>
      <c r="D2" s="20" t="s">
        <v>127</v>
      </c>
      <c r="E2" s="23" t="s">
        <v>128</v>
      </c>
      <c r="F2" s="20" t="s">
        <v>129</v>
      </c>
      <c r="G2" s="20" t="s">
        <v>130</v>
      </c>
      <c r="H2" s="23" t="s">
        <v>131</v>
      </c>
      <c r="I2" s="24" t="s">
        <v>132</v>
      </c>
      <c r="J2" s="20" t="s">
        <v>133</v>
      </c>
      <c r="K2" s="20" t="s">
        <v>134</v>
      </c>
      <c r="L2" s="20" t="s">
        <v>135</v>
      </c>
      <c r="M2" s="22" t="s">
        <v>136</v>
      </c>
      <c r="N2" s="25" t="s">
        <v>137</v>
      </c>
    </row>
    <row r="3" spans="1:17">
      <c r="A3" s="26">
        <v>1</v>
      </c>
      <c r="B3" s="27"/>
      <c r="C3" s="28"/>
      <c r="D3" s="27"/>
      <c r="E3" s="29"/>
      <c r="F3" s="27"/>
      <c r="G3" s="27"/>
      <c r="H3" s="29"/>
      <c r="I3" s="144">
        <v>500304</v>
      </c>
      <c r="J3" s="144">
        <v>400500</v>
      </c>
      <c r="K3" s="144">
        <f t="shared" ref="K3:K52" si="0">I3-J3</f>
        <v>99804</v>
      </c>
      <c r="L3" s="30">
        <f t="shared" ref="L3:L52" si="1">K3/I3</f>
        <v>0.19948671207905594</v>
      </c>
      <c r="M3" s="31">
        <v>0</v>
      </c>
      <c r="N3" s="17" t="str">
        <f t="shared" ref="N3:N38" si="2">IF((I3&gt;($G$56/$J$60)),"Y","N")</f>
        <v>Y</v>
      </c>
    </row>
    <row r="4" spans="1:17">
      <c r="A4" s="26">
        <v>2</v>
      </c>
      <c r="B4" s="27"/>
      <c r="C4" s="28"/>
      <c r="D4" s="27"/>
      <c r="E4" s="29"/>
      <c r="F4" s="27"/>
      <c r="G4" s="27"/>
      <c r="H4" s="29"/>
      <c r="I4" s="144">
        <v>71387.033740850966</v>
      </c>
      <c r="J4" s="144">
        <v>71387.033740850966</v>
      </c>
      <c r="K4" s="144">
        <f t="shared" si="0"/>
        <v>0</v>
      </c>
      <c r="L4" s="30">
        <f t="shared" si="1"/>
        <v>0</v>
      </c>
      <c r="M4" s="31">
        <v>0</v>
      </c>
      <c r="N4" s="32" t="str">
        <f t="shared" si="2"/>
        <v>N</v>
      </c>
    </row>
    <row r="5" spans="1:17">
      <c r="A5" s="26">
        <v>3</v>
      </c>
      <c r="B5" s="27"/>
      <c r="C5" s="28"/>
      <c r="D5" s="27"/>
      <c r="E5" s="29"/>
      <c r="F5" s="27"/>
      <c r="G5" s="27"/>
      <c r="H5" s="29"/>
      <c r="I5" s="144">
        <v>516111.66304885369</v>
      </c>
      <c r="J5" s="144">
        <v>516111.66304885369</v>
      </c>
      <c r="K5" s="144">
        <f t="shared" si="0"/>
        <v>0</v>
      </c>
      <c r="L5" s="30">
        <f t="shared" si="1"/>
        <v>0</v>
      </c>
      <c r="M5" s="31">
        <v>0</v>
      </c>
      <c r="N5" s="17" t="str">
        <f t="shared" si="2"/>
        <v>Y</v>
      </c>
    </row>
    <row r="6" spans="1:17">
      <c r="A6" s="26">
        <v>4</v>
      </c>
      <c r="B6" s="27"/>
      <c r="C6" s="28"/>
      <c r="D6" s="27"/>
      <c r="E6" s="29"/>
      <c r="F6" s="27"/>
      <c r="G6" s="27"/>
      <c r="H6" s="33"/>
      <c r="I6" s="144">
        <v>29009.009584707364</v>
      </c>
      <c r="J6" s="144">
        <v>29009.009584707364</v>
      </c>
      <c r="K6" s="144">
        <f t="shared" si="0"/>
        <v>0</v>
      </c>
      <c r="L6" s="30">
        <f t="shared" si="1"/>
        <v>0</v>
      </c>
      <c r="M6" s="31">
        <v>0</v>
      </c>
      <c r="N6" s="32" t="str">
        <f t="shared" si="2"/>
        <v>N</v>
      </c>
    </row>
    <row r="7" spans="1:17">
      <c r="A7" s="26">
        <v>5</v>
      </c>
      <c r="B7" s="27"/>
      <c r="C7" s="28"/>
      <c r="D7" s="27"/>
      <c r="E7" s="29"/>
      <c r="F7" s="27"/>
      <c r="G7" s="27"/>
      <c r="H7" s="33"/>
      <c r="I7" s="144">
        <v>109942.50364621036</v>
      </c>
      <c r="J7" s="144">
        <v>109436.54152754108</v>
      </c>
      <c r="K7" s="144">
        <f t="shared" si="0"/>
        <v>505.96211866928206</v>
      </c>
      <c r="L7" s="30">
        <f t="shared" si="1"/>
        <v>4.6020610945648795E-3</v>
      </c>
      <c r="M7" s="31">
        <v>0</v>
      </c>
      <c r="N7" s="32" t="str">
        <f t="shared" si="2"/>
        <v>N</v>
      </c>
    </row>
    <row r="8" spans="1:17">
      <c r="A8" s="26">
        <v>6</v>
      </c>
      <c r="B8" s="27"/>
      <c r="C8" s="28"/>
      <c r="D8" s="27"/>
      <c r="E8" s="29"/>
      <c r="F8" s="27"/>
      <c r="G8" s="27"/>
      <c r="H8" s="33"/>
      <c r="I8" s="144">
        <v>26711.092978364028</v>
      </c>
      <c r="J8" s="144">
        <v>18700</v>
      </c>
      <c r="K8" s="144">
        <f t="shared" si="0"/>
        <v>8011.0929783640277</v>
      </c>
      <c r="L8" s="30">
        <f t="shared" si="1"/>
        <v>0.29991633007503693</v>
      </c>
      <c r="M8" s="31">
        <v>0</v>
      </c>
      <c r="N8" s="32" t="str">
        <f t="shared" si="2"/>
        <v>N</v>
      </c>
    </row>
    <row r="9" spans="1:17">
      <c r="A9" s="26">
        <v>7</v>
      </c>
      <c r="B9" s="27"/>
      <c r="C9" s="28"/>
      <c r="D9" s="27"/>
      <c r="E9" s="29"/>
      <c r="F9" s="27"/>
      <c r="G9" s="27"/>
      <c r="H9" s="33"/>
      <c r="I9" s="144">
        <v>25846.901739993031</v>
      </c>
      <c r="J9" s="144">
        <v>25846.901739993031</v>
      </c>
      <c r="K9" s="144">
        <f t="shared" si="0"/>
        <v>0</v>
      </c>
      <c r="L9" s="30">
        <f t="shared" si="1"/>
        <v>0</v>
      </c>
      <c r="M9" s="31">
        <v>0</v>
      </c>
      <c r="N9" s="32" t="str">
        <f t="shared" si="2"/>
        <v>N</v>
      </c>
    </row>
    <row r="10" spans="1:17">
      <c r="A10" s="26">
        <v>8</v>
      </c>
      <c r="B10" s="27"/>
      <c r="C10" s="28"/>
      <c r="D10" s="27"/>
      <c r="E10" s="29"/>
      <c r="F10" s="27"/>
      <c r="G10" s="27"/>
      <c r="H10" s="33"/>
      <c r="I10" s="144">
        <v>52080.172122577002</v>
      </c>
      <c r="J10" s="144">
        <v>40800</v>
      </c>
      <c r="K10" s="144">
        <f t="shared" si="0"/>
        <v>11280.172122577002</v>
      </c>
      <c r="L10" s="30">
        <f t="shared" si="1"/>
        <v>0.21659245088567966</v>
      </c>
      <c r="M10" s="31">
        <v>0</v>
      </c>
      <c r="N10" s="32" t="str">
        <f t="shared" si="2"/>
        <v>N</v>
      </c>
    </row>
    <row r="11" spans="1:17">
      <c r="A11" s="26">
        <v>9</v>
      </c>
      <c r="B11" s="27"/>
      <c r="C11" s="28"/>
      <c r="D11" s="27"/>
      <c r="E11" s="29"/>
      <c r="F11" s="27"/>
      <c r="G11" s="27"/>
      <c r="H11" s="33"/>
      <c r="I11" s="144">
        <v>26034.776817072845</v>
      </c>
      <c r="J11" s="144">
        <v>25991.982854768226</v>
      </c>
      <c r="K11" s="144">
        <f t="shared" si="0"/>
        <v>42.793962304618617</v>
      </c>
      <c r="L11" s="30">
        <f t="shared" si="1"/>
        <v>1.643723032668964E-3</v>
      </c>
      <c r="M11" s="31">
        <v>0</v>
      </c>
      <c r="N11" s="32" t="str">
        <f t="shared" si="2"/>
        <v>N</v>
      </c>
    </row>
    <row r="12" spans="1:17">
      <c r="A12" s="26">
        <v>10</v>
      </c>
      <c r="B12" s="27"/>
      <c r="C12" s="28"/>
      <c r="D12" s="27"/>
      <c r="E12" s="29"/>
      <c r="F12" s="27"/>
      <c r="G12" s="27"/>
      <c r="H12" s="33"/>
      <c r="I12" s="144">
        <v>356506</v>
      </c>
      <c r="J12" s="144">
        <v>351234</v>
      </c>
      <c r="K12" s="144">
        <f t="shared" si="0"/>
        <v>5272</v>
      </c>
      <c r="L12" s="30">
        <f t="shared" si="1"/>
        <v>1.4787969907939838E-2</v>
      </c>
      <c r="M12" s="31">
        <v>0</v>
      </c>
      <c r="N12" s="32" t="str">
        <f t="shared" si="2"/>
        <v>N</v>
      </c>
    </row>
    <row r="13" spans="1:17">
      <c r="A13" s="26">
        <v>11</v>
      </c>
      <c r="B13" s="27"/>
      <c r="C13" s="28"/>
      <c r="D13" s="27"/>
      <c r="E13" s="29"/>
      <c r="F13" s="27"/>
      <c r="G13" s="27"/>
      <c r="H13" s="33"/>
      <c r="I13" s="144">
        <v>122491.66739054665</v>
      </c>
      <c r="J13" s="144">
        <v>116933.1476044934</v>
      </c>
      <c r="K13" s="144">
        <f t="shared" si="0"/>
        <v>5558.5197860532498</v>
      </c>
      <c r="L13" s="30">
        <f t="shared" si="1"/>
        <v>4.5378758445100822E-2</v>
      </c>
      <c r="M13" s="31">
        <v>0</v>
      </c>
      <c r="N13" s="32" t="str">
        <f t="shared" si="2"/>
        <v>N</v>
      </c>
      <c r="Q13" s="34"/>
    </row>
    <row r="14" spans="1:17">
      <c r="A14" s="26">
        <v>12</v>
      </c>
      <c r="B14" s="27"/>
      <c r="C14" s="28"/>
      <c r="D14" s="27"/>
      <c r="E14" s="29"/>
      <c r="F14" s="27"/>
      <c r="G14" s="27"/>
      <c r="H14" s="33"/>
      <c r="I14" s="144">
        <v>100200</v>
      </c>
      <c r="J14" s="144">
        <v>100200</v>
      </c>
      <c r="K14" s="144">
        <f t="shared" si="0"/>
        <v>0</v>
      </c>
      <c r="L14" s="30">
        <f t="shared" si="1"/>
        <v>0</v>
      </c>
      <c r="M14" s="31">
        <v>0</v>
      </c>
      <c r="N14" s="32" t="str">
        <f t="shared" si="2"/>
        <v>N</v>
      </c>
    </row>
    <row r="15" spans="1:17">
      <c r="A15" s="26">
        <v>13</v>
      </c>
      <c r="B15" s="27"/>
      <c r="C15" s="28"/>
      <c r="D15" s="27"/>
      <c r="E15" s="29"/>
      <c r="F15" s="27"/>
      <c r="G15" s="27"/>
      <c r="H15" s="33"/>
      <c r="I15" s="144">
        <v>8539.1580471326306</v>
      </c>
      <c r="J15" s="144">
        <v>8532.3574117268563</v>
      </c>
      <c r="K15" s="144">
        <f t="shared" si="0"/>
        <v>6.800635405774301</v>
      </c>
      <c r="L15" s="30">
        <f t="shared" si="1"/>
        <v>7.9640584800487338E-4</v>
      </c>
      <c r="M15" s="31">
        <v>0</v>
      </c>
      <c r="N15" s="32" t="str">
        <f t="shared" si="2"/>
        <v>N</v>
      </c>
    </row>
    <row r="16" spans="1:17">
      <c r="A16" s="26">
        <v>14</v>
      </c>
      <c r="B16" s="27"/>
      <c r="C16" s="28"/>
      <c r="D16" s="27"/>
      <c r="E16" s="29"/>
      <c r="F16" s="35"/>
      <c r="G16" s="27"/>
      <c r="H16" s="33"/>
      <c r="I16" s="144">
        <v>117601.79050376685</v>
      </c>
      <c r="J16" s="144">
        <v>117351.4717942555</v>
      </c>
      <c r="K16" s="144">
        <f t="shared" si="0"/>
        <v>250.31870951135352</v>
      </c>
      <c r="L16" s="30">
        <f t="shared" si="1"/>
        <v>2.1285280473968267E-3</v>
      </c>
      <c r="M16" s="31">
        <v>0</v>
      </c>
      <c r="N16" s="32" t="str">
        <f t="shared" si="2"/>
        <v>N</v>
      </c>
    </row>
    <row r="17" spans="1:14">
      <c r="A17" s="26">
        <v>15</v>
      </c>
      <c r="B17" s="27"/>
      <c r="C17" s="28"/>
      <c r="D17" s="27"/>
      <c r="E17" s="29"/>
      <c r="F17" s="27"/>
      <c r="G17" s="27"/>
      <c r="H17" s="33"/>
      <c r="I17" s="144">
        <v>4462.3403844607083</v>
      </c>
      <c r="J17" s="144">
        <v>4462.3403844607083</v>
      </c>
      <c r="K17" s="144">
        <f t="shared" si="0"/>
        <v>0</v>
      </c>
      <c r="L17" s="30">
        <f t="shared" si="1"/>
        <v>0</v>
      </c>
      <c r="M17" s="31">
        <v>0</v>
      </c>
      <c r="N17" s="32" t="str">
        <f t="shared" si="2"/>
        <v>N</v>
      </c>
    </row>
    <row r="18" spans="1:14">
      <c r="A18" s="26">
        <v>16</v>
      </c>
      <c r="B18" s="27"/>
      <c r="C18" s="28"/>
      <c r="D18" s="27"/>
      <c r="E18" s="29"/>
      <c r="F18" s="27"/>
      <c r="G18" s="27"/>
      <c r="H18" s="33"/>
      <c r="I18" s="144">
        <v>36502.639105606046</v>
      </c>
      <c r="J18" s="144">
        <v>36477.119922786129</v>
      </c>
      <c r="K18" s="144">
        <f t="shared" si="0"/>
        <v>25.51918281991675</v>
      </c>
      <c r="L18" s="30">
        <f t="shared" si="1"/>
        <v>6.9910514541392525E-4</v>
      </c>
      <c r="M18" s="31">
        <v>0</v>
      </c>
      <c r="N18" s="32" t="str">
        <f t="shared" si="2"/>
        <v>N</v>
      </c>
    </row>
    <row r="19" spans="1:14">
      <c r="A19" s="26">
        <v>17</v>
      </c>
      <c r="B19" s="27"/>
      <c r="C19" s="28"/>
      <c r="D19" s="27"/>
      <c r="E19" s="29"/>
      <c r="F19" s="27"/>
      <c r="G19" s="27"/>
      <c r="H19" s="33"/>
      <c r="I19" s="144">
        <v>29438.903965253761</v>
      </c>
      <c r="J19" s="144">
        <v>29438.903965253761</v>
      </c>
      <c r="K19" s="144">
        <f t="shared" si="0"/>
        <v>0</v>
      </c>
      <c r="L19" s="30">
        <f t="shared" si="1"/>
        <v>0</v>
      </c>
      <c r="M19" s="31">
        <v>0</v>
      </c>
      <c r="N19" s="32" t="str">
        <f t="shared" si="2"/>
        <v>N</v>
      </c>
    </row>
    <row r="20" spans="1:14">
      <c r="A20" s="26">
        <v>18</v>
      </c>
      <c r="B20" s="27"/>
      <c r="C20" s="28"/>
      <c r="D20" s="33"/>
      <c r="E20" s="33"/>
      <c r="F20" s="33"/>
      <c r="G20" s="33"/>
      <c r="H20" s="33"/>
      <c r="I20" s="144">
        <v>107355.19794096355</v>
      </c>
      <c r="J20" s="144">
        <v>107287.62795233002</v>
      </c>
      <c r="K20" s="144">
        <f t="shared" si="0"/>
        <v>67.569988633535104</v>
      </c>
      <c r="L20" s="30">
        <f t="shared" si="1"/>
        <v>6.2940584088618597E-4</v>
      </c>
      <c r="M20" s="31">
        <v>0</v>
      </c>
      <c r="N20" s="32" t="str">
        <f t="shared" si="2"/>
        <v>N</v>
      </c>
    </row>
    <row r="21" spans="1:14">
      <c r="A21" s="26">
        <v>19</v>
      </c>
      <c r="B21" s="27"/>
      <c r="C21" s="28"/>
      <c r="D21" s="33"/>
      <c r="E21" s="33"/>
      <c r="F21" s="33"/>
      <c r="G21" s="33"/>
      <c r="H21" s="33"/>
      <c r="I21" s="144">
        <v>250954.18383870879</v>
      </c>
      <c r="J21" s="144">
        <v>250954.18383870879</v>
      </c>
      <c r="K21" s="144">
        <f t="shared" si="0"/>
        <v>0</v>
      </c>
      <c r="L21" s="30">
        <f t="shared" si="1"/>
        <v>0</v>
      </c>
      <c r="M21" s="31">
        <v>0</v>
      </c>
      <c r="N21" s="32" t="str">
        <f t="shared" si="2"/>
        <v>N</v>
      </c>
    </row>
    <row r="22" spans="1:14">
      <c r="A22" s="26">
        <v>20</v>
      </c>
      <c r="B22" s="27"/>
      <c r="C22" s="28"/>
      <c r="D22" s="33"/>
      <c r="E22" s="33"/>
      <c r="F22" s="33"/>
      <c r="G22" s="33"/>
      <c r="H22" s="33"/>
      <c r="I22" s="144">
        <v>88907.957532373519</v>
      </c>
      <c r="J22" s="144">
        <v>81345</v>
      </c>
      <c r="K22" s="144">
        <f t="shared" si="0"/>
        <v>7562.9575323735189</v>
      </c>
      <c r="L22" s="30">
        <f t="shared" si="1"/>
        <v>8.5065023899797323E-2</v>
      </c>
      <c r="M22" s="31">
        <v>0</v>
      </c>
      <c r="N22" s="32" t="str">
        <f t="shared" si="2"/>
        <v>N</v>
      </c>
    </row>
    <row r="23" spans="1:14">
      <c r="A23" s="26">
        <v>21</v>
      </c>
      <c r="B23" s="27"/>
      <c r="C23" s="28"/>
      <c r="D23" s="33"/>
      <c r="E23" s="33"/>
      <c r="F23" s="33"/>
      <c r="G23" s="33"/>
      <c r="H23" s="33"/>
      <c r="I23" s="144">
        <v>41775.551113970876</v>
      </c>
      <c r="J23" s="144">
        <v>41775.551113970876</v>
      </c>
      <c r="K23" s="144">
        <f t="shared" si="0"/>
        <v>0</v>
      </c>
      <c r="L23" s="30">
        <f t="shared" si="1"/>
        <v>0</v>
      </c>
      <c r="M23" s="31">
        <v>0</v>
      </c>
      <c r="N23" s="32" t="str">
        <f t="shared" si="2"/>
        <v>N</v>
      </c>
    </row>
    <row r="24" spans="1:14">
      <c r="A24" s="26">
        <v>22</v>
      </c>
      <c r="B24" s="27"/>
      <c r="C24" s="28"/>
      <c r="D24" s="33"/>
      <c r="E24" s="33"/>
      <c r="F24" s="33"/>
      <c r="G24" s="33"/>
      <c r="H24" s="33"/>
      <c r="I24" s="144">
        <v>328927.97394032008</v>
      </c>
      <c r="J24" s="144">
        <v>325432.68277022004</v>
      </c>
      <c r="K24" s="144">
        <f t="shared" si="0"/>
        <v>3495.2911701000412</v>
      </c>
      <c r="L24" s="30">
        <f t="shared" si="1"/>
        <v>1.0626311676167193E-2</v>
      </c>
      <c r="M24" s="31">
        <v>0</v>
      </c>
      <c r="N24" s="32" t="str">
        <f t="shared" si="2"/>
        <v>N</v>
      </c>
    </row>
    <row r="25" spans="1:14">
      <c r="A25" s="26">
        <v>23</v>
      </c>
      <c r="B25" s="27"/>
      <c r="C25" s="28"/>
      <c r="D25" s="33"/>
      <c r="E25" s="33"/>
      <c r="F25" s="33"/>
      <c r="G25" s="33"/>
      <c r="H25" s="33"/>
      <c r="I25" s="144">
        <v>139117.69749859246</v>
      </c>
      <c r="J25" s="144">
        <v>139117.69749859246</v>
      </c>
      <c r="K25" s="144">
        <f t="shared" si="0"/>
        <v>0</v>
      </c>
      <c r="L25" s="30">
        <f t="shared" si="1"/>
        <v>0</v>
      </c>
      <c r="M25" s="31">
        <v>0</v>
      </c>
      <c r="N25" s="32" t="str">
        <f t="shared" si="2"/>
        <v>N</v>
      </c>
    </row>
    <row r="26" spans="1:14">
      <c r="A26" s="26">
        <v>24</v>
      </c>
      <c r="B26" s="27"/>
      <c r="C26" s="28"/>
      <c r="D26" s="33"/>
      <c r="E26" s="33"/>
      <c r="F26" s="33"/>
      <c r="G26" s="33"/>
      <c r="H26" s="33"/>
      <c r="I26" s="144">
        <v>182052.84356148957</v>
      </c>
      <c r="J26" s="144">
        <v>181943.52127402878</v>
      </c>
      <c r="K26" s="144">
        <f t="shared" si="0"/>
        <v>109.32228746078908</v>
      </c>
      <c r="L26" s="30">
        <f t="shared" si="1"/>
        <v>6.0049755511709299E-4</v>
      </c>
      <c r="M26" s="31">
        <v>0</v>
      </c>
      <c r="N26" s="32" t="str">
        <f t="shared" si="2"/>
        <v>N</v>
      </c>
    </row>
    <row r="27" spans="1:14">
      <c r="A27" s="26">
        <v>25</v>
      </c>
      <c r="B27" s="36"/>
      <c r="C27" s="37"/>
      <c r="D27" s="38"/>
      <c r="E27" s="38"/>
      <c r="F27" s="38"/>
      <c r="G27" s="38"/>
      <c r="H27" s="38"/>
      <c r="I27" s="145">
        <v>29851.233303841924</v>
      </c>
      <c r="J27" s="144">
        <v>29851.233303841924</v>
      </c>
      <c r="K27" s="145">
        <f t="shared" si="0"/>
        <v>0</v>
      </c>
      <c r="L27" s="39">
        <f t="shared" si="1"/>
        <v>0</v>
      </c>
      <c r="M27" s="40">
        <v>0</v>
      </c>
      <c r="N27" s="32" t="str">
        <f t="shared" si="2"/>
        <v>N</v>
      </c>
    </row>
    <row r="28" spans="1:14">
      <c r="A28" s="26">
        <v>26</v>
      </c>
      <c r="B28" s="41"/>
      <c r="C28" s="42"/>
      <c r="D28" s="43"/>
      <c r="E28" s="43"/>
      <c r="F28" s="43"/>
      <c r="G28" s="43"/>
      <c r="H28" s="29"/>
      <c r="I28" s="144">
        <v>32653.787849540204</v>
      </c>
      <c r="J28" s="144">
        <v>32653.787849540204</v>
      </c>
      <c r="K28" s="146">
        <f t="shared" si="0"/>
        <v>0</v>
      </c>
      <c r="L28" s="44">
        <f t="shared" si="1"/>
        <v>0</v>
      </c>
      <c r="M28" s="40">
        <v>0</v>
      </c>
      <c r="N28" s="32" t="str">
        <f t="shared" si="2"/>
        <v>N</v>
      </c>
    </row>
    <row r="29" spans="1:14">
      <c r="A29" s="26">
        <v>27</v>
      </c>
      <c r="B29" s="41"/>
      <c r="C29" s="42"/>
      <c r="D29" s="43"/>
      <c r="E29" s="43"/>
      <c r="F29" s="43"/>
      <c r="G29" s="43"/>
      <c r="H29" s="43"/>
      <c r="I29" s="144">
        <v>61619.931472693643</v>
      </c>
      <c r="J29" s="144">
        <v>61619.931472693643</v>
      </c>
      <c r="K29" s="146">
        <f t="shared" si="0"/>
        <v>0</v>
      </c>
      <c r="L29" s="44">
        <f t="shared" si="1"/>
        <v>0</v>
      </c>
      <c r="M29" s="40">
        <v>0</v>
      </c>
      <c r="N29" s="32" t="str">
        <f t="shared" si="2"/>
        <v>N</v>
      </c>
    </row>
    <row r="30" spans="1:14">
      <c r="A30" s="26">
        <v>28</v>
      </c>
      <c r="B30" s="41"/>
      <c r="C30" s="42"/>
      <c r="D30" s="43"/>
      <c r="E30" s="43"/>
      <c r="F30" s="43"/>
      <c r="G30" s="43"/>
      <c r="H30" s="43"/>
      <c r="I30" s="144">
        <v>102300</v>
      </c>
      <c r="J30" s="144">
        <v>90670</v>
      </c>
      <c r="K30" s="146">
        <f t="shared" si="0"/>
        <v>11630</v>
      </c>
      <c r="L30" s="44">
        <f t="shared" si="1"/>
        <v>0.1136852394916911</v>
      </c>
      <c r="M30" s="40">
        <v>0</v>
      </c>
      <c r="N30" s="32" t="str">
        <f t="shared" si="2"/>
        <v>N</v>
      </c>
    </row>
    <row r="31" spans="1:14">
      <c r="A31" s="26">
        <v>29</v>
      </c>
      <c r="B31" s="45"/>
      <c r="C31" s="46"/>
      <c r="D31" s="47"/>
      <c r="E31" s="47"/>
      <c r="F31" s="47"/>
      <c r="G31" s="47"/>
      <c r="H31" s="47"/>
      <c r="I31" s="146">
        <v>13835.124051583149</v>
      </c>
      <c r="J31" s="146">
        <v>13825.279323842458</v>
      </c>
      <c r="K31" s="146">
        <f t="shared" si="0"/>
        <v>9.8447277406903595</v>
      </c>
      <c r="L31" s="44">
        <f t="shared" si="1"/>
        <v>7.115749525616889E-4</v>
      </c>
      <c r="M31" s="40">
        <v>0</v>
      </c>
      <c r="N31" s="32" t="str">
        <f t="shared" si="2"/>
        <v>N</v>
      </c>
    </row>
    <row r="32" spans="1:14">
      <c r="A32" s="26">
        <v>30</v>
      </c>
      <c r="B32" s="41"/>
      <c r="C32" s="42"/>
      <c r="D32" s="43"/>
      <c r="E32" s="43"/>
      <c r="F32" s="43"/>
      <c r="G32" s="43"/>
      <c r="H32" s="48"/>
      <c r="I32" s="144">
        <v>8090</v>
      </c>
      <c r="J32" s="144">
        <v>8090</v>
      </c>
      <c r="K32" s="144">
        <f t="shared" si="0"/>
        <v>0</v>
      </c>
      <c r="L32" s="30">
        <f t="shared" si="1"/>
        <v>0</v>
      </c>
      <c r="M32" s="40">
        <v>0</v>
      </c>
      <c r="N32" s="32" t="str">
        <f t="shared" si="2"/>
        <v>N</v>
      </c>
    </row>
    <row r="33" spans="1:14">
      <c r="A33" s="26">
        <v>31</v>
      </c>
      <c r="B33" s="41"/>
      <c r="C33" s="42"/>
      <c r="D33" s="43"/>
      <c r="E33" s="43"/>
      <c r="F33" s="43"/>
      <c r="G33" s="43"/>
      <c r="H33" s="48"/>
      <c r="I33" s="144">
        <v>45680</v>
      </c>
      <c r="J33" s="144">
        <v>45670</v>
      </c>
      <c r="K33" s="144">
        <f t="shared" si="0"/>
        <v>10</v>
      </c>
      <c r="L33" s="30">
        <f t="shared" si="1"/>
        <v>2.1891418563922942E-4</v>
      </c>
      <c r="M33" s="40">
        <v>0</v>
      </c>
      <c r="N33" s="32" t="str">
        <f t="shared" si="2"/>
        <v>N</v>
      </c>
    </row>
    <row r="34" spans="1:14">
      <c r="A34" s="26">
        <v>32</v>
      </c>
      <c r="B34" s="41"/>
      <c r="C34" s="42"/>
      <c r="D34" s="43"/>
      <c r="E34" s="43"/>
      <c r="F34" s="43"/>
      <c r="G34" s="43"/>
      <c r="H34" s="48"/>
      <c r="I34" s="144">
        <v>344506</v>
      </c>
      <c r="J34" s="144">
        <v>250000</v>
      </c>
      <c r="K34" s="144">
        <f t="shared" si="0"/>
        <v>94506</v>
      </c>
      <c r="L34" s="30">
        <f t="shared" si="1"/>
        <v>0.27432323384788654</v>
      </c>
      <c r="M34" s="40">
        <v>0</v>
      </c>
      <c r="N34" s="32" t="str">
        <f t="shared" si="2"/>
        <v>N</v>
      </c>
    </row>
    <row r="35" spans="1:14">
      <c r="A35" s="26">
        <v>33</v>
      </c>
      <c r="B35" s="41"/>
      <c r="C35" s="42"/>
      <c r="D35" s="43"/>
      <c r="E35" s="43"/>
      <c r="F35" s="43"/>
      <c r="G35" s="43"/>
      <c r="H35" s="48"/>
      <c r="I35" s="144">
        <v>789740</v>
      </c>
      <c r="J35" s="144">
        <v>789000</v>
      </c>
      <c r="K35" s="144">
        <f t="shared" si="0"/>
        <v>740</v>
      </c>
      <c r="L35" s="30">
        <f t="shared" si="1"/>
        <v>9.3701724618228783E-4</v>
      </c>
      <c r="M35" s="40">
        <v>0</v>
      </c>
      <c r="N35" s="17" t="str">
        <f t="shared" si="2"/>
        <v>Y</v>
      </c>
    </row>
    <row r="36" spans="1:14">
      <c r="A36" s="26">
        <v>34</v>
      </c>
      <c r="B36" s="41"/>
      <c r="C36" s="42"/>
      <c r="D36" s="43"/>
      <c r="E36" s="43"/>
      <c r="F36" s="43"/>
      <c r="G36" s="43"/>
      <c r="H36" s="48"/>
      <c r="I36" s="144">
        <v>345060</v>
      </c>
      <c r="J36" s="144">
        <v>343450</v>
      </c>
      <c r="K36" s="144">
        <f t="shared" si="0"/>
        <v>1610</v>
      </c>
      <c r="L36" s="30">
        <f t="shared" si="1"/>
        <v>4.665855213586043E-3</v>
      </c>
      <c r="M36" s="40">
        <v>0</v>
      </c>
      <c r="N36" s="32" t="str">
        <f t="shared" si="2"/>
        <v>N</v>
      </c>
    </row>
    <row r="37" spans="1:14">
      <c r="A37" s="26">
        <v>35</v>
      </c>
      <c r="B37" s="45"/>
      <c r="C37" s="46"/>
      <c r="D37" s="47"/>
      <c r="E37" s="47"/>
      <c r="F37" s="47"/>
      <c r="G37" s="47"/>
      <c r="H37" s="49"/>
      <c r="I37" s="146">
        <v>350670</v>
      </c>
      <c r="J37" s="146">
        <v>340334</v>
      </c>
      <c r="K37" s="146">
        <f t="shared" si="0"/>
        <v>10336</v>
      </c>
      <c r="L37" s="30">
        <f t="shared" si="1"/>
        <v>2.9475004990446859E-2</v>
      </c>
      <c r="M37" s="40">
        <v>0</v>
      </c>
      <c r="N37" s="32" t="str">
        <f t="shared" si="2"/>
        <v>N</v>
      </c>
    </row>
    <row r="38" spans="1:14">
      <c r="A38" s="50">
        <v>36</v>
      </c>
      <c r="B38" s="41"/>
      <c r="C38" s="42"/>
      <c r="D38" s="43"/>
      <c r="E38" s="43"/>
      <c r="F38" s="43"/>
      <c r="G38" s="43"/>
      <c r="H38" s="48"/>
      <c r="I38" s="144">
        <v>401000</v>
      </c>
      <c r="J38" s="144">
        <v>400000</v>
      </c>
      <c r="K38" s="144">
        <f t="shared" si="0"/>
        <v>1000</v>
      </c>
      <c r="L38" s="30">
        <f t="shared" si="1"/>
        <v>2.4937655860349127E-3</v>
      </c>
      <c r="M38" s="51">
        <v>0</v>
      </c>
      <c r="N38" s="32" t="str">
        <f t="shared" si="2"/>
        <v>N</v>
      </c>
    </row>
    <row r="39" spans="1:14">
      <c r="A39" s="50">
        <v>37</v>
      </c>
      <c r="B39" s="41"/>
      <c r="C39" s="42"/>
      <c r="D39" s="43"/>
      <c r="E39" s="43"/>
      <c r="F39" s="43"/>
      <c r="G39" s="43"/>
      <c r="H39" s="48"/>
      <c r="I39" s="144">
        <v>2345</v>
      </c>
      <c r="J39" s="144">
        <v>2000</v>
      </c>
      <c r="K39" s="144">
        <f t="shared" si="0"/>
        <v>345</v>
      </c>
      <c r="L39" s="30">
        <f t="shared" si="1"/>
        <v>0.14712153518123666</v>
      </c>
      <c r="M39" s="51">
        <v>0</v>
      </c>
      <c r="N39" s="32" t="str">
        <f t="shared" ref="N39:N52" si="3">IF((I39&gt;($G$56/$J$60)),"Y","N")</f>
        <v>N</v>
      </c>
    </row>
    <row r="40" spans="1:14">
      <c r="A40" s="50">
        <v>38</v>
      </c>
      <c r="B40" s="41"/>
      <c r="C40" s="42"/>
      <c r="D40" s="43"/>
      <c r="E40" s="43"/>
      <c r="F40" s="43"/>
      <c r="G40" s="43"/>
      <c r="H40" s="48"/>
      <c r="I40" s="144">
        <v>1245</v>
      </c>
      <c r="J40" s="144">
        <v>1233</v>
      </c>
      <c r="K40" s="144">
        <f t="shared" si="0"/>
        <v>12</v>
      </c>
      <c r="L40" s="30">
        <f t="shared" si="1"/>
        <v>9.6385542168674707E-3</v>
      </c>
      <c r="M40" s="51">
        <v>0</v>
      </c>
      <c r="N40" s="32" t="str">
        <f t="shared" si="3"/>
        <v>N</v>
      </c>
    </row>
    <row r="41" spans="1:14">
      <c r="A41" s="50">
        <v>39</v>
      </c>
      <c r="B41" s="41"/>
      <c r="C41" s="42"/>
      <c r="D41" s="43"/>
      <c r="E41" s="43"/>
      <c r="F41" s="43"/>
      <c r="G41" s="43"/>
      <c r="H41" s="48"/>
      <c r="I41" s="144">
        <v>2987</v>
      </c>
      <c r="J41" s="144">
        <v>2897</v>
      </c>
      <c r="K41" s="144">
        <f t="shared" si="0"/>
        <v>90</v>
      </c>
      <c r="L41" s="30">
        <f t="shared" si="1"/>
        <v>3.013056578506863E-2</v>
      </c>
      <c r="M41" s="51">
        <v>0</v>
      </c>
      <c r="N41" s="32" t="str">
        <f t="shared" si="3"/>
        <v>N</v>
      </c>
    </row>
    <row r="42" spans="1:14">
      <c r="A42" s="50">
        <v>40</v>
      </c>
      <c r="B42" s="41"/>
      <c r="C42" s="42"/>
      <c r="D42" s="43"/>
      <c r="E42" s="43"/>
      <c r="F42" s="43"/>
      <c r="G42" s="43"/>
      <c r="H42" s="48"/>
      <c r="I42" s="144">
        <v>56723</v>
      </c>
      <c r="J42" s="144">
        <v>54345</v>
      </c>
      <c r="K42" s="144">
        <f t="shared" si="0"/>
        <v>2378</v>
      </c>
      <c r="L42" s="30">
        <f t="shared" si="1"/>
        <v>4.1923029458949636E-2</v>
      </c>
      <c r="M42" s="52">
        <v>0</v>
      </c>
      <c r="N42" s="32" t="str">
        <f t="shared" si="3"/>
        <v>N</v>
      </c>
    </row>
    <row r="43" spans="1:14">
      <c r="A43" s="50">
        <v>41</v>
      </c>
      <c r="B43" s="41"/>
      <c r="C43" s="42"/>
      <c r="D43" s="43"/>
      <c r="E43" s="43"/>
      <c r="F43" s="43"/>
      <c r="G43" s="43"/>
      <c r="H43" s="48"/>
      <c r="I43" s="144">
        <v>10230</v>
      </c>
      <c r="J43" s="144">
        <v>10222</v>
      </c>
      <c r="K43" s="144">
        <f t="shared" si="0"/>
        <v>8</v>
      </c>
      <c r="L43" s="30">
        <f t="shared" si="1"/>
        <v>7.8201368523949169E-4</v>
      </c>
      <c r="M43" s="52">
        <v>0</v>
      </c>
      <c r="N43" s="32" t="str">
        <f t="shared" si="3"/>
        <v>N</v>
      </c>
    </row>
    <row r="44" spans="1:14">
      <c r="A44" s="50">
        <v>42</v>
      </c>
      <c r="B44" s="41"/>
      <c r="C44" s="42"/>
      <c r="D44" s="43"/>
      <c r="E44" s="43"/>
      <c r="F44" s="43"/>
      <c r="G44" s="43"/>
      <c r="H44" s="48"/>
      <c r="I44" s="144">
        <v>345660</v>
      </c>
      <c r="J44" s="144">
        <v>344567</v>
      </c>
      <c r="K44" s="144">
        <f t="shared" si="0"/>
        <v>1093</v>
      </c>
      <c r="L44" s="30">
        <f t="shared" si="1"/>
        <v>3.1620667708152522E-3</v>
      </c>
      <c r="M44" s="52">
        <v>0</v>
      </c>
      <c r="N44" s="32" t="str">
        <f t="shared" si="3"/>
        <v>N</v>
      </c>
    </row>
    <row r="45" spans="1:14">
      <c r="A45" s="50">
        <v>43</v>
      </c>
      <c r="B45" s="41"/>
      <c r="C45" s="42"/>
      <c r="D45" s="43"/>
      <c r="E45" s="43"/>
      <c r="F45" s="43"/>
      <c r="G45" s="43"/>
      <c r="H45" s="48"/>
      <c r="I45" s="144">
        <v>34521</v>
      </c>
      <c r="J45" s="144">
        <v>34521</v>
      </c>
      <c r="K45" s="144">
        <f t="shared" si="0"/>
        <v>0</v>
      </c>
      <c r="L45" s="30">
        <f t="shared" si="1"/>
        <v>0</v>
      </c>
      <c r="M45" s="52">
        <v>0</v>
      </c>
      <c r="N45" s="32" t="str">
        <f t="shared" si="3"/>
        <v>N</v>
      </c>
    </row>
    <row r="46" spans="1:14">
      <c r="A46" s="50">
        <v>44</v>
      </c>
      <c r="B46" s="41"/>
      <c r="C46" s="42"/>
      <c r="D46" s="43"/>
      <c r="E46" s="43"/>
      <c r="F46" s="43"/>
      <c r="G46" s="43"/>
      <c r="H46" s="48"/>
      <c r="I46" s="144">
        <v>27890</v>
      </c>
      <c r="J46" s="144">
        <v>27890</v>
      </c>
      <c r="K46" s="144">
        <f t="shared" si="0"/>
        <v>0</v>
      </c>
      <c r="L46" s="30">
        <f t="shared" si="1"/>
        <v>0</v>
      </c>
      <c r="M46" s="52">
        <v>0</v>
      </c>
      <c r="N46" s="32" t="str">
        <f t="shared" si="3"/>
        <v>N</v>
      </c>
    </row>
    <row r="47" spans="1:14">
      <c r="A47" s="50">
        <v>45</v>
      </c>
      <c r="B47" s="41"/>
      <c r="C47" s="42"/>
      <c r="D47" s="43"/>
      <c r="E47" s="43"/>
      <c r="F47" s="43"/>
      <c r="G47" s="43"/>
      <c r="H47" s="48"/>
      <c r="I47" s="144">
        <v>34512</v>
      </c>
      <c r="J47" s="144">
        <v>34512</v>
      </c>
      <c r="K47" s="144">
        <f t="shared" si="0"/>
        <v>0</v>
      </c>
      <c r="L47" s="30">
        <f t="shared" si="1"/>
        <v>0</v>
      </c>
      <c r="M47" s="52">
        <v>0</v>
      </c>
      <c r="N47" s="32" t="str">
        <f t="shared" si="3"/>
        <v>N</v>
      </c>
    </row>
    <row r="48" spans="1:14">
      <c r="A48" s="50">
        <v>46</v>
      </c>
      <c r="B48" s="41"/>
      <c r="C48" s="42"/>
      <c r="D48" s="43"/>
      <c r="E48" s="43"/>
      <c r="F48" s="43"/>
      <c r="G48" s="43"/>
      <c r="H48" s="48"/>
      <c r="I48" s="144">
        <v>56765</v>
      </c>
      <c r="J48" s="144">
        <v>56765</v>
      </c>
      <c r="K48" s="144">
        <f t="shared" si="0"/>
        <v>0</v>
      </c>
      <c r="L48" s="30">
        <f t="shared" si="1"/>
        <v>0</v>
      </c>
      <c r="M48" s="52">
        <v>0</v>
      </c>
      <c r="N48" s="32" t="str">
        <f t="shared" si="3"/>
        <v>N</v>
      </c>
    </row>
    <row r="49" spans="1:14">
      <c r="A49" s="50">
        <v>47</v>
      </c>
      <c r="B49" s="41"/>
      <c r="C49" s="42"/>
      <c r="D49" s="43"/>
      <c r="E49" s="43"/>
      <c r="F49" s="43"/>
      <c r="G49" s="43"/>
      <c r="H49" s="48"/>
      <c r="I49" s="144">
        <v>2567</v>
      </c>
      <c r="J49" s="144">
        <v>2400</v>
      </c>
      <c r="K49" s="144">
        <f t="shared" si="0"/>
        <v>167</v>
      </c>
      <c r="L49" s="30">
        <f t="shared" si="1"/>
        <v>6.505648617062719E-2</v>
      </c>
      <c r="M49" s="52">
        <v>0</v>
      </c>
      <c r="N49" s="32" t="str">
        <f t="shared" si="3"/>
        <v>N</v>
      </c>
    </row>
    <row r="50" spans="1:14">
      <c r="A50" s="50">
        <v>48</v>
      </c>
      <c r="B50" s="41"/>
      <c r="C50" s="42"/>
      <c r="D50" s="43"/>
      <c r="E50" s="43"/>
      <c r="F50" s="43"/>
      <c r="G50" s="43"/>
      <c r="H50" s="48"/>
      <c r="I50" s="144">
        <v>35665</v>
      </c>
      <c r="J50" s="144">
        <v>34000</v>
      </c>
      <c r="K50" s="144">
        <f t="shared" si="0"/>
        <v>1665</v>
      </c>
      <c r="L50" s="30">
        <f t="shared" si="1"/>
        <v>4.6684424505818028E-2</v>
      </c>
      <c r="M50" s="52">
        <v>0</v>
      </c>
      <c r="N50" s="32" t="str">
        <f t="shared" si="3"/>
        <v>N</v>
      </c>
    </row>
    <row r="51" spans="1:14">
      <c r="A51" s="50">
        <v>49</v>
      </c>
      <c r="B51" s="41"/>
      <c r="C51" s="42"/>
      <c r="D51" s="43"/>
      <c r="E51" s="43"/>
      <c r="F51" s="43"/>
      <c r="G51" s="43"/>
      <c r="H51" s="48"/>
      <c r="I51" s="144">
        <v>3430</v>
      </c>
      <c r="J51" s="144">
        <v>3430</v>
      </c>
      <c r="K51" s="144">
        <f t="shared" si="0"/>
        <v>0</v>
      </c>
      <c r="L51" s="30">
        <f t="shared" si="1"/>
        <v>0</v>
      </c>
      <c r="M51" s="52">
        <v>0</v>
      </c>
      <c r="N51" s="32" t="str">
        <f t="shared" si="3"/>
        <v>N</v>
      </c>
    </row>
    <row r="52" spans="1:14">
      <c r="A52" s="50">
        <v>50</v>
      </c>
      <c r="B52" s="41"/>
      <c r="C52" s="42"/>
      <c r="D52" s="43"/>
      <c r="E52" s="43"/>
      <c r="F52" s="43"/>
      <c r="G52" s="43"/>
      <c r="H52" s="48"/>
      <c r="I52" s="144">
        <v>45564</v>
      </c>
      <c r="J52" s="144">
        <v>45564</v>
      </c>
      <c r="K52" s="144">
        <f t="shared" si="0"/>
        <v>0</v>
      </c>
      <c r="L52" s="30">
        <f t="shared" si="1"/>
        <v>0</v>
      </c>
      <c r="M52" s="52">
        <v>0</v>
      </c>
      <c r="N52" s="32" t="str">
        <f t="shared" si="3"/>
        <v>N</v>
      </c>
    </row>
    <row r="53" spans="1:14">
      <c r="A53" s="14"/>
      <c r="B53" s="10"/>
      <c r="C53" s="11"/>
      <c r="D53" s="12"/>
      <c r="E53" s="12"/>
      <c r="F53" s="12"/>
      <c r="G53" s="125">
        <f>I53/G56</f>
        <v>0.31566765665894964</v>
      </c>
      <c r="H53" s="53"/>
      <c r="I53" s="142">
        <f>SUM(I3:I52)</f>
        <v>6457371.1351794749</v>
      </c>
      <c r="J53" s="142">
        <f>SUM(J3:J52)</f>
        <v>6189778.9699774608</v>
      </c>
      <c r="K53" s="142">
        <f>SUM(K3:K52)</f>
        <v>267592.1652020138</v>
      </c>
      <c r="L53" s="54">
        <f>SUM(L4,L6:L34,L36:L52)</f>
        <v>1.4535388354962431</v>
      </c>
      <c r="M53" s="2"/>
      <c r="N53" s="55"/>
    </row>
    <row r="54" spans="1:14">
      <c r="A54" s="56"/>
      <c r="B54" s="56"/>
      <c r="C54" s="57"/>
      <c r="D54" s="58"/>
      <c r="E54" s="58"/>
      <c r="F54" s="58"/>
      <c r="G54" s="58"/>
      <c r="H54" s="53" t="s">
        <v>112</v>
      </c>
      <c r="I54" s="59"/>
      <c r="J54" s="3" t="s">
        <v>113</v>
      </c>
      <c r="K54" s="130">
        <f>STDEV(K3:K27)</f>
        <v>19868.557407661232</v>
      </c>
      <c r="L54" s="143">
        <f>STDEV(L3:L22)</f>
        <v>8.8319275916833764E-2</v>
      </c>
      <c r="M54" s="61"/>
      <c r="N54" s="55"/>
    </row>
    <row r="55" spans="1:14" ht="27.75" customHeight="1">
      <c r="J55" s="5" t="s">
        <v>114</v>
      </c>
      <c r="K55" s="130">
        <f>STDEV(K3:K52)</f>
        <v>19185.444045215205</v>
      </c>
      <c r="L55" s="143">
        <f>STDEV(L4,L6:L34,L36:L52)</f>
        <v>6.9386588225435475E-2</v>
      </c>
      <c r="N55" s="55"/>
    </row>
    <row r="56" spans="1:14" ht="60.75" customHeight="1">
      <c r="E56" s="158" t="s">
        <v>115</v>
      </c>
      <c r="F56" s="158"/>
      <c r="G56" s="128">
        <v>20456233</v>
      </c>
      <c r="J56" s="63"/>
    </row>
    <row r="57" spans="1:14">
      <c r="E57" s="151" t="s">
        <v>116</v>
      </c>
      <c r="F57" s="151"/>
      <c r="G57" s="128">
        <f>2%*G56</f>
        <v>409124.66000000003</v>
      </c>
      <c r="J57" s="64"/>
    </row>
    <row r="58" spans="1:14" ht="36" customHeight="1">
      <c r="E58" s="158" t="s">
        <v>168</v>
      </c>
      <c r="F58" s="158"/>
      <c r="G58" s="128">
        <f>10%*G57</f>
        <v>40912.466000000008</v>
      </c>
    </row>
    <row r="59" spans="1:14" ht="38.25" customHeight="1">
      <c r="E59" s="151" t="s">
        <v>117</v>
      </c>
      <c r="F59" s="151"/>
      <c r="G59" s="3">
        <v>600</v>
      </c>
      <c r="I59" s="3" t="s">
        <v>118</v>
      </c>
      <c r="L59" s="5" t="s">
        <v>119</v>
      </c>
      <c r="M59" s="62">
        <v>3</v>
      </c>
    </row>
    <row r="60" spans="1:14" ht="38.25">
      <c r="E60" s="158" t="s">
        <v>120</v>
      </c>
      <c r="F60" s="158"/>
      <c r="G60" s="3">
        <v>1.44</v>
      </c>
      <c r="I60" s="3" t="s">
        <v>121</v>
      </c>
      <c r="J60" s="15">
        <f>ROUNDUP(((G56*L54*G60)/(G57-G58))^2,0)</f>
        <v>50</v>
      </c>
      <c r="L60" s="16" t="s">
        <v>122</v>
      </c>
      <c r="M60" s="127">
        <f>((G56-I35-I5-I3)/(J60-M59))</f>
        <v>396810.15610534354</v>
      </c>
    </row>
    <row r="61" spans="1:14" ht="38.25">
      <c r="I61" s="5" t="s">
        <v>123</v>
      </c>
      <c r="J61" s="18">
        <f>J60-M59</f>
        <v>47</v>
      </c>
    </row>
    <row r="62" spans="1:14">
      <c r="J62" s="62"/>
    </row>
    <row r="64" spans="1:14">
      <c r="J64" s="62"/>
    </row>
    <row r="67" spans="10:10">
      <c r="J67" s="65"/>
    </row>
    <row r="70" spans="10:10">
      <c r="J70" s="66"/>
    </row>
  </sheetData>
  <mergeCells count="5">
    <mergeCell ref="E56:F56"/>
    <mergeCell ref="E57:F57"/>
    <mergeCell ref="E58:F58"/>
    <mergeCell ref="E59:F59"/>
    <mergeCell ref="E60:F60"/>
  </mergeCells>
  <conditionalFormatting sqref="M13:M26 L53 I32:L32 K13:L27 J28:L31 K3:M12 I3:J27 I44:K52 I33:K38">
    <cfRule type="expression" dxfId="8" priority="18" stopIfTrue="1">
      <formula>$L3="No"</formula>
    </cfRule>
  </conditionalFormatting>
  <conditionalFormatting sqref="I54 I53:K53">
    <cfRule type="expression" dxfId="7" priority="7" stopIfTrue="1">
      <formula>$L53="No"</formula>
    </cfRule>
  </conditionalFormatting>
  <conditionalFormatting sqref="K54">
    <cfRule type="expression" dxfId="6" priority="6" stopIfTrue="1">
      <formula>$L55="No"</formula>
    </cfRule>
  </conditionalFormatting>
  <conditionalFormatting sqref="K55">
    <cfRule type="expression" dxfId="5" priority="5" stopIfTrue="1">
      <formula>$L56="No"</formula>
    </cfRule>
  </conditionalFormatting>
  <conditionalFormatting sqref="L54">
    <cfRule type="expression" dxfId="4" priority="4" stopIfTrue="1">
      <formula>$L55="No"</formula>
    </cfRule>
  </conditionalFormatting>
  <conditionalFormatting sqref="L55">
    <cfRule type="expression" dxfId="3" priority="3" stopIfTrue="1">
      <formula>$L56="No"</formula>
    </cfRule>
  </conditionalFormatting>
  <conditionalFormatting sqref="I28:I31">
    <cfRule type="expression" dxfId="2" priority="24" stopIfTrue="1">
      <formula>$M17="No"</formula>
    </cfRule>
  </conditionalFormatting>
  <conditionalFormatting sqref="I39:K43">
    <cfRule type="expression" dxfId="1" priority="2" stopIfTrue="1">
      <formula>$L39="No"</formula>
    </cfRule>
  </conditionalFormatting>
  <conditionalFormatting sqref="L33:L52">
    <cfRule type="expression" dxfId="0" priority="1" stopIfTrue="1">
      <formula>$L33="No"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13"/>
  <sheetViews>
    <sheetView workbookViewId="0"/>
  </sheetViews>
  <sheetFormatPr defaultColWidth="9.140625" defaultRowHeight="14.25"/>
  <cols>
    <col min="1" max="1" width="14.5703125" style="6" customWidth="1"/>
    <col min="2" max="16384" width="9.140625" style="6"/>
  </cols>
  <sheetData>
    <row r="1" spans="1:2" ht="30">
      <c r="A1" s="9" t="s">
        <v>138</v>
      </c>
      <c r="B1" s="9" t="s">
        <v>139</v>
      </c>
    </row>
    <row r="2" spans="1:2">
      <c r="A2" s="7">
        <v>0.6</v>
      </c>
      <c r="B2" s="8">
        <v>0.84199999999999997</v>
      </c>
    </row>
    <row r="3" spans="1:2">
      <c r="A3" s="7">
        <v>0.65</v>
      </c>
      <c r="B3" s="8">
        <v>0.93</v>
      </c>
    </row>
    <row r="4" spans="1:2">
      <c r="A4" s="7">
        <v>0.7</v>
      </c>
      <c r="B4" s="8">
        <v>1.04</v>
      </c>
    </row>
    <row r="5" spans="1:2">
      <c r="A5" s="7">
        <v>0.75</v>
      </c>
      <c r="B5" s="8">
        <v>1.1499999999999999</v>
      </c>
    </row>
    <row r="6" spans="1:2">
      <c r="A6" s="7">
        <v>0.8</v>
      </c>
      <c r="B6" s="8">
        <v>1.28</v>
      </c>
    </row>
    <row r="7" spans="1:2">
      <c r="A7" s="7">
        <v>0.85</v>
      </c>
      <c r="B7" s="8">
        <v>1.44</v>
      </c>
    </row>
    <row r="8" spans="1:2">
      <c r="A8" s="7">
        <v>0.9</v>
      </c>
      <c r="B8" s="8">
        <v>1.645</v>
      </c>
    </row>
    <row r="9" spans="1:2">
      <c r="A9" s="7">
        <v>0.92</v>
      </c>
      <c r="B9" s="8">
        <v>1.75</v>
      </c>
    </row>
    <row r="10" spans="1:2">
      <c r="A10" s="7">
        <v>0.95</v>
      </c>
      <c r="B10" s="8">
        <v>1.96</v>
      </c>
    </row>
    <row r="11" spans="1:2">
      <c r="A11" s="7">
        <v>0.96</v>
      </c>
      <c r="B11" s="8">
        <v>2.0499999999999998</v>
      </c>
    </row>
    <row r="12" spans="1:2">
      <c r="A12" s="7">
        <v>0.98</v>
      </c>
      <c r="B12" s="8">
        <v>2.33</v>
      </c>
    </row>
    <row r="13" spans="1:2">
      <c r="A13" s="7">
        <v>0.99</v>
      </c>
      <c r="B13" s="8">
        <v>2.58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3"/>
  <sheetViews>
    <sheetView workbookViewId="0">
      <selection activeCell="J36" sqref="J36"/>
    </sheetView>
  </sheetViews>
  <sheetFormatPr defaultColWidth="9.140625" defaultRowHeight="12.75"/>
  <cols>
    <col min="1" max="1" width="12.28515625" style="3" customWidth="1"/>
    <col min="2" max="16384" width="9.140625" style="3"/>
  </cols>
  <sheetData>
    <row r="1" spans="1:10">
      <c r="A1" s="1" t="s">
        <v>140</v>
      </c>
    </row>
    <row r="3" spans="1:10">
      <c r="A3" s="3" t="s">
        <v>141</v>
      </c>
    </row>
    <row r="4" spans="1:10">
      <c r="A4" s="3" t="s">
        <v>142</v>
      </c>
    </row>
    <row r="5" spans="1:10">
      <c r="A5" s="3" t="s">
        <v>143</v>
      </c>
    </row>
    <row r="6" spans="1:10">
      <c r="A6" s="3" t="s">
        <v>144</v>
      </c>
    </row>
    <row r="7" spans="1:10">
      <c r="A7" s="3" t="s">
        <v>145</v>
      </c>
    </row>
    <row r="15" spans="1:10" ht="13.5" thickBot="1"/>
    <row r="16" spans="1:10" ht="26.25" thickBot="1">
      <c r="A16" s="107" t="s">
        <v>146</v>
      </c>
      <c r="B16" s="126">
        <v>0.99</v>
      </c>
      <c r="C16" s="126">
        <v>0.95</v>
      </c>
      <c r="D16" s="126">
        <v>0.9</v>
      </c>
      <c r="E16" s="126">
        <v>0.85</v>
      </c>
      <c r="F16" s="126">
        <v>0.8</v>
      </c>
      <c r="G16" s="126">
        <v>0.75</v>
      </c>
      <c r="H16" s="126">
        <v>0.7</v>
      </c>
      <c r="I16" s="126">
        <v>0.6</v>
      </c>
      <c r="J16" s="126">
        <v>0.5</v>
      </c>
    </row>
    <row r="17" spans="1:10" ht="39" thickBot="1">
      <c r="A17" s="108" t="s">
        <v>147</v>
      </c>
      <c r="B17" s="109" t="s">
        <v>148</v>
      </c>
      <c r="C17" s="109" t="s">
        <v>149</v>
      </c>
      <c r="D17" s="109" t="s">
        <v>150</v>
      </c>
      <c r="E17" s="109" t="s">
        <v>151</v>
      </c>
      <c r="F17" s="109" t="s">
        <v>152</v>
      </c>
      <c r="G17" s="109" t="s">
        <v>153</v>
      </c>
      <c r="H17" s="109" t="s">
        <v>154</v>
      </c>
      <c r="I17" s="109" t="s">
        <v>155</v>
      </c>
      <c r="J17" s="109" t="s">
        <v>156</v>
      </c>
    </row>
    <row r="19" spans="1:10" ht="13.5" thickBot="1"/>
    <row r="20" spans="1:10" ht="26.25" thickBot="1">
      <c r="A20" s="107" t="s">
        <v>157</v>
      </c>
      <c r="B20" s="126">
        <v>0.99</v>
      </c>
      <c r="C20" s="126">
        <v>0.95</v>
      </c>
      <c r="D20" s="126">
        <v>0.9</v>
      </c>
      <c r="E20" s="126">
        <v>0.85</v>
      </c>
      <c r="F20" s="126">
        <v>0.8</v>
      </c>
      <c r="G20" s="126">
        <v>0.75</v>
      </c>
      <c r="H20" s="126">
        <v>0.7</v>
      </c>
      <c r="I20" s="126">
        <v>0.6</v>
      </c>
      <c r="J20" s="126">
        <v>0.5</v>
      </c>
    </row>
    <row r="21" spans="1:10" ht="39" thickBot="1">
      <c r="A21" s="108" t="s">
        <v>158</v>
      </c>
      <c r="B21" s="109" t="s">
        <v>159</v>
      </c>
      <c r="C21" s="109" t="s">
        <v>160</v>
      </c>
      <c r="D21" s="109" t="s">
        <v>161</v>
      </c>
      <c r="E21" s="109" t="s">
        <v>162</v>
      </c>
      <c r="F21" s="109" t="s">
        <v>163</v>
      </c>
      <c r="G21" s="109" t="s">
        <v>164</v>
      </c>
      <c r="H21" s="109" t="s">
        <v>165</v>
      </c>
      <c r="I21" s="110" t="s">
        <v>166</v>
      </c>
      <c r="J21" s="109" t="s">
        <v>167</v>
      </c>
    </row>
    <row r="33" spans="9:9" ht="15">
      <c r="I33" s="1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SRS</vt:lpstr>
      <vt:lpstr>Veľkosť vzorky – SRS</vt:lpstr>
      <vt:lpstr>Štandardný MUS</vt:lpstr>
      <vt:lpstr>Veľkosť vzorky – št. MUS</vt:lpstr>
      <vt:lpstr>Hodnoty z</vt:lpstr>
      <vt:lpstr>Konzervatívny MUS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ILIEVA Mariya (AGRI)</dc:creator>
  <cp:lastModifiedBy>LY-SUNNARAM Vincent (AGRI)</cp:lastModifiedBy>
  <dcterms:created xsi:type="dcterms:W3CDTF">2016-10-14T09:08:18Z</dcterms:created>
  <dcterms:modified xsi:type="dcterms:W3CDTF">2017-09-13T13:02:11Z</dcterms:modified>
</cp:coreProperties>
</file>