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Zuzana Szláviková\Documents\projekty 2023\Projket Mikuláš 2023\"/>
    </mc:Choice>
  </mc:AlternateContent>
  <xr:revisionPtr revIDLastSave="0" documentId="13_ncr:1_{C26B6328-2B21-455E-918F-F9412D5365F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ácia stavby" sheetId="1" r:id="rId1"/>
    <sheet name="z25-02 - Maštaľ - výmena ..." sheetId="2" r:id="rId2"/>
  </sheets>
  <definedNames>
    <definedName name="_xlnm._FilterDatabase" localSheetId="1" hidden="1">'z25-02 - Maštaľ - výmena ...'!$C$122:$K$187</definedName>
    <definedName name="_xlnm.Print_Titles" localSheetId="0">'Rekapitulácia stavby'!$92:$92</definedName>
    <definedName name="_xlnm.Print_Titles" localSheetId="1">'z25-02 - Maštaľ - výmena ...'!$122:$122</definedName>
    <definedName name="_xlnm.Print_Area" localSheetId="0">'Rekapitulácia stavby'!$D$4:$AO$76,'Rekapitulácia stavby'!$C$82:$AQ$96</definedName>
    <definedName name="_xlnm.Print_Area" localSheetId="1">'z25-02 - Maštaľ - výmena ...'!$C$4:$J$76,'z25-02 - Maštaľ - výmena ...'!$C$112:$J$187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84" i="2"/>
  <c r="BH184" i="2"/>
  <c r="BG184" i="2"/>
  <c r="BE184" i="2"/>
  <c r="T184" i="2"/>
  <c r="R184" i="2"/>
  <c r="P184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1" i="2"/>
  <c r="BH171" i="2"/>
  <c r="BG171" i="2"/>
  <c r="BE171" i="2"/>
  <c r="T171" i="2"/>
  <c r="R171" i="2"/>
  <c r="P171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R153" i="2"/>
  <c r="P153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T146" i="2"/>
  <c r="R147" i="2"/>
  <c r="R146" i="2"/>
  <c r="P147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26" i="2"/>
  <c r="BH126" i="2"/>
  <c r="BG126" i="2"/>
  <c r="BE126" i="2"/>
  <c r="T126" i="2"/>
  <c r="R126" i="2"/>
  <c r="P126" i="2"/>
  <c r="F120" i="2"/>
  <c r="J119" i="2"/>
  <c r="F119" i="2"/>
  <c r="F117" i="2"/>
  <c r="E115" i="2"/>
  <c r="J29" i="2"/>
  <c r="F90" i="2"/>
  <c r="J89" i="2"/>
  <c r="F89" i="2"/>
  <c r="F87" i="2"/>
  <c r="E85" i="2"/>
  <c r="J22" i="2"/>
  <c r="E22" i="2"/>
  <c r="J90" i="2" s="1"/>
  <c r="J21" i="2"/>
  <c r="J10" i="2"/>
  <c r="J87" i="2"/>
  <c r="L90" i="1"/>
  <c r="AM90" i="1"/>
  <c r="AM89" i="1"/>
  <c r="L89" i="1"/>
  <c r="AM87" i="1"/>
  <c r="L87" i="1"/>
  <c r="L85" i="1"/>
  <c r="L84" i="1"/>
  <c r="J184" i="2"/>
  <c r="J138" i="2"/>
  <c r="J177" i="2"/>
  <c r="BK167" i="2"/>
  <c r="BK160" i="2"/>
  <c r="J147" i="2"/>
  <c r="BK137" i="2"/>
  <c r="J133" i="2"/>
  <c r="J175" i="2"/>
  <c r="J156" i="2"/>
  <c r="J144" i="2"/>
  <c r="BK134" i="2"/>
  <c r="J179" i="2"/>
  <c r="BK143" i="2"/>
  <c r="BK153" i="2"/>
  <c r="J139" i="2"/>
  <c r="BK184" i="2"/>
  <c r="J166" i="2"/>
  <c r="J158" i="2"/>
  <c r="BK145" i="2"/>
  <c r="BK139" i="2"/>
  <c r="BK179" i="2"/>
  <c r="BK158" i="2"/>
  <c r="BK140" i="2"/>
  <c r="J126" i="2"/>
  <c r="J164" i="2"/>
  <c r="J141" i="2"/>
  <c r="AS94" i="1"/>
  <c r="J167" i="2"/>
  <c r="J140" i="2"/>
  <c r="BK133" i="2"/>
  <c r="BK175" i="2"/>
  <c r="BK164" i="2"/>
  <c r="J150" i="2"/>
  <c r="BK141" i="2"/>
  <c r="J180" i="2"/>
  <c r="BK166" i="2"/>
  <c r="J153" i="2"/>
  <c r="BK138" i="2"/>
  <c r="BK180" i="2"/>
  <c r="BK150" i="2"/>
  <c r="J135" i="2"/>
  <c r="J160" i="2"/>
  <c r="J143" i="2"/>
  <c r="BK126" i="2"/>
  <c r="J171" i="2"/>
  <c r="J162" i="2"/>
  <c r="BK156" i="2"/>
  <c r="BK144" i="2"/>
  <c r="BK135" i="2"/>
  <c r="BK177" i="2"/>
  <c r="BK162" i="2"/>
  <c r="BK147" i="2"/>
  <c r="J137" i="2"/>
  <c r="BK171" i="2"/>
  <c r="J145" i="2"/>
  <c r="J134" i="2"/>
  <c r="P125" i="2" l="1"/>
  <c r="P124" i="2" s="1"/>
  <c r="BK157" i="2"/>
  <c r="J157" i="2"/>
  <c r="J100" i="2" s="1"/>
  <c r="BK178" i="2"/>
  <c r="J178" i="2"/>
  <c r="J101" i="2"/>
  <c r="BK125" i="2"/>
  <c r="BK149" i="2"/>
  <c r="J149" i="2"/>
  <c r="J99" i="2"/>
  <c r="T149" i="2"/>
  <c r="T157" i="2"/>
  <c r="P178" i="2"/>
  <c r="R125" i="2"/>
  <c r="R124" i="2" s="1"/>
  <c r="P149" i="2"/>
  <c r="P157" i="2"/>
  <c r="R178" i="2"/>
  <c r="T125" i="2"/>
  <c r="T124" i="2" s="1"/>
  <c r="R149" i="2"/>
  <c r="R157" i="2"/>
  <c r="T178" i="2"/>
  <c r="BK146" i="2"/>
  <c r="J146" i="2"/>
  <c r="J97" i="2"/>
  <c r="J117" i="2"/>
  <c r="J120" i="2"/>
  <c r="BF133" i="2"/>
  <c r="BF134" i="2"/>
  <c r="BF135" i="2"/>
  <c r="BF139" i="2"/>
  <c r="BF140" i="2"/>
  <c r="BF141" i="2"/>
  <c r="BF144" i="2"/>
  <c r="BF153" i="2"/>
  <c r="BF166" i="2"/>
  <c r="BF184" i="2"/>
  <c r="BF126" i="2"/>
  <c r="BF145" i="2"/>
  <c r="BF162" i="2"/>
  <c r="BF167" i="2"/>
  <c r="BF175" i="2"/>
  <c r="BF137" i="2"/>
  <c r="BF143" i="2"/>
  <c r="BF147" i="2"/>
  <c r="BF150" i="2"/>
  <c r="BF156" i="2"/>
  <c r="BF158" i="2"/>
  <c r="BF160" i="2"/>
  <c r="BF164" i="2"/>
  <c r="BF177" i="2"/>
  <c r="BF179" i="2"/>
  <c r="BF138" i="2"/>
  <c r="BF171" i="2"/>
  <c r="BF180" i="2"/>
  <c r="F35" i="2"/>
  <c r="BB95" i="1"/>
  <c r="BB94" i="1" s="1"/>
  <c r="W31" i="1" s="1"/>
  <c r="F37" i="2"/>
  <c r="BD95" i="1"/>
  <c r="BD94" i="1" s="1"/>
  <c r="W33" i="1" s="1"/>
  <c r="F36" i="2"/>
  <c r="BC95" i="1"/>
  <c r="BC94" i="1" s="1"/>
  <c r="W32" i="1" s="1"/>
  <c r="J33" i="2"/>
  <c r="AV95" i="1"/>
  <c r="F33" i="2"/>
  <c r="AZ95" i="1" s="1"/>
  <c r="AZ94" i="1" s="1"/>
  <c r="AV94" i="1" s="1"/>
  <c r="AK29" i="1" s="1"/>
  <c r="P148" i="2" l="1"/>
  <c r="T148" i="2"/>
  <c r="T123" i="2" s="1"/>
  <c r="BK124" i="2"/>
  <c r="J124" i="2" s="1"/>
  <c r="J95" i="2" s="1"/>
  <c r="R148" i="2"/>
  <c r="R123" i="2"/>
  <c r="P123" i="2"/>
  <c r="AU95" i="1"/>
  <c r="BK148" i="2"/>
  <c r="J148" i="2"/>
  <c r="J98" i="2" s="1"/>
  <c r="J125" i="2"/>
  <c r="J96" i="2" s="1"/>
  <c r="AU94" i="1"/>
  <c r="AX94" i="1"/>
  <c r="AY94" i="1"/>
  <c r="W29" i="1"/>
  <c r="J34" i="2"/>
  <c r="AW95" i="1" s="1"/>
  <c r="AT95" i="1" s="1"/>
  <c r="F34" i="2"/>
  <c r="BA95" i="1"/>
  <c r="BA94" i="1" s="1"/>
  <c r="AW94" i="1" s="1"/>
  <c r="AK30" i="1" s="1"/>
  <c r="BK123" i="2" l="1"/>
  <c r="J123" i="2"/>
  <c r="J94" i="2"/>
  <c r="J106" i="2"/>
  <c r="W30" i="1"/>
  <c r="AT94" i="1"/>
  <c r="J28" i="2" l="1"/>
  <c r="J30" i="2"/>
  <c r="AG95" i="1" s="1"/>
  <c r="AG94" i="1" s="1"/>
  <c r="AK26" i="1" s="1"/>
  <c r="J39" i="2" l="1"/>
  <c r="AN95" i="1"/>
  <c r="AK35" i="1"/>
  <c r="AN94" i="1"/>
</calcChain>
</file>

<file path=xl/sharedStrings.xml><?xml version="1.0" encoding="utf-8"?>
<sst xmlns="http://schemas.openxmlformats.org/spreadsheetml/2006/main" count="966" uniqueCount="261">
  <si>
    <t>Export Komplet</t>
  </si>
  <si>
    <t/>
  </si>
  <si>
    <t>2.0</t>
  </si>
  <si>
    <t>False</t>
  </si>
  <si>
    <t>{d4e56f0d-c0ae-4d43-9f3f-c67de14fc8bf}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</si>
  <si>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</si>
  <si>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</si>
  <si>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</si>
  <si>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</si>
  <si>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</si>
  <si>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</si>
  <si>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</si>
  <si>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z25-02</t>
  </si>
  <si>
    <t>Stavba:</t>
  </si>
  <si>
    <t>Maštaľ - výmena strešnej krytiny</t>
  </si>
  <si>
    <t>JKSO:</t>
  </si>
  <si>
    <t>KS:</t>
  </si>
  <si>
    <t>Miesto:</t>
  </si>
  <si>
    <t>Mikuláš č. 631, 946 55 Dubník</t>
  </si>
  <si>
    <t>Dátum:</t>
  </si>
  <si>
    <t>Objednávateľ:</t>
  </si>
  <si>
    <t>IČO:</t>
  </si>
  <si>
    <t>AGROCONTRACT Mikuláš a.s.</t>
  </si>
  <si>
    <t>IČ DPH:</t>
  </si>
  <si>
    <t>Zhotoviteľ:</t>
  </si>
  <si>
    <t>podľa výberu</t>
  </si>
  <si>
    <t>Projektant:</t>
  </si>
  <si>
    <t>True</t>
  </si>
  <si>
    <t>Zoltán Gőgh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</si>
  <si>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</si>
  <si>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</si>
  <si>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</si>
  <si>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</si>
  <si>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</si>
  <si>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</si>
  <si>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</si>
  <si>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</si>
  <si>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</si>
  <si>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</si>
  <si>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</si>
  <si>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</si>
  <si>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</si>
  <si>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</si>
  <si>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</si>
  <si>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</si>
  <si>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</si>
  <si>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</si>
  <si>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</si>
  <si>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</si>
  <si>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</si>
  <si>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</si>
  <si>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</si>
  <si>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</si>
  <si>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</si>
  <si>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</si>
  <si>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</si>
  <si>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</si>
  <si>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</si>
  <si>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</si>
  <si>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</si>
  <si>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</si>
  <si>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</si>
  <si>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</si>
  <si>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</si>
  <si>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</si>
  <si>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</si>
  <si>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</si>
  <si>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</si>
  <si>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</si>
  <si>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</si>
  <si>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</si>
  <si>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</si>
  <si>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</si>
  <si>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</si>
  <si>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</si>
  <si>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</si>
  <si>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</si>
  <si>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</si>
  <si>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</si>
  <si>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</si>
  <si>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</si>
  <si>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</si>
  <si>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</si>
  <si>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</si>
  <si>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</si>
  <si>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</si>
  <si>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</si>
  <si>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</si>
  <si>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</si>
  <si>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</si>
  <si>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</si>
  <si>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</si>
  <si>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767 - Konštrukcie doplnkové kovové</t>
  </si>
  <si>
    <t xml:space="preserve">    783 - Nátery</t>
  </si>
  <si>
    <t>2) Ostatné náklady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</si>
  <si>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</si>
  <si>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</si>
  <si>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</si>
  <si>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</si>
  <si>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</si>
  <si>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</si>
  <si>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</si>
  <si>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</si>
  <si>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</si>
  <si>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</si>
  <si>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</si>
  <si>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</si>
  <si>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</si>
  <si>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</si>
  <si>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</si>
  <si>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</si>
  <si>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</si>
  <si>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</si>
  <si>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</si>
  <si>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943943221.S</t>
  </si>
  <si>
    <t>Montáž lešenia priestorového ľahkého bez podláh pri zaťaženie do 2 kPa, výšky do 10 m</t>
  </si>
  <si>
    <t>m3</t>
  </si>
  <si>
    <t>4</t>
  </si>
  <si>
    <t>2</t>
  </si>
  <si>
    <t>1363779747</t>
  </si>
  <si>
    <t>VV</t>
  </si>
  <si>
    <t>čl. 3551 Pravidiel pre pojazdné lešenie - objem je menší ako 1/20 m3 objemu priestorového lečenia</t>
  </si>
  <si>
    <t>po odpočítaní pracovnej výšky 1,8m</t>
  </si>
  <si>
    <t>4476,38*((11,35+4,6)/2-1,8)</t>
  </si>
  <si>
    <t>1471,5*((5,99+4,0)/2-1,8)</t>
  </si>
  <si>
    <t>Objem objektov</t>
  </si>
  <si>
    <t>"množstvo pojazdného lesšenia"32343,09/3</t>
  </si>
  <si>
    <t>943943292.S</t>
  </si>
  <si>
    <t>Príplatok za prvý a každý ďalší i začatý mesiac používania lešenia priestorového ľahkého bez podláh výšky do 10 m a nad 10 do 22 m</t>
  </si>
  <si>
    <t>288783248</t>
  </si>
  <si>
    <t>3</t>
  </si>
  <si>
    <t>943943821.S</t>
  </si>
  <si>
    <t>Demontáž lešenia priestorového ľahkého bez podláh pri zaťažení do 2 kPa, výšky do 10 m</t>
  </si>
  <si>
    <t>1223969542</t>
  </si>
  <si>
    <t>943955021.S</t>
  </si>
  <si>
    <t>Montáž lešeňovej podlahy s priečnikmi alebo pozdĺžnikmi výšky do do 10 m</t>
  </si>
  <si>
    <t>m2</t>
  </si>
  <si>
    <t>490528142</t>
  </si>
  <si>
    <t>(4476,38+1471,5)</t>
  </si>
  <si>
    <t>5</t>
  </si>
  <si>
    <t>943955191.S</t>
  </si>
  <si>
    <t>Príplatok za prvý a každý i začatý mesiac použitia lešeňovej podlahy pre všetky výšky do 40 m</t>
  </si>
  <si>
    <t>-989627445</t>
  </si>
  <si>
    <t>6</t>
  </si>
  <si>
    <t>943955821.S</t>
  </si>
  <si>
    <t>Demontáž lešeňovej podlahy s priečnikmi alebo pozdľžnikmi výšky do 10 m</t>
  </si>
  <si>
    <t>1988081842</t>
  </si>
  <si>
    <t>7</t>
  </si>
  <si>
    <t>979011111.S</t>
  </si>
  <si>
    <t>Zvislá doprava sutiny a vybúraných hmôt za prvé podlažie nad alebo pod základným podlažím</t>
  </si>
  <si>
    <t>t</t>
  </si>
  <si>
    <t>-1062778501</t>
  </si>
  <si>
    <t>8</t>
  </si>
  <si>
    <t>979081111.S</t>
  </si>
  <si>
    <t>Odvoz sutiny a vybúraných hmôt na skládku do 1 km</t>
  </si>
  <si>
    <t>-1640166496</t>
  </si>
  <si>
    <t>979081121.S</t>
  </si>
  <si>
    <t>Odvoz sutiny a vybúraných hmôt na skládku za každý ďalší 1 km</t>
  </si>
  <si>
    <t>944213172</t>
  </si>
  <si>
    <t>43,695*8 'Prepočítané koeficientom množstva</t>
  </si>
  <si>
    <t>10</t>
  </si>
  <si>
    <t>979082111.S</t>
  </si>
  <si>
    <t>Vnútrostavenisková doprava sutiny a vybúraných hmôt do 10 m</t>
  </si>
  <si>
    <t>-1627996145</t>
  </si>
  <si>
    <t>11</t>
  </si>
  <si>
    <t>979082121.S</t>
  </si>
  <si>
    <t>Vnútrostavenisková doprava sutiny a vybúraných hmôt za každých ďalších 5 m</t>
  </si>
  <si>
    <t>1723124025</t>
  </si>
  <si>
    <t>12</t>
  </si>
  <si>
    <t>979089312.S</t>
  </si>
  <si>
    <t>Poplatok za skládku - kovy (meď, bronz, mosadz, atď.) (17 04), ostatné</t>
  </si>
  <si>
    <t>1330922059</t>
  </si>
  <si>
    <t>99</t>
  </si>
  <si>
    <t>Presun hmôt HSV</t>
  </si>
  <si>
    <t>13</t>
  </si>
  <si>
    <t>999281111.S</t>
  </si>
  <si>
    <t>Presun hmôt pre opravy a údržbu objektov vrátane vonkajších plášťov výšky do 25 m</t>
  </si>
  <si>
    <t>1688840772</t>
  </si>
  <si>
    <t>PSV</t>
  </si>
  <si>
    <t>Práce a dodávky PSV</t>
  </si>
  <si>
    <t>762</t>
  </si>
  <si>
    <t>Konštrukcie tesárske</t>
  </si>
  <si>
    <t>14</t>
  </si>
  <si>
    <t>762341912.S</t>
  </si>
  <si>
    <t>Debnenie a latovanie striech vyrezanie otvorov v latovaní prierez. plochy lát do 25 cm2 s plochou otvoru do 4 m2 -0,00700 t</t>
  </si>
  <si>
    <t>16</t>
  </si>
  <si>
    <t>-284870834</t>
  </si>
  <si>
    <t>"malá strecha, predpokladaný rozsah 20% z plochy</t>
  </si>
  <si>
    <t>1471,5*0,2</t>
  </si>
  <si>
    <t>15</t>
  </si>
  <si>
    <t>762342922.S</t>
  </si>
  <si>
    <t>Zalatovanie otvorov latami na vzdialenosť do 0,50 m plochy otvoru nad 1 do 4 m2</t>
  </si>
  <si>
    <t>1447940617</t>
  </si>
  <si>
    <t>998762102.S</t>
  </si>
  <si>
    <t>Presun hmôt pre konštrukcie tesárske v objektoch výšky do 12 m</t>
  </si>
  <si>
    <t>-348010290</t>
  </si>
  <si>
    <t>767</t>
  </si>
  <si>
    <t>Konštrukcie doplnkové kovové</t>
  </si>
  <si>
    <t>17</t>
  </si>
  <si>
    <t>767392802.S</t>
  </si>
  <si>
    <t>Demontáž krytín striech z plechov skrutkovaných,  -0,00700t</t>
  </si>
  <si>
    <t>756287771</t>
  </si>
  <si>
    <t>4476,38+1471,5</t>
  </si>
  <si>
    <t>18</t>
  </si>
  <si>
    <t>767397101.S</t>
  </si>
  <si>
    <t>Montáž strešných sendvičových panelov na OK, hrúbky do 80 mm</t>
  </si>
  <si>
    <t>412727718</t>
  </si>
  <si>
    <t>19</t>
  </si>
  <si>
    <t>M</t>
  </si>
  <si>
    <t>553260001400.S</t>
  </si>
  <si>
    <t>Panel sendvičový s polyuretánovým jadrom strešný oceľový plášť š. 1000 mm hr. jadra 30 mm</t>
  </si>
  <si>
    <t>32</t>
  </si>
  <si>
    <t>-1159349200</t>
  </si>
  <si>
    <t>1471,50</t>
  </si>
  <si>
    <t>20</t>
  </si>
  <si>
    <t>553260001500.S</t>
  </si>
  <si>
    <t>Panel sendvičový s polyuretánovým jadrom strešný oceľový plášť š. 1000 mm hr. jadra 50 mm</t>
  </si>
  <si>
    <t>-691840522</t>
  </si>
  <si>
    <t>4476,38</t>
  </si>
  <si>
    <t>21</t>
  </si>
  <si>
    <t>767421101.S</t>
  </si>
  <si>
    <t>Montáž a dodávka kopletizačných prvkov strešných panelov</t>
  </si>
  <si>
    <t>%</t>
  </si>
  <si>
    <t>-109572089</t>
  </si>
  <si>
    <t>22</t>
  </si>
  <si>
    <t>767995101.S</t>
  </si>
  <si>
    <t>Montáž ostatných atypických kovových stavebných doplnkových konštrukcií do 5 kg</t>
  </si>
  <si>
    <t>kg</t>
  </si>
  <si>
    <t>-163229297</t>
  </si>
  <si>
    <t>"zhotovenie  kotevných miest mimo väzníkov</t>
  </si>
  <si>
    <t>"predpokladám platne hr. 8mm o ploche 0,5% z celkovej úplochy</t>
  </si>
  <si>
    <t>(4476,38+1471,5)/100*0,5*8*7,85</t>
  </si>
  <si>
    <t>767995305.S</t>
  </si>
  <si>
    <t>Výroba doplnku stavebného atypického o hmotnosti od 4,01 do 5,5 kg stupňa zložitosti 1</t>
  </si>
  <si>
    <t>-248520473</t>
  </si>
  <si>
    <t>24</t>
  </si>
  <si>
    <t>136110023200.S</t>
  </si>
  <si>
    <t>Plech oceľový hrubý hr. 8 mm, ozn. 11 373.0, podľa EN S235JRG1</t>
  </si>
  <si>
    <t>-406053817</t>
  </si>
  <si>
    <t>1867,634/1000</t>
  </si>
  <si>
    <t>25</t>
  </si>
  <si>
    <t>998767102.S</t>
  </si>
  <si>
    <t>Presun hmôt pre kovové stavebné doplnkové konštrukcie v objektoch výšky nad 6 do 12 m</t>
  </si>
  <si>
    <t>-1888181319</t>
  </si>
  <si>
    <t>783</t>
  </si>
  <si>
    <t>Nátery</t>
  </si>
  <si>
    <t>26</t>
  </si>
  <si>
    <t>783225100.S</t>
  </si>
  <si>
    <t>Nátery kov.stav.doplnk.konštr. syntetické na vzduchu schnúce dvojnás. 1x s emailov. - 105µm</t>
  </si>
  <si>
    <t>1543800559</t>
  </si>
  <si>
    <t>27</t>
  </si>
  <si>
    <t>783226100.S</t>
  </si>
  <si>
    <t>Nátery kov.stav.doplnk.konštr. syntetické na vzduchu schnúce základný - 35µm</t>
  </si>
  <si>
    <t>188731967</t>
  </si>
  <si>
    <t>(4476,38+1471,5)/100*0,5*2</t>
  </si>
  <si>
    <t>28</t>
  </si>
  <si>
    <t>783782404.S</t>
  </si>
  <si>
    <t>Nátery tesárskych konštrukcií, povrchová impregnácia proti drevokaznému hmyzu, hubám a plesniam, jednonásobná</t>
  </si>
  <si>
    <t>1916015175</t>
  </si>
  <si>
    <t>"opravené latovanie"</t>
  </si>
  <si>
    <t>1471,5*0,2*3*0,05*4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</si>
</sst>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4" borderId="0" xfId="0" applyFont="1" applyFill="1" applyAlignment="1">
      <alignment horizontal="left" vertical="center"/>
    </xf>
    <xf numFmtId="4" fontId="24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N8" sqref="AN8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15" t="s">
        <v>5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S4" s="16" t="s">
        <v>10</v>
      </c>
    </row>
    <row r="5" spans="1:74" ht="12" customHeight="1">
      <c r="B5" s="19"/>
      <c r="D5" s="22" t="s">
        <v>11</v>
      </c>
      <c r="K5" s="179" t="s">
        <v>12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R5" s="19"/>
      <c r="BS5" s="16" t="s">
        <v>6</v>
      </c>
    </row>
    <row r="6" spans="1:74" ht="36.950000000000003" customHeight="1">
      <c r="B6" s="19"/>
      <c r="D6" s="24" t="s">
        <v>13</v>
      </c>
      <c r="K6" s="181" t="s">
        <v>14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R6" s="19"/>
      <c r="BS6" s="16" t="s">
        <v>6</v>
      </c>
    </row>
    <row r="7" spans="1:74" ht="12" customHeight="1">
      <c r="B7" s="19"/>
      <c r="D7" s="25" t="s">
        <v>15</v>
      </c>
      <c r="K7" s="23" t="s">
        <v>1</v>
      </c>
      <c r="AK7" s="25" t="s">
        <v>16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17</v>
      </c>
      <c r="K8" s="23" t="s">
        <v>18</v>
      </c>
      <c r="AK8" s="25" t="s">
        <v>19</v>
      </c>
      <c r="AN8" s="217">
        <v>45158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20</v>
      </c>
      <c r="AK10" s="25" t="s">
        <v>21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22</v>
      </c>
      <c r="AK11" s="25" t="s">
        <v>23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24</v>
      </c>
      <c r="AK13" s="25" t="s">
        <v>21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25</v>
      </c>
      <c r="AK14" s="25" t="s">
        <v>23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26</v>
      </c>
      <c r="AK16" s="25" t="s">
        <v>21</v>
      </c>
      <c r="AN16" s="23" t="s">
        <v>1</v>
      </c>
      <c r="AR16" s="19"/>
      <c r="BS16" s="16" t="s">
        <v>27</v>
      </c>
    </row>
    <row r="17" spans="2:71" ht="18.399999999999999" customHeight="1">
      <c r="B17" s="19"/>
      <c r="E17" s="23" t="s">
        <v>28</v>
      </c>
      <c r="AK17" s="25" t="s">
        <v>23</v>
      </c>
      <c r="AN17" s="23" t="s">
        <v>1</v>
      </c>
      <c r="AR17" s="19"/>
      <c r="BS17" s="16" t="s">
        <v>27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29</v>
      </c>
      <c r="AK19" s="25" t="s">
        <v>21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30</v>
      </c>
      <c r="AK20" s="25" t="s">
        <v>23</v>
      </c>
      <c r="AN20" s="23" t="s">
        <v>1</v>
      </c>
      <c r="AR20" s="19"/>
      <c r="BS20" s="16" t="s">
        <v>27</v>
      </c>
    </row>
    <row r="21" spans="2:71" ht="6.95" customHeight="1">
      <c r="B21" s="19"/>
      <c r="AR21" s="19"/>
    </row>
    <row r="22" spans="2:71" ht="12" customHeight="1">
      <c r="B22" s="19"/>
      <c r="D22" s="25" t="s">
        <v>31</v>
      </c>
      <c r="AR22" s="19"/>
    </row>
    <row r="23" spans="2:71" ht="16.5" customHeight="1">
      <c r="B23" s="19"/>
      <c r="E23" s="182" t="s">
        <v>1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3">
        <f>ROUND(AG94,2)</f>
        <v>414506.41</v>
      </c>
      <c r="AL26" s="184"/>
      <c r="AM26" s="184"/>
      <c r="AN26" s="184"/>
      <c r="AO26" s="184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185" t="s">
        <v>33</v>
      </c>
      <c r="M28" s="185"/>
      <c r="N28" s="185"/>
      <c r="O28" s="185"/>
      <c r="P28" s="185"/>
      <c r="W28" s="185" t="s">
        <v>34</v>
      </c>
      <c r="X28" s="185"/>
      <c r="Y28" s="185"/>
      <c r="Z28" s="185"/>
      <c r="AA28" s="185"/>
      <c r="AB28" s="185"/>
      <c r="AC28" s="185"/>
      <c r="AD28" s="185"/>
      <c r="AE28" s="185"/>
      <c r="AK28" s="185" t="s">
        <v>35</v>
      </c>
      <c r="AL28" s="185"/>
      <c r="AM28" s="185"/>
      <c r="AN28" s="185"/>
      <c r="AO28" s="185"/>
      <c r="AR28" s="28"/>
    </row>
    <row r="29" spans="2:71" s="2" customFormat="1" ht="14.45" customHeight="1">
      <c r="B29" s="32"/>
      <c r="D29" s="25" t="s">
        <v>36</v>
      </c>
      <c r="F29" s="33" t="s">
        <v>37</v>
      </c>
      <c r="L29" s="188">
        <v>0.23</v>
      </c>
      <c r="M29" s="187"/>
      <c r="N29" s="187"/>
      <c r="O29" s="187"/>
      <c r="P29" s="187"/>
      <c r="Q29" s="34"/>
      <c r="R29" s="34"/>
      <c r="S29" s="34"/>
      <c r="T29" s="34"/>
      <c r="U29" s="34"/>
      <c r="V29" s="34"/>
      <c r="W29" s="186">
        <f>ROUND(AZ94, 2)</f>
        <v>0</v>
      </c>
      <c r="X29" s="187"/>
      <c r="Y29" s="187"/>
      <c r="Z29" s="187"/>
      <c r="AA29" s="187"/>
      <c r="AB29" s="187"/>
      <c r="AC29" s="187"/>
      <c r="AD29" s="187"/>
      <c r="AE29" s="187"/>
      <c r="AF29" s="34"/>
      <c r="AG29" s="34"/>
      <c r="AH29" s="34"/>
      <c r="AI29" s="34"/>
      <c r="AJ29" s="34"/>
      <c r="AK29" s="186">
        <f>ROUND(AV94, 2)</f>
        <v>0</v>
      </c>
      <c r="AL29" s="187"/>
      <c r="AM29" s="187"/>
      <c r="AN29" s="187"/>
      <c r="AO29" s="187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</row>
    <row r="30" spans="2:71" s="2" customFormat="1" ht="14.45" customHeight="1">
      <c r="B30" s="32"/>
      <c r="F30" s="33" t="s">
        <v>38</v>
      </c>
      <c r="L30" s="191">
        <v>0.23</v>
      </c>
      <c r="M30" s="190"/>
      <c r="N30" s="190"/>
      <c r="O30" s="190"/>
      <c r="P30" s="190"/>
      <c r="W30" s="189">
        <f>ROUND(BA94, 2)</f>
        <v>414506.41</v>
      </c>
      <c r="X30" s="190"/>
      <c r="Y30" s="190"/>
      <c r="Z30" s="190"/>
      <c r="AA30" s="190"/>
      <c r="AB30" s="190"/>
      <c r="AC30" s="190"/>
      <c r="AD30" s="190"/>
      <c r="AE30" s="190"/>
      <c r="AK30" s="189">
        <f>ROUND(AW94, 2)</f>
        <v>95336.47</v>
      </c>
      <c r="AL30" s="190"/>
      <c r="AM30" s="190"/>
      <c r="AN30" s="190"/>
      <c r="AO30" s="190"/>
      <c r="AR30" s="32"/>
    </row>
    <row r="31" spans="2:71" s="2" customFormat="1" ht="14.45" hidden="1" customHeight="1">
      <c r="B31" s="32"/>
      <c r="F31" s="25" t="s">
        <v>39</v>
      </c>
      <c r="L31" s="191">
        <v>0.23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32"/>
    </row>
    <row r="32" spans="2:71" s="2" customFormat="1" ht="14.45" hidden="1" customHeight="1">
      <c r="B32" s="32"/>
      <c r="F32" s="25" t="s">
        <v>40</v>
      </c>
      <c r="L32" s="191">
        <v>0.23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32"/>
    </row>
    <row r="33" spans="2:52" s="2" customFormat="1" ht="14.45" hidden="1" customHeight="1">
      <c r="B33" s="32"/>
      <c r="F33" s="33" t="s">
        <v>41</v>
      </c>
      <c r="L33" s="188">
        <v>0</v>
      </c>
      <c r="M33" s="187"/>
      <c r="N33" s="187"/>
      <c r="O33" s="187"/>
      <c r="P33" s="187"/>
      <c r="Q33" s="34"/>
      <c r="R33" s="34"/>
      <c r="S33" s="34"/>
      <c r="T33" s="34"/>
      <c r="U33" s="34"/>
      <c r="V33" s="34"/>
      <c r="W33" s="186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F33" s="34"/>
      <c r="AG33" s="34"/>
      <c r="AH33" s="34"/>
      <c r="AI33" s="34"/>
      <c r="AJ33" s="34"/>
      <c r="AK33" s="186">
        <v>0</v>
      </c>
      <c r="AL33" s="187"/>
      <c r="AM33" s="187"/>
      <c r="AN33" s="187"/>
      <c r="AO33" s="187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</row>
    <row r="34" spans="2:52" s="1" customFormat="1" ht="6.95" customHeight="1">
      <c r="B34" s="28"/>
      <c r="AR34" s="28"/>
    </row>
    <row r="35" spans="2:52" s="1" customFormat="1" ht="25.9" customHeight="1">
      <c r="B35" s="28"/>
      <c r="C35" s="36"/>
      <c r="D35" s="37" t="s">
        <v>42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43</v>
      </c>
      <c r="U35" s="38"/>
      <c r="V35" s="38"/>
      <c r="W35" s="38"/>
      <c r="X35" s="192" t="s">
        <v>44</v>
      </c>
      <c r="Y35" s="193"/>
      <c r="Z35" s="193"/>
      <c r="AA35" s="193"/>
      <c r="AB35" s="193"/>
      <c r="AC35" s="38"/>
      <c r="AD35" s="38"/>
      <c r="AE35" s="38"/>
      <c r="AF35" s="38"/>
      <c r="AG35" s="38"/>
      <c r="AH35" s="38"/>
      <c r="AI35" s="38"/>
      <c r="AJ35" s="38"/>
      <c r="AK35" s="194">
        <f>SUM(AK26:AK33)</f>
        <v>509842.88</v>
      </c>
      <c r="AL35" s="193"/>
      <c r="AM35" s="193"/>
      <c r="AN35" s="193"/>
      <c r="AO35" s="195"/>
      <c r="AP35" s="36"/>
      <c r="AQ35" s="36"/>
      <c r="AR35" s="28"/>
    </row>
    <row r="36" spans="2:52" s="1" customFormat="1" ht="6.95" customHeight="1">
      <c r="B36" s="28"/>
      <c r="AR36" s="28"/>
    </row>
    <row r="37" spans="2:52" s="1" customFormat="1" ht="14.45" customHeight="1">
      <c r="B37" s="28"/>
      <c r="AR37" s="28"/>
    </row>
    <row r="38" spans="2:52" ht="14.45" customHeight="1">
      <c r="B38" s="19"/>
      <c r="AR38" s="19"/>
    </row>
    <row r="39" spans="2:52" ht="14.45" customHeight="1">
      <c r="B39" s="19"/>
      <c r="AR39" s="19"/>
    </row>
    <row r="40" spans="2:52" ht="14.45" customHeight="1">
      <c r="B40" s="19"/>
      <c r="AR40" s="19"/>
    </row>
    <row r="41" spans="2:52" ht="14.45" customHeight="1">
      <c r="B41" s="19"/>
      <c r="AR41" s="19"/>
    </row>
    <row r="42" spans="2:52" ht="14.45" customHeight="1">
      <c r="B42" s="19"/>
      <c r="AR42" s="19"/>
    </row>
    <row r="43" spans="2:52" ht="14.45" customHeight="1">
      <c r="B43" s="19"/>
      <c r="AR43" s="19"/>
    </row>
    <row r="44" spans="2:52" ht="14.45" customHeight="1">
      <c r="B44" s="19"/>
      <c r="AR44" s="19"/>
    </row>
    <row r="45" spans="2:52" ht="14.45" customHeight="1">
      <c r="B45" s="19"/>
      <c r="AR45" s="19"/>
    </row>
    <row r="46" spans="2:52" ht="14.45" customHeight="1">
      <c r="B46" s="19"/>
      <c r="AR46" s="19"/>
    </row>
    <row r="47" spans="2:52" ht="14.45" customHeight="1">
      <c r="B47" s="19"/>
      <c r="AR47" s="19"/>
    </row>
    <row r="48" spans="2:52" ht="14.45" customHeight="1">
      <c r="B48" s="19"/>
      <c r="AR48" s="19"/>
    </row>
    <row r="49" spans="2:44" s="1" customFormat="1" ht="14.45" customHeight="1">
      <c r="B49" s="28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28"/>
      <c r="D60" s="42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47</v>
      </c>
      <c r="AI60" s="30"/>
      <c r="AJ60" s="30"/>
      <c r="AK60" s="30"/>
      <c r="AL60" s="30"/>
      <c r="AM60" s="42" t="s">
        <v>48</v>
      </c>
      <c r="AN60" s="30"/>
      <c r="AO60" s="30"/>
      <c r="AR60" s="28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28"/>
      <c r="D64" s="40" t="s">
        <v>49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50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28"/>
      <c r="D75" s="42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47</v>
      </c>
      <c r="AI75" s="30"/>
      <c r="AJ75" s="30"/>
      <c r="AK75" s="30"/>
      <c r="AL75" s="30"/>
      <c r="AM75" s="42" t="s">
        <v>48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0" s="1" customFormat="1" ht="24.95" customHeight="1">
      <c r="B82" s="28"/>
      <c r="C82" s="20" t="s">
        <v>51</v>
      </c>
      <c r="AR82" s="28"/>
    </row>
    <row r="83" spans="1:90" s="1" customFormat="1" ht="6.95" customHeight="1">
      <c r="B83" s="28"/>
      <c r="AR83" s="28"/>
    </row>
    <row r="84" spans="1:90" s="3" customFormat="1" ht="12" customHeight="1">
      <c r="B84" s="47"/>
      <c r="C84" s="25" t="s">
        <v>11</v>
      </c>
      <c r="L84" s="3" t="str">
        <f>K5</f>
        <v>z25-02</v>
      </c>
      <c r="AR84" s="47"/>
    </row>
    <row r="85" spans="1:90" s="4" customFormat="1" ht="36.950000000000003" customHeight="1">
      <c r="B85" s="48"/>
      <c r="C85" s="49" t="s">
        <v>13</v>
      </c>
      <c r="L85" s="196" t="str">
        <f>K6</f>
        <v>Maštaľ - výmena strešnej krytiny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R85" s="48"/>
    </row>
    <row r="86" spans="1:90" s="1" customFormat="1" ht="6.95" customHeight="1">
      <c r="B86" s="28"/>
      <c r="AR86" s="28"/>
    </row>
    <row r="87" spans="1:90" s="1" customFormat="1" ht="12" customHeight="1">
      <c r="B87" s="28"/>
      <c r="C87" s="25" t="s">
        <v>17</v>
      </c>
      <c r="L87" s="50" t="str">
        <f>IF(K8="","",K8)</f>
        <v>Mikuláš č. 631, 946 55 Dubník</v>
      </c>
      <c r="AI87" s="25" t="s">
        <v>19</v>
      </c>
      <c r="AM87" s="198">
        <f>IF(AN8= "","",AN8)</f>
        <v>45158</v>
      </c>
      <c r="AN87" s="198"/>
      <c r="AR87" s="28"/>
    </row>
    <row r="88" spans="1:90" s="1" customFormat="1" ht="6.95" customHeight="1">
      <c r="B88" s="28"/>
      <c r="AR88" s="28"/>
    </row>
    <row r="89" spans="1:90" s="1" customFormat="1" ht="15.2" customHeight="1">
      <c r="B89" s="28"/>
      <c r="C89" s="25" t="s">
        <v>20</v>
      </c>
      <c r="L89" s="3" t="str">
        <f>IF(E11= "","",E11)</f>
        <v>AGROCONTRACT Mikuláš a.s.</v>
      </c>
      <c r="AI89" s="25" t="s">
        <v>26</v>
      </c>
      <c r="AM89" s="199" t="str">
        <f>IF(E17="","",E17)</f>
        <v>Zoltán Gőgh</v>
      </c>
      <c r="AN89" s="200"/>
      <c r="AO89" s="200"/>
      <c r="AP89" s="200"/>
      <c r="AR89" s="28"/>
      <c r="AS89" s="201" t="s">
        <v>52</v>
      </c>
      <c r="AT89" s="20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>
      <c r="B90" s="28"/>
      <c r="C90" s="25" t="s">
        <v>24</v>
      </c>
      <c r="L90" s="3" t="str">
        <f>IF(E14="","",E14)</f>
        <v>podľa výberu</v>
      </c>
      <c r="AI90" s="25" t="s">
        <v>29</v>
      </c>
      <c r="AM90" s="199" t="str">
        <f>IF(E20="","",E20)</f>
        <v xml:space="preserve"> </v>
      </c>
      <c r="AN90" s="200"/>
      <c r="AO90" s="200"/>
      <c r="AP90" s="200"/>
      <c r="AR90" s="28"/>
      <c r="AS90" s="203"/>
      <c r="AT90" s="204"/>
      <c r="BD90" s="55"/>
    </row>
    <row r="91" spans="1:90" s="1" customFormat="1" ht="10.9" customHeight="1">
      <c r="B91" s="28"/>
      <c r="AR91" s="28"/>
      <c r="AS91" s="203"/>
      <c r="AT91" s="204"/>
      <c r="BD91" s="55"/>
    </row>
    <row r="92" spans="1:90" s="1" customFormat="1" ht="29.25" customHeight="1">
      <c r="B92" s="28"/>
      <c r="C92" s="205" t="s">
        <v>53</v>
      </c>
      <c r="D92" s="206"/>
      <c r="E92" s="206"/>
      <c r="F92" s="206"/>
      <c r="G92" s="206"/>
      <c r="H92" s="56"/>
      <c r="I92" s="207" t="s">
        <v>54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8" t="s">
        <v>55</v>
      </c>
      <c r="AH92" s="206"/>
      <c r="AI92" s="206"/>
      <c r="AJ92" s="206"/>
      <c r="AK92" s="206"/>
      <c r="AL92" s="206"/>
      <c r="AM92" s="206"/>
      <c r="AN92" s="207" t="s">
        <v>56</v>
      </c>
      <c r="AO92" s="206"/>
      <c r="AP92" s="209"/>
      <c r="AQ92" s="57" t="s">
        <v>57</v>
      </c>
      <c r="AR92" s="28"/>
      <c r="AS92" s="58" t="s">
        <v>58</v>
      </c>
      <c r="AT92" s="59" t="s">
        <v>59</v>
      </c>
      <c r="AU92" s="59" t="s">
        <v>60</v>
      </c>
      <c r="AV92" s="59" t="s">
        <v>61</v>
      </c>
      <c r="AW92" s="59" t="s">
        <v>62</v>
      </c>
      <c r="AX92" s="59" t="s">
        <v>63</v>
      </c>
      <c r="AY92" s="59" t="s">
        <v>64</v>
      </c>
      <c r="AZ92" s="59" t="s">
        <v>65</v>
      </c>
      <c r="BA92" s="59" t="s">
        <v>66</v>
      </c>
      <c r="BB92" s="59" t="s">
        <v>67</v>
      </c>
      <c r="BC92" s="59" t="s">
        <v>68</v>
      </c>
      <c r="BD92" s="60" t="s">
        <v>69</v>
      </c>
    </row>
    <row r="93" spans="1:90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3">
        <f>ROUND(AG95,2)</f>
        <v>414506.41</v>
      </c>
      <c r="AH94" s="213"/>
      <c r="AI94" s="213"/>
      <c r="AJ94" s="213"/>
      <c r="AK94" s="213"/>
      <c r="AL94" s="213"/>
      <c r="AM94" s="213"/>
      <c r="AN94" s="214">
        <f>SUM(AG94,AT94)</f>
        <v>509842.88</v>
      </c>
      <c r="AO94" s="214"/>
      <c r="AP94" s="214"/>
      <c r="AQ94" s="66" t="s">
        <v>1</v>
      </c>
      <c r="AR94" s="62"/>
      <c r="AS94" s="67">
        <f>ROUND(AS95,2)</f>
        <v>0</v>
      </c>
      <c r="AT94" s="68">
        <f>ROUND(SUM(AV94:AW94),2)</f>
        <v>95336.47</v>
      </c>
      <c r="AU94" s="69">
        <f>ROUND(AU95,5)</f>
        <v>11553.36937</v>
      </c>
      <c r="AV94" s="68">
        <f>ROUND(AZ94*L29,2)</f>
        <v>0</v>
      </c>
      <c r="AW94" s="68">
        <f>ROUND(BA94*L30,2)</f>
        <v>95336.47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414506.41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71</v>
      </c>
      <c r="BT94" s="71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0" s="6" customFormat="1" ht="16.5" customHeight="1">
      <c r="A95" s="72" t="s">
        <v>75</v>
      </c>
      <c r="B95" s="73"/>
      <c r="C95" s="74"/>
      <c r="D95" s="212" t="s">
        <v>12</v>
      </c>
      <c r="E95" s="212"/>
      <c r="F95" s="212"/>
      <c r="G95" s="212"/>
      <c r="H95" s="212"/>
      <c r="I95" s="75"/>
      <c r="J95" s="212" t="s">
        <v>14</v>
      </c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0">
        <f>'z25-02 - Maštaľ - výmena ...'!J30</f>
        <v>414506.41</v>
      </c>
      <c r="AH95" s="211"/>
      <c r="AI95" s="211"/>
      <c r="AJ95" s="211"/>
      <c r="AK95" s="211"/>
      <c r="AL95" s="211"/>
      <c r="AM95" s="211"/>
      <c r="AN95" s="210">
        <f>SUM(AG95,AT95)</f>
        <v>509842.88</v>
      </c>
      <c r="AO95" s="211"/>
      <c r="AP95" s="211"/>
      <c r="AQ95" s="76" t="s">
        <v>76</v>
      </c>
      <c r="AR95" s="73"/>
      <c r="AS95" s="77">
        <v>0</v>
      </c>
      <c r="AT95" s="78">
        <f>ROUND(SUM(AV95:AW95),2)</f>
        <v>95336.47</v>
      </c>
      <c r="AU95" s="79">
        <f>'z25-02 - Maštaľ - výmena ...'!P123</f>
        <v>11553.36936723</v>
      </c>
      <c r="AV95" s="78">
        <f>'z25-02 - Maštaľ - výmena ...'!J33</f>
        <v>0</v>
      </c>
      <c r="AW95" s="78">
        <f>'z25-02 - Maštaľ - výmena ...'!J34</f>
        <v>95336.47</v>
      </c>
      <c r="AX95" s="78">
        <f>'z25-02 - Maštaľ - výmena ...'!J35</f>
        <v>0</v>
      </c>
      <c r="AY95" s="78">
        <f>'z25-02 - Maštaľ - výmena ...'!J36</f>
        <v>0</v>
      </c>
      <c r="AZ95" s="78">
        <f>'z25-02 - Maštaľ - výmena ...'!F33</f>
        <v>0</v>
      </c>
      <c r="BA95" s="78">
        <f>'z25-02 - Maštaľ - výmena ...'!F34</f>
        <v>414506.41</v>
      </c>
      <c r="BB95" s="78">
        <f>'z25-02 - Maštaľ - výmena ...'!F35</f>
        <v>0</v>
      </c>
      <c r="BC95" s="78">
        <f>'z25-02 - Maštaľ - výmena ...'!F36</f>
        <v>0</v>
      </c>
      <c r="BD95" s="80">
        <f>'z25-02 - Maštaľ - výmena ...'!F37</f>
        <v>0</v>
      </c>
      <c r="BT95" s="81" t="s">
        <v>77</v>
      </c>
      <c r="BU95" s="81" t="s">
        <v>78</v>
      </c>
      <c r="BV95" s="81" t="s">
        <v>73</v>
      </c>
      <c r="BW95" s="81" t="s">
        <v>4</v>
      </c>
      <c r="BX95" s="81" t="s">
        <v>74</v>
      </c>
      <c r="CL95" s="81" t="s">
        <v>1</v>
      </c>
    </row>
    <row r="96" spans="1:90" s="1" customFormat="1" ht="30" customHeight="1">
      <c r="B96" s="28"/>
      <c r="AR96" s="28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8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z25-02 - Maštaľ - výmen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88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215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6" t="s">
        <v>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2:46" ht="24.95" customHeight="1">
      <c r="B4" s="19"/>
      <c r="D4" s="20" t="s">
        <v>79</v>
      </c>
      <c r="L4" s="19"/>
      <c r="M4" s="82" t="s">
        <v>9</v>
      </c>
      <c r="AT4" s="16" t="s">
        <v>3</v>
      </c>
    </row>
    <row r="5" spans="2:46" ht="6.95" customHeight="1">
      <c r="B5" s="19"/>
      <c r="L5" s="19"/>
    </row>
    <row r="6" spans="2:46" s="1" customFormat="1" ht="12" customHeight="1">
      <c r="B6" s="28"/>
      <c r="D6" s="25" t="s">
        <v>13</v>
      </c>
      <c r="L6" s="28"/>
    </row>
    <row r="7" spans="2:46" s="1" customFormat="1" ht="16.5" customHeight="1">
      <c r="B7" s="28"/>
      <c r="E7" s="196" t="s">
        <v>14</v>
      </c>
      <c r="F7" s="216"/>
      <c r="G7" s="216"/>
      <c r="H7" s="216"/>
      <c r="L7" s="28"/>
    </row>
    <row r="8" spans="2:46" s="1" customFormat="1" ht="11.25">
      <c r="B8" s="28"/>
      <c r="L8" s="28"/>
    </row>
    <row r="9" spans="2:46" s="1" customFormat="1" ht="12" customHeight="1">
      <c r="B9" s="28"/>
      <c r="D9" s="25" t="s">
        <v>15</v>
      </c>
      <c r="F9" s="23" t="s">
        <v>1</v>
      </c>
      <c r="I9" s="25" t="s">
        <v>16</v>
      </c>
      <c r="J9" s="23" t="s">
        <v>1</v>
      </c>
      <c r="L9" s="28"/>
    </row>
    <row r="10" spans="2:46" s="1" customFormat="1" ht="12" customHeight="1">
      <c r="B10" s="28"/>
      <c r="D10" s="25" t="s">
        <v>17</v>
      </c>
      <c r="F10" s="23" t="s">
        <v>18</v>
      </c>
      <c r="I10" s="25" t="s">
        <v>19</v>
      </c>
      <c r="J10" s="51">
        <f>'Rekapitulácia stavby'!AN8</f>
        <v>45158</v>
      </c>
      <c r="L10" s="28"/>
    </row>
    <row r="11" spans="2:46" s="1" customFormat="1" ht="10.9" customHeight="1">
      <c r="B11" s="28"/>
      <c r="L11" s="28"/>
    </row>
    <row r="12" spans="2:46" s="1" customFormat="1" ht="12" customHeight="1">
      <c r="B12" s="28"/>
      <c r="D12" s="25" t="s">
        <v>20</v>
      </c>
      <c r="I12" s="25" t="s">
        <v>21</v>
      </c>
      <c r="J12" s="23" t="s">
        <v>1</v>
      </c>
      <c r="L12" s="28"/>
    </row>
    <row r="13" spans="2:46" s="1" customFormat="1" ht="18" customHeight="1">
      <c r="B13" s="28"/>
      <c r="E13" s="23" t="s">
        <v>22</v>
      </c>
      <c r="I13" s="25" t="s">
        <v>23</v>
      </c>
      <c r="J13" s="23" t="s">
        <v>1</v>
      </c>
      <c r="L13" s="28"/>
    </row>
    <row r="14" spans="2:46" s="1" customFormat="1" ht="6.95" customHeight="1">
      <c r="B14" s="28"/>
      <c r="L14" s="28"/>
    </row>
    <row r="15" spans="2:46" s="1" customFormat="1" ht="12" customHeight="1">
      <c r="B15" s="28"/>
      <c r="D15" s="25" t="s">
        <v>24</v>
      </c>
      <c r="I15" s="25" t="s">
        <v>21</v>
      </c>
      <c r="J15" s="23" t="s">
        <v>1</v>
      </c>
      <c r="L15" s="28"/>
    </row>
    <row r="16" spans="2:46" s="1" customFormat="1" ht="18" customHeight="1">
      <c r="B16" s="28"/>
      <c r="E16" s="23" t="s">
        <v>25</v>
      </c>
      <c r="I16" s="25" t="s">
        <v>23</v>
      </c>
      <c r="J16" s="23" t="s">
        <v>1</v>
      </c>
      <c r="L16" s="28"/>
    </row>
    <row r="17" spans="2:12" s="1" customFormat="1" ht="6.95" customHeight="1">
      <c r="B17" s="28"/>
      <c r="L17" s="28"/>
    </row>
    <row r="18" spans="2:12" s="1" customFormat="1" ht="12" customHeight="1">
      <c r="B18" s="28"/>
      <c r="D18" s="25" t="s">
        <v>26</v>
      </c>
      <c r="I18" s="25" t="s">
        <v>21</v>
      </c>
      <c r="J18" s="23" t="s">
        <v>1</v>
      </c>
      <c r="L18" s="28"/>
    </row>
    <row r="19" spans="2:12" s="1" customFormat="1" ht="18" customHeight="1">
      <c r="B19" s="28"/>
      <c r="E19" s="23" t="s">
        <v>28</v>
      </c>
      <c r="I19" s="25" t="s">
        <v>23</v>
      </c>
      <c r="J19" s="23" t="s">
        <v>1</v>
      </c>
      <c r="L19" s="28"/>
    </row>
    <row r="20" spans="2:12" s="1" customFormat="1" ht="6.95" customHeight="1">
      <c r="B20" s="28"/>
      <c r="L20" s="28"/>
    </row>
    <row r="21" spans="2:12" s="1" customFormat="1" ht="12" customHeight="1">
      <c r="B21" s="28"/>
      <c r="D21" s="25" t="s">
        <v>29</v>
      </c>
      <c r="I21" s="25" t="s">
        <v>21</v>
      </c>
      <c r="J21" s="23" t="str">
        <f>IF('Rekapitulácia stavby'!AN19="","",'Rekapitulácia stavby'!AN19)</f>
        <v/>
      </c>
      <c r="L21" s="28"/>
    </row>
    <row r="22" spans="2:12" s="1" customFormat="1" ht="18" customHeight="1">
      <c r="B22" s="28"/>
      <c r="E22" s="23" t="str">
        <f>IF('Rekapitulácia stavby'!E20="","",'Rekapitulácia stavby'!E20)</f>
        <v xml:space="preserve"> </v>
      </c>
      <c r="I22" s="25" t="s">
        <v>23</v>
      </c>
      <c r="J22" s="23" t="str">
        <f>IF('Rekapitulácia stavby'!AN20="","",'Rekapitulácia stavby'!AN20)</f>
        <v/>
      </c>
      <c r="L22" s="28"/>
    </row>
    <row r="23" spans="2:12" s="1" customFormat="1" ht="6.95" customHeight="1">
      <c r="B23" s="28"/>
      <c r="L23" s="28"/>
    </row>
    <row r="24" spans="2:12" s="1" customFormat="1" ht="12" customHeight="1">
      <c r="B24" s="28"/>
      <c r="D24" s="25" t="s">
        <v>31</v>
      </c>
      <c r="L24" s="28"/>
    </row>
    <row r="25" spans="2:12" s="7" customFormat="1" ht="16.5" customHeight="1">
      <c r="B25" s="83"/>
      <c r="E25" s="182" t="s">
        <v>1</v>
      </c>
      <c r="F25" s="182"/>
      <c r="G25" s="182"/>
      <c r="H25" s="182"/>
      <c r="L25" s="83"/>
    </row>
    <row r="26" spans="2:12" s="1" customFormat="1" ht="6.95" customHeight="1">
      <c r="B26" s="28"/>
      <c r="L26" s="28"/>
    </row>
    <row r="27" spans="2:12" s="1" customFormat="1" ht="6.95" customHeight="1">
      <c r="B27" s="28"/>
      <c r="D27" s="52"/>
      <c r="E27" s="52"/>
      <c r="F27" s="52"/>
      <c r="G27" s="52"/>
      <c r="H27" s="52"/>
      <c r="I27" s="52"/>
      <c r="J27" s="52"/>
      <c r="K27" s="52"/>
      <c r="L27" s="28"/>
    </row>
    <row r="28" spans="2:12" s="1" customFormat="1" ht="14.45" customHeight="1">
      <c r="B28" s="28"/>
      <c r="D28" s="23" t="s">
        <v>80</v>
      </c>
      <c r="J28" s="84">
        <f>J94</f>
        <v>414506.41000000003</v>
      </c>
      <c r="L28" s="28"/>
    </row>
    <row r="29" spans="2:12" s="1" customFormat="1" ht="14.45" customHeight="1">
      <c r="B29" s="28"/>
      <c r="D29" s="85" t="s">
        <v>81</v>
      </c>
      <c r="J29" s="84">
        <f>J104</f>
        <v>0</v>
      </c>
      <c r="L29" s="28"/>
    </row>
    <row r="30" spans="2:12" s="1" customFormat="1" ht="25.35" customHeight="1">
      <c r="B30" s="28"/>
      <c r="D30" s="86" t="s">
        <v>32</v>
      </c>
      <c r="J30" s="65">
        <f>ROUND(J28 + J29, 2)</f>
        <v>414506.41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customHeight="1">
      <c r="B33" s="28"/>
      <c r="D33" s="54" t="s">
        <v>36</v>
      </c>
      <c r="E33" s="33" t="s">
        <v>37</v>
      </c>
      <c r="F33" s="87">
        <f>ROUND((SUM(BE104:BE105) + SUM(BE123:BE187)),  2)</f>
        <v>0</v>
      </c>
      <c r="G33" s="88"/>
      <c r="H33" s="88"/>
      <c r="I33" s="89">
        <v>0.23</v>
      </c>
      <c r="J33" s="87">
        <f>ROUND(((SUM(BE104:BE105) + SUM(BE123:BE187))*I33),  2)</f>
        <v>0</v>
      </c>
      <c r="L33" s="28"/>
    </row>
    <row r="34" spans="2:12" s="1" customFormat="1" ht="14.45" customHeight="1">
      <c r="B34" s="28"/>
      <c r="E34" s="33" t="s">
        <v>38</v>
      </c>
      <c r="F34" s="90">
        <f>ROUND((SUM(BF104:BF105) + SUM(BF123:BF187)),  2)</f>
        <v>414506.41</v>
      </c>
      <c r="I34" s="91">
        <v>0.23</v>
      </c>
      <c r="J34" s="90">
        <f>ROUND(((SUM(BF104:BF105) + SUM(BF123:BF187))*I34),  2)</f>
        <v>95336.47</v>
      </c>
      <c r="L34" s="28"/>
    </row>
    <row r="35" spans="2:12" s="1" customFormat="1" ht="14.45" hidden="1" customHeight="1">
      <c r="B35" s="28"/>
      <c r="E35" s="25" t="s">
        <v>39</v>
      </c>
      <c r="F35" s="90">
        <f>ROUND((SUM(BG104:BG105) + SUM(BG123:BG187)),  2)</f>
        <v>0</v>
      </c>
      <c r="I35" s="91">
        <v>0.23</v>
      </c>
      <c r="J35" s="90">
        <f>0</f>
        <v>0</v>
      </c>
      <c r="L35" s="28"/>
    </row>
    <row r="36" spans="2:12" s="1" customFormat="1" ht="14.45" hidden="1" customHeight="1">
      <c r="B36" s="28"/>
      <c r="E36" s="25" t="s">
        <v>40</v>
      </c>
      <c r="F36" s="90">
        <f>ROUND((SUM(BH104:BH105) + SUM(BH123:BH187)),  2)</f>
        <v>0</v>
      </c>
      <c r="I36" s="91">
        <v>0.23</v>
      </c>
      <c r="J36" s="90">
        <f>0</f>
        <v>0</v>
      </c>
      <c r="L36" s="28"/>
    </row>
    <row r="37" spans="2:12" s="1" customFormat="1" ht="14.45" hidden="1" customHeight="1">
      <c r="B37" s="28"/>
      <c r="E37" s="33" t="s">
        <v>41</v>
      </c>
      <c r="F37" s="87">
        <f>ROUND((SUM(BI104:BI105) + SUM(BI123:BI187)),  2)</f>
        <v>0</v>
      </c>
      <c r="G37" s="88"/>
      <c r="H37" s="88"/>
      <c r="I37" s="89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2"/>
      <c r="D39" s="93" t="s">
        <v>42</v>
      </c>
      <c r="E39" s="56"/>
      <c r="F39" s="56"/>
      <c r="G39" s="94" t="s">
        <v>43</v>
      </c>
      <c r="H39" s="95" t="s">
        <v>44</v>
      </c>
      <c r="I39" s="56"/>
      <c r="J39" s="96">
        <f>SUM(J30:J37)</f>
        <v>509842.88</v>
      </c>
      <c r="K39" s="97"/>
      <c r="L39" s="28"/>
    </row>
    <row r="40" spans="2:12" s="1" customFormat="1" ht="14.45" customHeight="1">
      <c r="B40" s="28"/>
      <c r="L40" s="28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28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28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28"/>
      <c r="D61" s="42" t="s">
        <v>47</v>
      </c>
      <c r="E61" s="30"/>
      <c r="F61" s="98" t="s">
        <v>48</v>
      </c>
      <c r="G61" s="42" t="s">
        <v>47</v>
      </c>
      <c r="H61" s="30"/>
      <c r="I61" s="30"/>
      <c r="J61" s="99" t="s">
        <v>48</v>
      </c>
      <c r="K61" s="30"/>
      <c r="L61" s="28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28"/>
      <c r="D65" s="40" t="s">
        <v>49</v>
      </c>
      <c r="E65" s="41"/>
      <c r="F65" s="41"/>
      <c r="G65" s="40" t="s">
        <v>50</v>
      </c>
      <c r="H65" s="41"/>
      <c r="I65" s="41"/>
      <c r="J65" s="41"/>
      <c r="K65" s="41"/>
      <c r="L65" s="28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28"/>
      <c r="D76" s="42" t="s">
        <v>47</v>
      </c>
      <c r="E76" s="30"/>
      <c r="F76" s="98" t="s">
        <v>48</v>
      </c>
      <c r="G76" s="42" t="s">
        <v>47</v>
      </c>
      <c r="H76" s="30"/>
      <c r="I76" s="30"/>
      <c r="J76" s="99" t="s">
        <v>48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hidden="1" customHeight="1">
      <c r="B82" s="28"/>
      <c r="C82" s="20" t="s">
        <v>82</v>
      </c>
      <c r="L82" s="28"/>
    </row>
    <row r="83" spans="2:47" s="1" customFormat="1" ht="6.95" hidden="1" customHeight="1">
      <c r="B83" s="28"/>
      <c r="L83" s="28"/>
    </row>
    <row r="84" spans="2:47" s="1" customFormat="1" ht="12" hidden="1" customHeight="1">
      <c r="B84" s="28"/>
      <c r="C84" s="25" t="s">
        <v>13</v>
      </c>
      <c r="L84" s="28"/>
    </row>
    <row r="85" spans="2:47" s="1" customFormat="1" ht="16.5" hidden="1" customHeight="1">
      <c r="B85" s="28"/>
      <c r="E85" s="196" t="str">
        <f>E7</f>
        <v>Maštaľ - výmena strešnej krytiny</v>
      </c>
      <c r="F85" s="216"/>
      <c r="G85" s="216"/>
      <c r="H85" s="216"/>
      <c r="L85" s="28"/>
    </row>
    <row r="86" spans="2:47" s="1" customFormat="1" ht="6.95" hidden="1" customHeight="1">
      <c r="B86" s="28"/>
      <c r="L86" s="28"/>
    </row>
    <row r="87" spans="2:47" s="1" customFormat="1" ht="12" hidden="1" customHeight="1">
      <c r="B87" s="28"/>
      <c r="C87" s="25" t="s">
        <v>17</v>
      </c>
      <c r="F87" s="23" t="str">
        <f>F10</f>
        <v>Mikuláš č. 631, 946 55 Dubník</v>
      </c>
      <c r="I87" s="25" t="s">
        <v>19</v>
      </c>
      <c r="J87" s="51">
        <f>IF(J10="","",J10)</f>
        <v>45158</v>
      </c>
      <c r="L87" s="28"/>
    </row>
    <row r="88" spans="2:47" s="1" customFormat="1" ht="6.95" hidden="1" customHeight="1">
      <c r="B88" s="28"/>
      <c r="L88" s="28"/>
    </row>
    <row r="89" spans="2:47" s="1" customFormat="1" ht="15.2" hidden="1" customHeight="1">
      <c r="B89" s="28"/>
      <c r="C89" s="25" t="s">
        <v>20</v>
      </c>
      <c r="F89" s="23" t="str">
        <f>E13</f>
        <v>AGROCONTRACT Mikuláš a.s.</v>
      </c>
      <c r="I89" s="25" t="s">
        <v>26</v>
      </c>
      <c r="J89" s="26" t="str">
        <f>E19</f>
        <v>Zoltán Gőgh</v>
      </c>
      <c r="L89" s="28"/>
    </row>
    <row r="90" spans="2:47" s="1" customFormat="1" ht="15.2" hidden="1" customHeight="1">
      <c r="B90" s="28"/>
      <c r="C90" s="25" t="s">
        <v>24</v>
      </c>
      <c r="F90" s="23" t="str">
        <f>IF(E16="","",E16)</f>
        <v>podľa výberu</v>
      </c>
      <c r="I90" s="25" t="s">
        <v>29</v>
      </c>
      <c r="J90" s="26" t="str">
        <f>E22</f>
        <v xml:space="preserve"> </v>
      </c>
      <c r="L90" s="28"/>
    </row>
    <row r="91" spans="2:47" s="1" customFormat="1" ht="10.35" hidden="1" customHeight="1">
      <c r="B91" s="28"/>
      <c r="L91" s="28"/>
    </row>
    <row r="92" spans="2:47" s="1" customFormat="1" ht="29.25" hidden="1" customHeight="1">
      <c r="B92" s="28"/>
      <c r="C92" s="100" t="s">
        <v>83</v>
      </c>
      <c r="D92" s="92"/>
      <c r="E92" s="92"/>
      <c r="F92" s="92"/>
      <c r="G92" s="92"/>
      <c r="H92" s="92"/>
      <c r="I92" s="92"/>
      <c r="J92" s="101" t="s">
        <v>84</v>
      </c>
      <c r="K92" s="92"/>
      <c r="L92" s="28"/>
    </row>
    <row r="93" spans="2:47" s="1" customFormat="1" ht="10.35" hidden="1" customHeight="1">
      <c r="B93" s="28"/>
      <c r="L93" s="28"/>
    </row>
    <row r="94" spans="2:47" s="1" customFormat="1" ht="22.9" hidden="1" customHeight="1">
      <c r="B94" s="28"/>
      <c r="C94" s="102" t="s">
        <v>85</v>
      </c>
      <c r="J94" s="65">
        <f>J123</f>
        <v>414506.41000000003</v>
      </c>
      <c r="L94" s="28"/>
      <c r="AU94" s="16" t="s">
        <v>86</v>
      </c>
    </row>
    <row r="95" spans="2:47" s="8" customFormat="1" ht="24.95" hidden="1" customHeight="1">
      <c r="B95" s="103"/>
      <c r="D95" s="104" t="s">
        <v>87</v>
      </c>
      <c r="E95" s="105"/>
      <c r="F95" s="105"/>
      <c r="G95" s="105"/>
      <c r="H95" s="105"/>
      <c r="I95" s="105"/>
      <c r="J95" s="106">
        <f>J124</f>
        <v>103470.61000000002</v>
      </c>
      <c r="L95" s="103"/>
    </row>
    <row r="96" spans="2:47" s="9" customFormat="1" ht="19.899999999999999" hidden="1" customHeight="1">
      <c r="B96" s="107"/>
      <c r="D96" s="108" t="s">
        <v>88</v>
      </c>
      <c r="E96" s="109"/>
      <c r="F96" s="109"/>
      <c r="G96" s="109"/>
      <c r="H96" s="109"/>
      <c r="I96" s="109"/>
      <c r="J96" s="110">
        <f>J125</f>
        <v>66657.210000000006</v>
      </c>
      <c r="L96" s="107"/>
    </row>
    <row r="97" spans="2:14" s="9" customFormat="1" ht="19.899999999999999" hidden="1" customHeight="1">
      <c r="B97" s="107"/>
      <c r="D97" s="108" t="s">
        <v>89</v>
      </c>
      <c r="E97" s="109"/>
      <c r="F97" s="109"/>
      <c r="G97" s="109"/>
      <c r="H97" s="109"/>
      <c r="I97" s="109"/>
      <c r="J97" s="110">
        <f>J146</f>
        <v>36813.4</v>
      </c>
      <c r="L97" s="107"/>
    </row>
    <row r="98" spans="2:14" s="8" customFormat="1" ht="24.95" hidden="1" customHeight="1">
      <c r="B98" s="103"/>
      <c r="D98" s="104" t="s">
        <v>90</v>
      </c>
      <c r="E98" s="105"/>
      <c r="F98" s="105"/>
      <c r="G98" s="105"/>
      <c r="H98" s="105"/>
      <c r="I98" s="105"/>
      <c r="J98" s="106">
        <f>J148</f>
        <v>311035.80000000005</v>
      </c>
      <c r="L98" s="103"/>
    </row>
    <row r="99" spans="2:14" s="9" customFormat="1" ht="19.899999999999999" hidden="1" customHeight="1">
      <c r="B99" s="107"/>
      <c r="D99" s="108" t="s">
        <v>91</v>
      </c>
      <c r="E99" s="109"/>
      <c r="F99" s="109"/>
      <c r="G99" s="109"/>
      <c r="H99" s="109"/>
      <c r="I99" s="109"/>
      <c r="J99" s="110">
        <f>J149</f>
        <v>3450.18</v>
      </c>
      <c r="L99" s="107"/>
    </row>
    <row r="100" spans="2:14" s="9" customFormat="1" ht="19.899999999999999" hidden="1" customHeight="1">
      <c r="B100" s="107"/>
      <c r="D100" s="108" t="s">
        <v>92</v>
      </c>
      <c r="E100" s="109"/>
      <c r="F100" s="109"/>
      <c r="G100" s="109"/>
      <c r="H100" s="109"/>
      <c r="I100" s="109"/>
      <c r="J100" s="110">
        <f>J157</f>
        <v>305842.41000000003</v>
      </c>
      <c r="L100" s="107"/>
    </row>
    <row r="101" spans="2:14" s="9" customFormat="1" ht="19.899999999999999" hidden="1" customHeight="1">
      <c r="B101" s="107"/>
      <c r="D101" s="108" t="s">
        <v>93</v>
      </c>
      <c r="E101" s="109"/>
      <c r="F101" s="109"/>
      <c r="G101" s="109"/>
      <c r="H101" s="109"/>
      <c r="I101" s="109"/>
      <c r="J101" s="110">
        <f>J178</f>
        <v>1743.21</v>
      </c>
      <c r="L101" s="107"/>
    </row>
    <row r="102" spans="2:14" s="1" customFormat="1" ht="21.75" hidden="1" customHeight="1">
      <c r="B102" s="28"/>
      <c r="L102" s="28"/>
    </row>
    <row r="103" spans="2:14" s="1" customFormat="1" ht="6.95" hidden="1" customHeight="1">
      <c r="B103" s="28"/>
      <c r="L103" s="28"/>
    </row>
    <row r="104" spans="2:14" s="1" customFormat="1" ht="29.25" hidden="1" customHeight="1">
      <c r="B104" s="28"/>
      <c r="C104" s="102" t="s">
        <v>94</v>
      </c>
      <c r="J104" s="111">
        <v>0</v>
      </c>
      <c r="L104" s="28"/>
      <c r="N104" s="112" t="s">
        <v>36</v>
      </c>
    </row>
    <row r="105" spans="2:14" s="1" customFormat="1" ht="18" hidden="1" customHeight="1">
      <c r="B105" s="28"/>
      <c r="L105" s="28"/>
    </row>
    <row r="106" spans="2:14" s="1" customFormat="1" ht="29.25" hidden="1" customHeight="1">
      <c r="B106" s="28"/>
      <c r="C106" s="113" t="s">
        <v>95</v>
      </c>
      <c r="D106" s="92"/>
      <c r="E106" s="92"/>
      <c r="F106" s="92"/>
      <c r="G106" s="92"/>
      <c r="H106" s="92"/>
      <c r="I106" s="92"/>
      <c r="J106" s="114">
        <f>ROUND(J94+J104,2)</f>
        <v>414506.41</v>
      </c>
      <c r="K106" s="92"/>
      <c r="L106" s="28"/>
    </row>
    <row r="107" spans="2:14" s="1" customFormat="1" ht="6.95" hidden="1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08" spans="2:14" ht="11.25" hidden="1"/>
    <row r="109" spans="2:14" ht="11.25" hidden="1"/>
    <row r="110" spans="2:14" ht="11.25" hidden="1"/>
    <row r="111" spans="2:14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4" s="1" customFormat="1" ht="24.95" customHeight="1">
      <c r="B112" s="28"/>
      <c r="C112" s="20" t="s">
        <v>96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5" t="s">
        <v>13</v>
      </c>
      <c r="L114" s="28"/>
    </row>
    <row r="115" spans="2:65" s="1" customFormat="1" ht="16.5" customHeight="1">
      <c r="B115" s="28"/>
      <c r="E115" s="196" t="str">
        <f>E7</f>
        <v>Maštaľ - výmena strešnej krytiny</v>
      </c>
      <c r="F115" s="216"/>
      <c r="G115" s="216"/>
      <c r="H115" s="216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5" t="s">
        <v>17</v>
      </c>
      <c r="F117" s="23" t="str">
        <f>F10</f>
        <v>Mikuláš č. 631, 946 55 Dubník</v>
      </c>
      <c r="I117" s="25" t="s">
        <v>19</v>
      </c>
      <c r="J117" s="51">
        <f>IF(J10="","",J10)</f>
        <v>45158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5" t="s">
        <v>20</v>
      </c>
      <c r="F119" s="23" t="str">
        <f>E13</f>
        <v>AGROCONTRACT Mikuláš a.s.</v>
      </c>
      <c r="I119" s="25" t="s">
        <v>26</v>
      </c>
      <c r="J119" s="26" t="str">
        <f>E19</f>
        <v>Zoltán Gőgh</v>
      </c>
      <c r="L119" s="28"/>
    </row>
    <row r="120" spans="2:65" s="1" customFormat="1" ht="15.2" customHeight="1">
      <c r="B120" s="28"/>
      <c r="C120" s="25" t="s">
        <v>24</v>
      </c>
      <c r="F120" s="23" t="str">
        <f>IF(E16="","",E16)</f>
        <v>podľa výberu</v>
      </c>
      <c r="I120" s="25" t="s">
        <v>29</v>
      </c>
      <c r="J120" s="26" t="str">
        <f>E22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5"/>
      <c r="C122" s="116" t="s">
        <v>97</v>
      </c>
      <c r="D122" s="117" t="s">
        <v>57</v>
      </c>
      <c r="E122" s="117" t="s">
        <v>53</v>
      </c>
      <c r="F122" s="117" t="s">
        <v>54</v>
      </c>
      <c r="G122" s="117" t="s">
        <v>98</v>
      </c>
      <c r="H122" s="117" t="s">
        <v>99</v>
      </c>
      <c r="I122" s="117" t="s">
        <v>100</v>
      </c>
      <c r="J122" s="118" t="s">
        <v>84</v>
      </c>
      <c r="K122" s="119" t="s">
        <v>101</v>
      </c>
      <c r="L122" s="115"/>
      <c r="M122" s="58" t="s">
        <v>1</v>
      </c>
      <c r="N122" s="59" t="s">
        <v>36</v>
      </c>
      <c r="O122" s="59" t="s">
        <v>102</v>
      </c>
      <c r="P122" s="59" t="s">
        <v>103</v>
      </c>
      <c r="Q122" s="59" t="s">
        <v>104</v>
      </c>
      <c r="R122" s="59" t="s">
        <v>105</v>
      </c>
      <c r="S122" s="59" t="s">
        <v>106</v>
      </c>
      <c r="T122" s="60" t="s">
        <v>107</v>
      </c>
    </row>
    <row r="123" spans="2:65" s="1" customFormat="1" ht="22.9" customHeight="1">
      <c r="B123" s="28"/>
      <c r="C123" s="63" t="s">
        <v>80</v>
      </c>
      <c r="J123" s="120">
        <f>BK123</f>
        <v>414506.41000000003</v>
      </c>
      <c r="L123" s="28"/>
      <c r="M123" s="61"/>
      <c r="N123" s="52"/>
      <c r="O123" s="52"/>
      <c r="P123" s="121">
        <f>P124+P148</f>
        <v>11553.36936723</v>
      </c>
      <c r="Q123" s="52"/>
      <c r="R123" s="121">
        <f>R124+R148</f>
        <v>824.15621576704007</v>
      </c>
      <c r="S123" s="52"/>
      <c r="T123" s="122">
        <f>T124+T148</f>
        <v>43.695259999999998</v>
      </c>
      <c r="AT123" s="16" t="s">
        <v>71</v>
      </c>
      <c r="AU123" s="16" t="s">
        <v>86</v>
      </c>
      <c r="BK123" s="123">
        <f>BK124+BK148</f>
        <v>414506.41000000003</v>
      </c>
    </row>
    <row r="124" spans="2:65" s="11" customFormat="1" ht="25.9" customHeight="1">
      <c r="B124" s="124"/>
      <c r="D124" s="125" t="s">
        <v>71</v>
      </c>
      <c r="E124" s="126" t="s">
        <v>108</v>
      </c>
      <c r="F124" s="126" t="s">
        <v>109</v>
      </c>
      <c r="J124" s="127">
        <f>BK124</f>
        <v>103470.61000000002</v>
      </c>
      <c r="L124" s="124"/>
      <c r="M124" s="128"/>
      <c r="P124" s="129">
        <f>P125+P146</f>
        <v>3538.8519250000004</v>
      </c>
      <c r="R124" s="129">
        <f>R125+R146</f>
        <v>750.37452150920001</v>
      </c>
      <c r="T124" s="130">
        <f>T125+T146</f>
        <v>0</v>
      </c>
      <c r="AR124" s="125" t="s">
        <v>77</v>
      </c>
      <c r="AT124" s="131" t="s">
        <v>71</v>
      </c>
      <c r="AU124" s="131" t="s">
        <v>72</v>
      </c>
      <c r="AY124" s="125" t="s">
        <v>110</v>
      </c>
      <c r="BK124" s="132">
        <f>BK125+BK146</f>
        <v>103470.61000000002</v>
      </c>
    </row>
    <row r="125" spans="2:65" s="11" customFormat="1" ht="22.9" customHeight="1">
      <c r="B125" s="124"/>
      <c r="D125" s="125" t="s">
        <v>71</v>
      </c>
      <c r="E125" s="133" t="s">
        <v>111</v>
      </c>
      <c r="F125" s="133" t="s">
        <v>112</v>
      </c>
      <c r="J125" s="134">
        <f>BK125</f>
        <v>66657.210000000006</v>
      </c>
      <c r="L125" s="124"/>
      <c r="M125" s="128"/>
      <c r="P125" s="129">
        <f>SUM(P126:P145)</f>
        <v>1690.6783000000003</v>
      </c>
      <c r="R125" s="129">
        <f>SUM(R126:R145)</f>
        <v>750.37452150920001</v>
      </c>
      <c r="T125" s="130">
        <f>SUM(T126:T145)</f>
        <v>0</v>
      </c>
      <c r="AR125" s="125" t="s">
        <v>77</v>
      </c>
      <c r="AT125" s="131" t="s">
        <v>71</v>
      </c>
      <c r="AU125" s="131" t="s">
        <v>77</v>
      </c>
      <c r="AY125" s="125" t="s">
        <v>110</v>
      </c>
      <c r="BK125" s="132">
        <f>SUM(BK126:BK145)</f>
        <v>66657.210000000006</v>
      </c>
    </row>
    <row r="126" spans="2:65" s="1" customFormat="1" ht="24.2" customHeight="1">
      <c r="B126" s="135"/>
      <c r="C126" s="136" t="s">
        <v>77</v>
      </c>
      <c r="D126" s="136" t="s">
        <v>113</v>
      </c>
      <c r="E126" s="137" t="s">
        <v>114</v>
      </c>
      <c r="F126" s="138" t="s">
        <v>115</v>
      </c>
      <c r="G126" s="139" t="s">
        <v>116</v>
      </c>
      <c r="H126" s="140">
        <v>10781.03</v>
      </c>
      <c r="I126" s="141">
        <v>0.81</v>
      </c>
      <c r="J126" s="141">
        <f>ROUND(I126*H126,2)</f>
        <v>8732.6299999999992</v>
      </c>
      <c r="K126" s="142"/>
      <c r="L126" s="28"/>
      <c r="M126" s="143" t="s">
        <v>1</v>
      </c>
      <c r="N126" s="112" t="s">
        <v>38</v>
      </c>
      <c r="O126" s="144">
        <v>3.3000000000000002E-2</v>
      </c>
      <c r="P126" s="144">
        <f>O126*H126</f>
        <v>355.77399000000003</v>
      </c>
      <c r="Q126" s="144">
        <v>2.8680279999999999E-2</v>
      </c>
      <c r="R126" s="144">
        <f>Q126*H126</f>
        <v>309.20295908840001</v>
      </c>
      <c r="S126" s="144">
        <v>0</v>
      </c>
      <c r="T126" s="145">
        <f>S126*H126</f>
        <v>0</v>
      </c>
      <c r="AR126" s="146" t="s">
        <v>117</v>
      </c>
      <c r="AT126" s="146" t="s">
        <v>113</v>
      </c>
      <c r="AU126" s="146" t="s">
        <v>118</v>
      </c>
      <c r="AY126" s="16" t="s">
        <v>110</v>
      </c>
      <c r="BE126" s="147">
        <f>IF(N126="základná",J126,0)</f>
        <v>0</v>
      </c>
      <c r="BF126" s="147">
        <f>IF(N126="znížená",J126,0)</f>
        <v>8732.6299999999992</v>
      </c>
      <c r="BG126" s="147">
        <f>IF(N126="zákl. prenesená",J126,0)</f>
        <v>0</v>
      </c>
      <c r="BH126" s="147">
        <f>IF(N126="zníž. prenesená",J126,0)</f>
        <v>0</v>
      </c>
      <c r="BI126" s="147">
        <f>IF(N126="nulová",J126,0)</f>
        <v>0</v>
      </c>
      <c r="BJ126" s="16" t="s">
        <v>118</v>
      </c>
      <c r="BK126" s="147">
        <f>ROUND(I126*H126,2)</f>
        <v>8732.6299999999992</v>
      </c>
      <c r="BL126" s="16" t="s">
        <v>117</v>
      </c>
      <c r="BM126" s="146" t="s">
        <v>119</v>
      </c>
    </row>
    <row r="127" spans="2:65" s="12" customFormat="1" ht="22.5">
      <c r="B127" s="148"/>
      <c r="D127" s="149" t="s">
        <v>120</v>
      </c>
      <c r="E127" s="150" t="s">
        <v>1</v>
      </c>
      <c r="F127" s="151" t="s">
        <v>121</v>
      </c>
      <c r="H127" s="150" t="s">
        <v>1</v>
      </c>
      <c r="L127" s="148"/>
      <c r="M127" s="152"/>
      <c r="T127" s="153"/>
      <c r="AT127" s="150" t="s">
        <v>120</v>
      </c>
      <c r="AU127" s="150" t="s">
        <v>118</v>
      </c>
      <c r="AV127" s="12" t="s">
        <v>77</v>
      </c>
      <c r="AW127" s="12" t="s">
        <v>27</v>
      </c>
      <c r="AX127" s="12" t="s">
        <v>72</v>
      </c>
      <c r="AY127" s="150" t="s">
        <v>110</v>
      </c>
    </row>
    <row r="128" spans="2:65" s="12" customFormat="1" ht="11.25">
      <c r="B128" s="148"/>
      <c r="D128" s="149" t="s">
        <v>120</v>
      </c>
      <c r="E128" s="150" t="s">
        <v>1</v>
      </c>
      <c r="F128" s="151" t="s">
        <v>122</v>
      </c>
      <c r="H128" s="150" t="s">
        <v>1</v>
      </c>
      <c r="L128" s="148"/>
      <c r="M128" s="152"/>
      <c r="T128" s="153"/>
      <c r="AT128" s="150" t="s">
        <v>120</v>
      </c>
      <c r="AU128" s="150" t="s">
        <v>118</v>
      </c>
      <c r="AV128" s="12" t="s">
        <v>77</v>
      </c>
      <c r="AW128" s="12" t="s">
        <v>27</v>
      </c>
      <c r="AX128" s="12" t="s">
        <v>72</v>
      </c>
      <c r="AY128" s="150" t="s">
        <v>110</v>
      </c>
    </row>
    <row r="129" spans="2:65" s="13" customFormat="1" ht="11.25">
      <c r="B129" s="154"/>
      <c r="D129" s="149" t="s">
        <v>120</v>
      </c>
      <c r="E129" s="155" t="s">
        <v>1</v>
      </c>
      <c r="F129" s="156" t="s">
        <v>123</v>
      </c>
      <c r="H129" s="157">
        <v>27641.647000000001</v>
      </c>
      <c r="L129" s="154"/>
      <c r="M129" s="158"/>
      <c r="T129" s="159"/>
      <c r="AT129" s="155" t="s">
        <v>120</v>
      </c>
      <c r="AU129" s="155" t="s">
        <v>118</v>
      </c>
      <c r="AV129" s="13" t="s">
        <v>118</v>
      </c>
      <c r="AW129" s="13" t="s">
        <v>27</v>
      </c>
      <c r="AX129" s="13" t="s">
        <v>72</v>
      </c>
      <c r="AY129" s="155" t="s">
        <v>110</v>
      </c>
    </row>
    <row r="130" spans="2:65" s="13" customFormat="1" ht="11.25">
      <c r="B130" s="154"/>
      <c r="D130" s="149" t="s">
        <v>120</v>
      </c>
      <c r="E130" s="155" t="s">
        <v>1</v>
      </c>
      <c r="F130" s="156" t="s">
        <v>124</v>
      </c>
      <c r="H130" s="157">
        <v>4701.4430000000002</v>
      </c>
      <c r="L130" s="154"/>
      <c r="M130" s="158"/>
      <c r="T130" s="159"/>
      <c r="AT130" s="155" t="s">
        <v>120</v>
      </c>
      <c r="AU130" s="155" t="s">
        <v>118</v>
      </c>
      <c r="AV130" s="13" t="s">
        <v>118</v>
      </c>
      <c r="AW130" s="13" t="s">
        <v>27</v>
      </c>
      <c r="AX130" s="13" t="s">
        <v>72</v>
      </c>
      <c r="AY130" s="155" t="s">
        <v>110</v>
      </c>
    </row>
    <row r="131" spans="2:65" s="14" customFormat="1" ht="11.25">
      <c r="B131" s="160"/>
      <c r="D131" s="149" t="s">
        <v>120</v>
      </c>
      <c r="E131" s="161" t="s">
        <v>1</v>
      </c>
      <c r="F131" s="162" t="s">
        <v>125</v>
      </c>
      <c r="H131" s="163">
        <v>32343.09</v>
      </c>
      <c r="L131" s="160"/>
      <c r="M131" s="164"/>
      <c r="T131" s="165"/>
      <c r="AT131" s="161" t="s">
        <v>120</v>
      </c>
      <c r="AU131" s="161" t="s">
        <v>118</v>
      </c>
      <c r="AV131" s="14" t="s">
        <v>117</v>
      </c>
      <c r="AW131" s="14" t="s">
        <v>27</v>
      </c>
      <c r="AX131" s="14" t="s">
        <v>72</v>
      </c>
      <c r="AY131" s="161" t="s">
        <v>110</v>
      </c>
    </row>
    <row r="132" spans="2:65" s="13" customFormat="1" ht="11.25">
      <c r="B132" s="154"/>
      <c r="D132" s="149" t="s">
        <v>120</v>
      </c>
      <c r="E132" s="155" t="s">
        <v>1</v>
      </c>
      <c r="F132" s="156" t="s">
        <v>126</v>
      </c>
      <c r="H132" s="157">
        <v>10781.03</v>
      </c>
      <c r="L132" s="154"/>
      <c r="M132" s="158"/>
      <c r="T132" s="159"/>
      <c r="AT132" s="155" t="s">
        <v>120</v>
      </c>
      <c r="AU132" s="155" t="s">
        <v>118</v>
      </c>
      <c r="AV132" s="13" t="s">
        <v>118</v>
      </c>
      <c r="AW132" s="13" t="s">
        <v>27</v>
      </c>
      <c r="AX132" s="13" t="s">
        <v>77</v>
      </c>
      <c r="AY132" s="155" t="s">
        <v>110</v>
      </c>
    </row>
    <row r="133" spans="2:65" s="1" customFormat="1" ht="37.9" customHeight="1">
      <c r="B133" s="135"/>
      <c r="C133" s="136" t="s">
        <v>118</v>
      </c>
      <c r="D133" s="136" t="s">
        <v>113</v>
      </c>
      <c r="E133" s="137" t="s">
        <v>127</v>
      </c>
      <c r="F133" s="138" t="s">
        <v>128</v>
      </c>
      <c r="G133" s="139" t="s">
        <v>116</v>
      </c>
      <c r="H133" s="140">
        <v>10781.03</v>
      </c>
      <c r="I133" s="141">
        <v>0.93</v>
      </c>
      <c r="J133" s="141">
        <f>ROUND(I133*H133,2)</f>
        <v>10026.36</v>
      </c>
      <c r="K133" s="142"/>
      <c r="L133" s="28"/>
      <c r="M133" s="143" t="s">
        <v>1</v>
      </c>
      <c r="N133" s="112" t="s">
        <v>38</v>
      </c>
      <c r="O133" s="144">
        <v>2E-3</v>
      </c>
      <c r="P133" s="144">
        <f>O133*H133</f>
        <v>21.562060000000002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AR133" s="146" t="s">
        <v>117</v>
      </c>
      <c r="AT133" s="146" t="s">
        <v>113</v>
      </c>
      <c r="AU133" s="146" t="s">
        <v>118</v>
      </c>
      <c r="AY133" s="16" t="s">
        <v>110</v>
      </c>
      <c r="BE133" s="147">
        <f>IF(N133="základná",J133,0)</f>
        <v>0</v>
      </c>
      <c r="BF133" s="147">
        <f>IF(N133="znížená",J133,0)</f>
        <v>10026.36</v>
      </c>
      <c r="BG133" s="147">
        <f>IF(N133="zákl. prenesená",J133,0)</f>
        <v>0</v>
      </c>
      <c r="BH133" s="147">
        <f>IF(N133="zníž. prenesená",J133,0)</f>
        <v>0</v>
      </c>
      <c r="BI133" s="147">
        <f>IF(N133="nulová",J133,0)</f>
        <v>0</v>
      </c>
      <c r="BJ133" s="16" t="s">
        <v>118</v>
      </c>
      <c r="BK133" s="147">
        <f>ROUND(I133*H133,2)</f>
        <v>10026.36</v>
      </c>
      <c r="BL133" s="16" t="s">
        <v>117</v>
      </c>
      <c r="BM133" s="146" t="s">
        <v>129</v>
      </c>
    </row>
    <row r="134" spans="2:65" s="1" customFormat="1" ht="24.2" customHeight="1">
      <c r="B134" s="135"/>
      <c r="C134" s="136" t="s">
        <v>130</v>
      </c>
      <c r="D134" s="136" t="s">
        <v>113</v>
      </c>
      <c r="E134" s="137" t="s">
        <v>131</v>
      </c>
      <c r="F134" s="138" t="s">
        <v>132</v>
      </c>
      <c r="G134" s="139" t="s">
        <v>116</v>
      </c>
      <c r="H134" s="140">
        <v>10781.03</v>
      </c>
      <c r="I134" s="141">
        <v>0.47</v>
      </c>
      <c r="J134" s="141">
        <f>ROUND(I134*H134,2)</f>
        <v>5067.08</v>
      </c>
      <c r="K134" s="142"/>
      <c r="L134" s="28"/>
      <c r="M134" s="143" t="s">
        <v>1</v>
      </c>
      <c r="N134" s="112" t="s">
        <v>38</v>
      </c>
      <c r="O134" s="144">
        <v>0.02</v>
      </c>
      <c r="P134" s="144">
        <f>O134*H134</f>
        <v>215.62060000000002</v>
      </c>
      <c r="Q134" s="144">
        <v>2.3900000000000001E-2</v>
      </c>
      <c r="R134" s="144">
        <f>Q134*H134</f>
        <v>257.66661700000003</v>
      </c>
      <c r="S134" s="144">
        <v>0</v>
      </c>
      <c r="T134" s="145">
        <f>S134*H134</f>
        <v>0</v>
      </c>
      <c r="AR134" s="146" t="s">
        <v>117</v>
      </c>
      <c r="AT134" s="146" t="s">
        <v>113</v>
      </c>
      <c r="AU134" s="146" t="s">
        <v>118</v>
      </c>
      <c r="AY134" s="16" t="s">
        <v>110</v>
      </c>
      <c r="BE134" s="147">
        <f>IF(N134="základná",J134,0)</f>
        <v>0</v>
      </c>
      <c r="BF134" s="147">
        <f>IF(N134="znížená",J134,0)</f>
        <v>5067.08</v>
      </c>
      <c r="BG134" s="147">
        <f>IF(N134="zákl. prenesená",J134,0)</f>
        <v>0</v>
      </c>
      <c r="BH134" s="147">
        <f>IF(N134="zníž. prenesená",J134,0)</f>
        <v>0</v>
      </c>
      <c r="BI134" s="147">
        <f>IF(N134="nulová",J134,0)</f>
        <v>0</v>
      </c>
      <c r="BJ134" s="16" t="s">
        <v>118</v>
      </c>
      <c r="BK134" s="147">
        <f>ROUND(I134*H134,2)</f>
        <v>5067.08</v>
      </c>
      <c r="BL134" s="16" t="s">
        <v>117</v>
      </c>
      <c r="BM134" s="146" t="s">
        <v>133</v>
      </c>
    </row>
    <row r="135" spans="2:65" s="1" customFormat="1" ht="24.2" customHeight="1">
      <c r="B135" s="135"/>
      <c r="C135" s="136" t="s">
        <v>117</v>
      </c>
      <c r="D135" s="136" t="s">
        <v>113</v>
      </c>
      <c r="E135" s="137" t="s">
        <v>134</v>
      </c>
      <c r="F135" s="138" t="s">
        <v>135</v>
      </c>
      <c r="G135" s="139" t="s">
        <v>136</v>
      </c>
      <c r="H135" s="140">
        <v>5947.88</v>
      </c>
      <c r="I135" s="141">
        <v>2.06</v>
      </c>
      <c r="J135" s="141">
        <f>ROUND(I135*H135,2)</f>
        <v>12252.63</v>
      </c>
      <c r="K135" s="142"/>
      <c r="L135" s="28"/>
      <c r="M135" s="143" t="s">
        <v>1</v>
      </c>
      <c r="N135" s="112" t="s">
        <v>38</v>
      </c>
      <c r="O135" s="144">
        <v>8.2000000000000003E-2</v>
      </c>
      <c r="P135" s="144">
        <f>O135*H135</f>
        <v>487.72616000000005</v>
      </c>
      <c r="Q135" s="144">
        <v>1.542616E-2</v>
      </c>
      <c r="R135" s="144">
        <f>Q135*H135</f>
        <v>91.752948540800006</v>
      </c>
      <c r="S135" s="144">
        <v>0</v>
      </c>
      <c r="T135" s="145">
        <f>S135*H135</f>
        <v>0</v>
      </c>
      <c r="AR135" s="146" t="s">
        <v>117</v>
      </c>
      <c r="AT135" s="146" t="s">
        <v>113</v>
      </c>
      <c r="AU135" s="146" t="s">
        <v>118</v>
      </c>
      <c r="AY135" s="16" t="s">
        <v>110</v>
      </c>
      <c r="BE135" s="147">
        <f>IF(N135="základná",J135,0)</f>
        <v>0</v>
      </c>
      <c r="BF135" s="147">
        <f>IF(N135="znížená",J135,0)</f>
        <v>12252.63</v>
      </c>
      <c r="BG135" s="147">
        <f>IF(N135="zákl. prenesená",J135,0)</f>
        <v>0</v>
      </c>
      <c r="BH135" s="147">
        <f>IF(N135="zníž. prenesená",J135,0)</f>
        <v>0</v>
      </c>
      <c r="BI135" s="147">
        <f>IF(N135="nulová",J135,0)</f>
        <v>0</v>
      </c>
      <c r="BJ135" s="16" t="s">
        <v>118</v>
      </c>
      <c r="BK135" s="147">
        <f>ROUND(I135*H135,2)</f>
        <v>12252.63</v>
      </c>
      <c r="BL135" s="16" t="s">
        <v>117</v>
      </c>
      <c r="BM135" s="146" t="s">
        <v>137</v>
      </c>
    </row>
    <row r="136" spans="2:65" s="13" customFormat="1" ht="11.25">
      <c r="B136" s="154"/>
      <c r="D136" s="149" t="s">
        <v>120</v>
      </c>
      <c r="E136" s="155" t="s">
        <v>1</v>
      </c>
      <c r="F136" s="156" t="s">
        <v>138</v>
      </c>
      <c r="H136" s="157">
        <v>5947.88</v>
      </c>
      <c r="L136" s="154"/>
      <c r="M136" s="158"/>
      <c r="T136" s="159"/>
      <c r="AT136" s="155" t="s">
        <v>120</v>
      </c>
      <c r="AU136" s="155" t="s">
        <v>118</v>
      </c>
      <c r="AV136" s="13" t="s">
        <v>118</v>
      </c>
      <c r="AW136" s="13" t="s">
        <v>27</v>
      </c>
      <c r="AX136" s="13" t="s">
        <v>77</v>
      </c>
      <c r="AY136" s="155" t="s">
        <v>110</v>
      </c>
    </row>
    <row r="137" spans="2:65" s="1" customFormat="1" ht="33" customHeight="1">
      <c r="B137" s="135"/>
      <c r="C137" s="136" t="s">
        <v>139</v>
      </c>
      <c r="D137" s="136" t="s">
        <v>113</v>
      </c>
      <c r="E137" s="137" t="s">
        <v>140</v>
      </c>
      <c r="F137" s="138" t="s">
        <v>141</v>
      </c>
      <c r="G137" s="139" t="s">
        <v>136</v>
      </c>
      <c r="H137" s="140">
        <v>5947.88</v>
      </c>
      <c r="I137" s="141">
        <v>3.11</v>
      </c>
      <c r="J137" s="141">
        <f>ROUND(I137*H137,2)</f>
        <v>18497.91</v>
      </c>
      <c r="K137" s="142"/>
      <c r="L137" s="28"/>
      <c r="M137" s="143" t="s">
        <v>1</v>
      </c>
      <c r="N137" s="112" t="s">
        <v>38</v>
      </c>
      <c r="O137" s="144">
        <v>0.02</v>
      </c>
      <c r="P137" s="144">
        <f>O137*H137</f>
        <v>118.9576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117</v>
      </c>
      <c r="AT137" s="146" t="s">
        <v>113</v>
      </c>
      <c r="AU137" s="146" t="s">
        <v>118</v>
      </c>
      <c r="AY137" s="16" t="s">
        <v>110</v>
      </c>
      <c r="BE137" s="147">
        <f>IF(N137="základná",J137,0)</f>
        <v>0</v>
      </c>
      <c r="BF137" s="147">
        <f>IF(N137="znížená",J137,0)</f>
        <v>18497.91</v>
      </c>
      <c r="BG137" s="147">
        <f>IF(N137="zákl. prenesená",J137,0)</f>
        <v>0</v>
      </c>
      <c r="BH137" s="147">
        <f>IF(N137="zníž. prenesená",J137,0)</f>
        <v>0</v>
      </c>
      <c r="BI137" s="147">
        <f>IF(N137="nulová",J137,0)</f>
        <v>0</v>
      </c>
      <c r="BJ137" s="16" t="s">
        <v>118</v>
      </c>
      <c r="BK137" s="147">
        <f>ROUND(I137*H137,2)</f>
        <v>18497.91</v>
      </c>
      <c r="BL137" s="16" t="s">
        <v>117</v>
      </c>
      <c r="BM137" s="146" t="s">
        <v>142</v>
      </c>
    </row>
    <row r="138" spans="2:65" s="1" customFormat="1" ht="24.2" customHeight="1">
      <c r="B138" s="135"/>
      <c r="C138" s="136" t="s">
        <v>143</v>
      </c>
      <c r="D138" s="136" t="s">
        <v>113</v>
      </c>
      <c r="E138" s="137" t="s">
        <v>144</v>
      </c>
      <c r="F138" s="138" t="s">
        <v>145</v>
      </c>
      <c r="G138" s="139" t="s">
        <v>136</v>
      </c>
      <c r="H138" s="140">
        <v>5947.88</v>
      </c>
      <c r="I138" s="141">
        <v>1.51</v>
      </c>
      <c r="J138" s="141">
        <f>ROUND(I138*H138,2)</f>
        <v>8981.2999999999993</v>
      </c>
      <c r="K138" s="142"/>
      <c r="L138" s="28"/>
      <c r="M138" s="143" t="s">
        <v>1</v>
      </c>
      <c r="N138" s="112" t="s">
        <v>38</v>
      </c>
      <c r="O138" s="144">
        <v>6.4000000000000001E-2</v>
      </c>
      <c r="P138" s="144">
        <f>O138*H138</f>
        <v>380.66432000000003</v>
      </c>
      <c r="Q138" s="144">
        <v>1.5426E-2</v>
      </c>
      <c r="R138" s="144">
        <f>Q138*H138</f>
        <v>91.751996880000007</v>
      </c>
      <c r="S138" s="144">
        <v>0</v>
      </c>
      <c r="T138" s="145">
        <f>S138*H138</f>
        <v>0</v>
      </c>
      <c r="AR138" s="146" t="s">
        <v>117</v>
      </c>
      <c r="AT138" s="146" t="s">
        <v>113</v>
      </c>
      <c r="AU138" s="146" t="s">
        <v>118</v>
      </c>
      <c r="AY138" s="16" t="s">
        <v>110</v>
      </c>
      <c r="BE138" s="147">
        <f>IF(N138="základná",J138,0)</f>
        <v>0</v>
      </c>
      <c r="BF138" s="147">
        <f>IF(N138="znížená",J138,0)</f>
        <v>8981.2999999999993</v>
      </c>
      <c r="BG138" s="147">
        <f>IF(N138="zákl. prenesená",J138,0)</f>
        <v>0</v>
      </c>
      <c r="BH138" s="147">
        <f>IF(N138="zníž. prenesená",J138,0)</f>
        <v>0</v>
      </c>
      <c r="BI138" s="147">
        <f>IF(N138="nulová",J138,0)</f>
        <v>0</v>
      </c>
      <c r="BJ138" s="16" t="s">
        <v>118</v>
      </c>
      <c r="BK138" s="147">
        <f>ROUND(I138*H138,2)</f>
        <v>8981.2999999999993</v>
      </c>
      <c r="BL138" s="16" t="s">
        <v>117</v>
      </c>
      <c r="BM138" s="146" t="s">
        <v>146</v>
      </c>
    </row>
    <row r="139" spans="2:65" s="1" customFormat="1" ht="24.2" customHeight="1">
      <c r="B139" s="135"/>
      <c r="C139" s="136" t="s">
        <v>147</v>
      </c>
      <c r="D139" s="136" t="s">
        <v>113</v>
      </c>
      <c r="E139" s="137" t="s">
        <v>148</v>
      </c>
      <c r="F139" s="138" t="s">
        <v>149</v>
      </c>
      <c r="G139" s="139" t="s">
        <v>150</v>
      </c>
      <c r="H139" s="140">
        <v>43.695</v>
      </c>
      <c r="I139" s="141">
        <v>14.21</v>
      </c>
      <c r="J139" s="141">
        <f>ROUND(I139*H139,2)</f>
        <v>620.91</v>
      </c>
      <c r="K139" s="142"/>
      <c r="L139" s="28"/>
      <c r="M139" s="143" t="s">
        <v>1</v>
      </c>
      <c r="N139" s="112" t="s">
        <v>38</v>
      </c>
      <c r="O139" s="144">
        <v>0.88200000000000001</v>
      </c>
      <c r="P139" s="144">
        <f>O139*H139</f>
        <v>38.538989999999998</v>
      </c>
      <c r="Q139" s="144">
        <v>0</v>
      </c>
      <c r="R139" s="144">
        <f>Q139*H139</f>
        <v>0</v>
      </c>
      <c r="S139" s="144">
        <v>0</v>
      </c>
      <c r="T139" s="145">
        <f>S139*H139</f>
        <v>0</v>
      </c>
      <c r="AR139" s="146" t="s">
        <v>117</v>
      </c>
      <c r="AT139" s="146" t="s">
        <v>113</v>
      </c>
      <c r="AU139" s="146" t="s">
        <v>118</v>
      </c>
      <c r="AY139" s="16" t="s">
        <v>110</v>
      </c>
      <c r="BE139" s="147">
        <f>IF(N139="základná",J139,0)</f>
        <v>0</v>
      </c>
      <c r="BF139" s="147">
        <f>IF(N139="znížená",J139,0)</f>
        <v>620.91</v>
      </c>
      <c r="BG139" s="147">
        <f>IF(N139="zákl. prenesená",J139,0)</f>
        <v>0</v>
      </c>
      <c r="BH139" s="147">
        <f>IF(N139="zníž. prenesená",J139,0)</f>
        <v>0</v>
      </c>
      <c r="BI139" s="147">
        <f>IF(N139="nulová",J139,0)</f>
        <v>0</v>
      </c>
      <c r="BJ139" s="16" t="s">
        <v>118</v>
      </c>
      <c r="BK139" s="147">
        <f>ROUND(I139*H139,2)</f>
        <v>620.91</v>
      </c>
      <c r="BL139" s="16" t="s">
        <v>117</v>
      </c>
      <c r="BM139" s="146" t="s">
        <v>151</v>
      </c>
    </row>
    <row r="140" spans="2:65" s="1" customFormat="1" ht="21.75" customHeight="1">
      <c r="B140" s="135"/>
      <c r="C140" s="136" t="s">
        <v>152</v>
      </c>
      <c r="D140" s="136" t="s">
        <v>113</v>
      </c>
      <c r="E140" s="137" t="s">
        <v>153</v>
      </c>
      <c r="F140" s="138" t="s">
        <v>154</v>
      </c>
      <c r="G140" s="139" t="s">
        <v>150</v>
      </c>
      <c r="H140" s="140">
        <v>43.695</v>
      </c>
      <c r="I140" s="141">
        <v>16.77</v>
      </c>
      <c r="J140" s="141">
        <f>ROUND(I140*H140,2)</f>
        <v>732.77</v>
      </c>
      <c r="K140" s="142"/>
      <c r="L140" s="28"/>
      <c r="M140" s="143" t="s">
        <v>1</v>
      </c>
      <c r="N140" s="112" t="s">
        <v>38</v>
      </c>
      <c r="O140" s="144">
        <v>0.59799999999999998</v>
      </c>
      <c r="P140" s="144">
        <f>O140*H140</f>
        <v>26.12961</v>
      </c>
      <c r="Q140" s="144">
        <v>0</v>
      </c>
      <c r="R140" s="144">
        <f>Q140*H140</f>
        <v>0</v>
      </c>
      <c r="S140" s="144">
        <v>0</v>
      </c>
      <c r="T140" s="145">
        <f>S140*H140</f>
        <v>0</v>
      </c>
      <c r="AR140" s="146" t="s">
        <v>117</v>
      </c>
      <c r="AT140" s="146" t="s">
        <v>113</v>
      </c>
      <c r="AU140" s="146" t="s">
        <v>118</v>
      </c>
      <c r="AY140" s="16" t="s">
        <v>110</v>
      </c>
      <c r="BE140" s="147">
        <f>IF(N140="základná",J140,0)</f>
        <v>0</v>
      </c>
      <c r="BF140" s="147">
        <f>IF(N140="znížená",J140,0)</f>
        <v>732.77</v>
      </c>
      <c r="BG140" s="147">
        <f>IF(N140="zákl. prenesená",J140,0)</f>
        <v>0</v>
      </c>
      <c r="BH140" s="147">
        <f>IF(N140="zníž. prenesená",J140,0)</f>
        <v>0</v>
      </c>
      <c r="BI140" s="147">
        <f>IF(N140="nulová",J140,0)</f>
        <v>0</v>
      </c>
      <c r="BJ140" s="16" t="s">
        <v>118</v>
      </c>
      <c r="BK140" s="147">
        <f>ROUND(I140*H140,2)</f>
        <v>732.77</v>
      </c>
      <c r="BL140" s="16" t="s">
        <v>117</v>
      </c>
      <c r="BM140" s="146" t="s">
        <v>155</v>
      </c>
    </row>
    <row r="141" spans="2:65" s="1" customFormat="1" ht="24.2" customHeight="1">
      <c r="B141" s="135"/>
      <c r="C141" s="136" t="s">
        <v>111</v>
      </c>
      <c r="D141" s="136" t="s">
        <v>113</v>
      </c>
      <c r="E141" s="137" t="s">
        <v>156</v>
      </c>
      <c r="F141" s="138" t="s">
        <v>157</v>
      </c>
      <c r="G141" s="139" t="s">
        <v>150</v>
      </c>
      <c r="H141" s="140">
        <v>349.56</v>
      </c>
      <c r="I141" s="141">
        <v>0.5</v>
      </c>
      <c r="J141" s="141">
        <f>ROUND(I141*H141,2)</f>
        <v>174.78</v>
      </c>
      <c r="K141" s="142"/>
      <c r="L141" s="28"/>
      <c r="M141" s="143" t="s">
        <v>1</v>
      </c>
      <c r="N141" s="112" t="s">
        <v>38</v>
      </c>
      <c r="O141" s="144">
        <v>7.0000000000000001E-3</v>
      </c>
      <c r="P141" s="144">
        <f>O141*H141</f>
        <v>2.44692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117</v>
      </c>
      <c r="AT141" s="146" t="s">
        <v>113</v>
      </c>
      <c r="AU141" s="146" t="s">
        <v>118</v>
      </c>
      <c r="AY141" s="16" t="s">
        <v>110</v>
      </c>
      <c r="BE141" s="147">
        <f>IF(N141="základná",J141,0)</f>
        <v>0</v>
      </c>
      <c r="BF141" s="147">
        <f>IF(N141="znížená",J141,0)</f>
        <v>174.78</v>
      </c>
      <c r="BG141" s="147">
        <f>IF(N141="zákl. prenesená",J141,0)</f>
        <v>0</v>
      </c>
      <c r="BH141" s="147">
        <f>IF(N141="zníž. prenesená",J141,0)</f>
        <v>0</v>
      </c>
      <c r="BI141" s="147">
        <f>IF(N141="nulová",J141,0)</f>
        <v>0</v>
      </c>
      <c r="BJ141" s="16" t="s">
        <v>118</v>
      </c>
      <c r="BK141" s="147">
        <f>ROUND(I141*H141,2)</f>
        <v>174.78</v>
      </c>
      <c r="BL141" s="16" t="s">
        <v>117</v>
      </c>
      <c r="BM141" s="146" t="s">
        <v>158</v>
      </c>
    </row>
    <row r="142" spans="2:65" s="13" customFormat="1" ht="11.25">
      <c r="B142" s="154"/>
      <c r="D142" s="149" t="s">
        <v>120</v>
      </c>
      <c r="F142" s="156" t="s">
        <v>159</v>
      </c>
      <c r="H142" s="157">
        <v>349.56</v>
      </c>
      <c r="L142" s="154"/>
      <c r="M142" s="158"/>
      <c r="T142" s="159"/>
      <c r="AT142" s="155" t="s">
        <v>120</v>
      </c>
      <c r="AU142" s="155" t="s">
        <v>118</v>
      </c>
      <c r="AV142" s="13" t="s">
        <v>118</v>
      </c>
      <c r="AW142" s="13" t="s">
        <v>3</v>
      </c>
      <c r="AX142" s="13" t="s">
        <v>77</v>
      </c>
      <c r="AY142" s="155" t="s">
        <v>110</v>
      </c>
    </row>
    <row r="143" spans="2:65" s="1" customFormat="1" ht="24.2" customHeight="1">
      <c r="B143" s="135"/>
      <c r="C143" s="136" t="s">
        <v>160</v>
      </c>
      <c r="D143" s="136" t="s">
        <v>113</v>
      </c>
      <c r="E143" s="137" t="s">
        <v>161</v>
      </c>
      <c r="F143" s="138" t="s">
        <v>162</v>
      </c>
      <c r="G143" s="139" t="s">
        <v>150</v>
      </c>
      <c r="H143" s="140">
        <v>43.695</v>
      </c>
      <c r="I143" s="141">
        <v>14.34</v>
      </c>
      <c r="J143" s="141">
        <f>ROUND(I143*H143,2)</f>
        <v>626.59</v>
      </c>
      <c r="K143" s="142"/>
      <c r="L143" s="28"/>
      <c r="M143" s="143" t="s">
        <v>1</v>
      </c>
      <c r="N143" s="112" t="s">
        <v>38</v>
      </c>
      <c r="O143" s="144">
        <v>0.89</v>
      </c>
      <c r="P143" s="144">
        <f>O143*H143</f>
        <v>38.888550000000002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117</v>
      </c>
      <c r="AT143" s="146" t="s">
        <v>113</v>
      </c>
      <c r="AU143" s="146" t="s">
        <v>118</v>
      </c>
      <c r="AY143" s="16" t="s">
        <v>110</v>
      </c>
      <c r="BE143" s="147">
        <f>IF(N143="základná",J143,0)</f>
        <v>0</v>
      </c>
      <c r="BF143" s="147">
        <f>IF(N143="znížená",J143,0)</f>
        <v>626.59</v>
      </c>
      <c r="BG143" s="147">
        <f>IF(N143="zákl. prenesená",J143,0)</f>
        <v>0</v>
      </c>
      <c r="BH143" s="147">
        <f>IF(N143="zníž. prenesená",J143,0)</f>
        <v>0</v>
      </c>
      <c r="BI143" s="147">
        <f>IF(N143="nulová",J143,0)</f>
        <v>0</v>
      </c>
      <c r="BJ143" s="16" t="s">
        <v>118</v>
      </c>
      <c r="BK143" s="147">
        <f>ROUND(I143*H143,2)</f>
        <v>626.59</v>
      </c>
      <c r="BL143" s="16" t="s">
        <v>117</v>
      </c>
      <c r="BM143" s="146" t="s">
        <v>163</v>
      </c>
    </row>
    <row r="144" spans="2:65" s="1" customFormat="1" ht="24.2" customHeight="1">
      <c r="B144" s="135"/>
      <c r="C144" s="136" t="s">
        <v>164</v>
      </c>
      <c r="D144" s="136" t="s">
        <v>113</v>
      </c>
      <c r="E144" s="137" t="s">
        <v>165</v>
      </c>
      <c r="F144" s="138" t="s">
        <v>166</v>
      </c>
      <c r="G144" s="139" t="s">
        <v>150</v>
      </c>
      <c r="H144" s="140">
        <v>43.695</v>
      </c>
      <c r="I144" s="141">
        <v>1.61</v>
      </c>
      <c r="J144" s="141">
        <f>ROUND(I144*H144,2)</f>
        <v>70.349999999999994</v>
      </c>
      <c r="K144" s="142"/>
      <c r="L144" s="28"/>
      <c r="M144" s="143" t="s">
        <v>1</v>
      </c>
      <c r="N144" s="112" t="s">
        <v>38</v>
      </c>
      <c r="O144" s="144">
        <v>0.1</v>
      </c>
      <c r="P144" s="144">
        <f>O144*H144</f>
        <v>4.3695000000000004</v>
      </c>
      <c r="Q144" s="144">
        <v>0</v>
      </c>
      <c r="R144" s="144">
        <f>Q144*H144</f>
        <v>0</v>
      </c>
      <c r="S144" s="144">
        <v>0</v>
      </c>
      <c r="T144" s="145">
        <f>S144*H144</f>
        <v>0</v>
      </c>
      <c r="AR144" s="146" t="s">
        <v>117</v>
      </c>
      <c r="AT144" s="146" t="s">
        <v>113</v>
      </c>
      <c r="AU144" s="146" t="s">
        <v>118</v>
      </c>
      <c r="AY144" s="16" t="s">
        <v>110</v>
      </c>
      <c r="BE144" s="147">
        <f>IF(N144="základná",J144,0)</f>
        <v>0</v>
      </c>
      <c r="BF144" s="147">
        <f>IF(N144="znížená",J144,0)</f>
        <v>70.349999999999994</v>
      </c>
      <c r="BG144" s="147">
        <f>IF(N144="zákl. prenesená",J144,0)</f>
        <v>0</v>
      </c>
      <c r="BH144" s="147">
        <f>IF(N144="zníž. prenesená",J144,0)</f>
        <v>0</v>
      </c>
      <c r="BI144" s="147">
        <f>IF(N144="nulová",J144,0)</f>
        <v>0</v>
      </c>
      <c r="BJ144" s="16" t="s">
        <v>118</v>
      </c>
      <c r="BK144" s="147">
        <f>ROUND(I144*H144,2)</f>
        <v>70.349999999999994</v>
      </c>
      <c r="BL144" s="16" t="s">
        <v>117</v>
      </c>
      <c r="BM144" s="146" t="s">
        <v>167</v>
      </c>
    </row>
    <row r="145" spans="2:65" s="1" customFormat="1" ht="24.2" customHeight="1">
      <c r="B145" s="135"/>
      <c r="C145" s="136" t="s">
        <v>168</v>
      </c>
      <c r="D145" s="136" t="s">
        <v>113</v>
      </c>
      <c r="E145" s="137" t="s">
        <v>169</v>
      </c>
      <c r="F145" s="138" t="s">
        <v>170</v>
      </c>
      <c r="G145" s="139" t="s">
        <v>150</v>
      </c>
      <c r="H145" s="140">
        <v>43.695</v>
      </c>
      <c r="I145" s="141">
        <v>20</v>
      </c>
      <c r="J145" s="141">
        <f>ROUND(I145*H145,2)</f>
        <v>873.9</v>
      </c>
      <c r="K145" s="142"/>
      <c r="L145" s="28"/>
      <c r="M145" s="143" t="s">
        <v>1</v>
      </c>
      <c r="N145" s="112" t="s">
        <v>38</v>
      </c>
      <c r="O145" s="144">
        <v>0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117</v>
      </c>
      <c r="AT145" s="146" t="s">
        <v>113</v>
      </c>
      <c r="AU145" s="146" t="s">
        <v>118</v>
      </c>
      <c r="AY145" s="16" t="s">
        <v>110</v>
      </c>
      <c r="BE145" s="147">
        <f>IF(N145="základná",J145,0)</f>
        <v>0</v>
      </c>
      <c r="BF145" s="147">
        <f>IF(N145="znížená",J145,0)</f>
        <v>873.9</v>
      </c>
      <c r="BG145" s="147">
        <f>IF(N145="zákl. prenesená",J145,0)</f>
        <v>0</v>
      </c>
      <c r="BH145" s="147">
        <f>IF(N145="zníž. prenesená",J145,0)</f>
        <v>0</v>
      </c>
      <c r="BI145" s="147">
        <f>IF(N145="nulová",J145,0)</f>
        <v>0</v>
      </c>
      <c r="BJ145" s="16" t="s">
        <v>118</v>
      </c>
      <c r="BK145" s="147">
        <f>ROUND(I145*H145,2)</f>
        <v>873.9</v>
      </c>
      <c r="BL145" s="16" t="s">
        <v>117</v>
      </c>
      <c r="BM145" s="146" t="s">
        <v>171</v>
      </c>
    </row>
    <row r="146" spans="2:65" s="11" customFormat="1" ht="22.9" customHeight="1">
      <c r="B146" s="124"/>
      <c r="D146" s="125" t="s">
        <v>71</v>
      </c>
      <c r="E146" s="133" t="s">
        <v>172</v>
      </c>
      <c r="F146" s="133" t="s">
        <v>173</v>
      </c>
      <c r="J146" s="134">
        <f>BK146</f>
        <v>36813.4</v>
      </c>
      <c r="L146" s="124"/>
      <c r="M146" s="128"/>
      <c r="P146" s="129">
        <f>P147</f>
        <v>1848.1736250000001</v>
      </c>
      <c r="R146" s="129">
        <f>R147</f>
        <v>0</v>
      </c>
      <c r="T146" s="130">
        <f>T147</f>
        <v>0</v>
      </c>
      <c r="AR146" s="125" t="s">
        <v>77</v>
      </c>
      <c r="AT146" s="131" t="s">
        <v>71</v>
      </c>
      <c r="AU146" s="131" t="s">
        <v>77</v>
      </c>
      <c r="AY146" s="125" t="s">
        <v>110</v>
      </c>
      <c r="BK146" s="132">
        <f>BK147</f>
        <v>36813.4</v>
      </c>
    </row>
    <row r="147" spans="2:65" s="1" customFormat="1" ht="24.2" customHeight="1">
      <c r="B147" s="135"/>
      <c r="C147" s="136" t="s">
        <v>174</v>
      </c>
      <c r="D147" s="136" t="s">
        <v>113</v>
      </c>
      <c r="E147" s="137" t="s">
        <v>175</v>
      </c>
      <c r="F147" s="138" t="s">
        <v>176</v>
      </c>
      <c r="G147" s="139" t="s">
        <v>150</v>
      </c>
      <c r="H147" s="140">
        <v>750.375</v>
      </c>
      <c r="I147" s="141">
        <v>49.06</v>
      </c>
      <c r="J147" s="141">
        <f>ROUND(I147*H147,2)</f>
        <v>36813.4</v>
      </c>
      <c r="K147" s="142"/>
      <c r="L147" s="28"/>
      <c r="M147" s="143" t="s">
        <v>1</v>
      </c>
      <c r="N147" s="112" t="s">
        <v>38</v>
      </c>
      <c r="O147" s="144">
        <v>2.4630000000000001</v>
      </c>
      <c r="P147" s="144">
        <f>O147*H147</f>
        <v>1848.1736250000001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117</v>
      </c>
      <c r="AT147" s="146" t="s">
        <v>113</v>
      </c>
      <c r="AU147" s="146" t="s">
        <v>118</v>
      </c>
      <c r="AY147" s="16" t="s">
        <v>110</v>
      </c>
      <c r="BE147" s="147">
        <f>IF(N147="základná",J147,0)</f>
        <v>0</v>
      </c>
      <c r="BF147" s="147">
        <f>IF(N147="znížená",J147,0)</f>
        <v>36813.4</v>
      </c>
      <c r="BG147" s="147">
        <f>IF(N147="zákl. prenesená",J147,0)</f>
        <v>0</v>
      </c>
      <c r="BH147" s="147">
        <f>IF(N147="zníž. prenesená",J147,0)</f>
        <v>0</v>
      </c>
      <c r="BI147" s="147">
        <f>IF(N147="nulová",J147,0)</f>
        <v>0</v>
      </c>
      <c r="BJ147" s="16" t="s">
        <v>118</v>
      </c>
      <c r="BK147" s="147">
        <f>ROUND(I147*H147,2)</f>
        <v>36813.4</v>
      </c>
      <c r="BL147" s="16" t="s">
        <v>117</v>
      </c>
      <c r="BM147" s="146" t="s">
        <v>177</v>
      </c>
    </row>
    <row r="148" spans="2:65" s="11" customFormat="1" ht="25.9" customHeight="1">
      <c r="B148" s="124"/>
      <c r="D148" s="125" t="s">
        <v>71</v>
      </c>
      <c r="E148" s="126" t="s">
        <v>178</v>
      </c>
      <c r="F148" s="126" t="s">
        <v>179</v>
      </c>
      <c r="J148" s="127">
        <f>BK148</f>
        <v>311035.80000000005</v>
      </c>
      <c r="L148" s="124"/>
      <c r="M148" s="128"/>
      <c r="P148" s="129">
        <f>P149+P157+P178</f>
        <v>8014.5174422299997</v>
      </c>
      <c r="R148" s="129">
        <f>R149+R157+R178</f>
        <v>73.781694257840016</v>
      </c>
      <c r="T148" s="130">
        <f>T149+T157+T178</f>
        <v>43.695259999999998</v>
      </c>
      <c r="AR148" s="125" t="s">
        <v>118</v>
      </c>
      <c r="AT148" s="131" t="s">
        <v>71</v>
      </c>
      <c r="AU148" s="131" t="s">
        <v>72</v>
      </c>
      <c r="AY148" s="125" t="s">
        <v>110</v>
      </c>
      <c r="BK148" s="132">
        <f>BK149+BK157+BK178</f>
        <v>311035.80000000005</v>
      </c>
    </row>
    <row r="149" spans="2:65" s="11" customFormat="1" ht="22.9" customHeight="1">
      <c r="B149" s="124"/>
      <c r="D149" s="125" t="s">
        <v>71</v>
      </c>
      <c r="E149" s="133" t="s">
        <v>180</v>
      </c>
      <c r="F149" s="133" t="s">
        <v>181</v>
      </c>
      <c r="J149" s="134">
        <f>BK149</f>
        <v>3450.18</v>
      </c>
      <c r="L149" s="124"/>
      <c r="M149" s="128"/>
      <c r="P149" s="129">
        <f>SUM(P150:P156)</f>
        <v>114.83120400000001</v>
      </c>
      <c r="R149" s="129">
        <f>SUM(R150:R156)</f>
        <v>0.98031330000000005</v>
      </c>
      <c r="T149" s="130">
        <f>SUM(T150:T156)</f>
        <v>2.0601000000000003</v>
      </c>
      <c r="AR149" s="125" t="s">
        <v>118</v>
      </c>
      <c r="AT149" s="131" t="s">
        <v>71</v>
      </c>
      <c r="AU149" s="131" t="s">
        <v>77</v>
      </c>
      <c r="AY149" s="125" t="s">
        <v>110</v>
      </c>
      <c r="BK149" s="132">
        <f>SUM(BK150:BK156)</f>
        <v>3450.18</v>
      </c>
    </row>
    <row r="150" spans="2:65" s="1" customFormat="1" ht="37.9" customHeight="1">
      <c r="B150" s="135"/>
      <c r="C150" s="136" t="s">
        <v>182</v>
      </c>
      <c r="D150" s="136" t="s">
        <v>113</v>
      </c>
      <c r="E150" s="137" t="s">
        <v>183</v>
      </c>
      <c r="F150" s="138" t="s">
        <v>184</v>
      </c>
      <c r="G150" s="139" t="s">
        <v>136</v>
      </c>
      <c r="H150" s="140">
        <v>294.3</v>
      </c>
      <c r="I150" s="141">
        <v>3.87</v>
      </c>
      <c r="J150" s="141">
        <f>ROUND(I150*H150,2)</f>
        <v>1138.94</v>
      </c>
      <c r="K150" s="142"/>
      <c r="L150" s="28"/>
      <c r="M150" s="143" t="s">
        <v>1</v>
      </c>
      <c r="N150" s="112" t="s">
        <v>38</v>
      </c>
      <c r="O150" s="144">
        <v>0.17299999999999999</v>
      </c>
      <c r="P150" s="144">
        <f>O150*H150</f>
        <v>50.913899999999998</v>
      </c>
      <c r="Q150" s="144">
        <v>0</v>
      </c>
      <c r="R150" s="144">
        <f>Q150*H150</f>
        <v>0</v>
      </c>
      <c r="S150" s="144">
        <v>7.0000000000000001E-3</v>
      </c>
      <c r="T150" s="145">
        <f>S150*H150</f>
        <v>2.0601000000000003</v>
      </c>
      <c r="AR150" s="146" t="s">
        <v>185</v>
      </c>
      <c r="AT150" s="146" t="s">
        <v>113</v>
      </c>
      <c r="AU150" s="146" t="s">
        <v>118</v>
      </c>
      <c r="AY150" s="16" t="s">
        <v>110</v>
      </c>
      <c r="BE150" s="147">
        <f>IF(N150="základná",J150,0)</f>
        <v>0</v>
      </c>
      <c r="BF150" s="147">
        <f>IF(N150="znížená",J150,0)</f>
        <v>1138.94</v>
      </c>
      <c r="BG150" s="147">
        <f>IF(N150="zákl. prenesená",J150,0)</f>
        <v>0</v>
      </c>
      <c r="BH150" s="147">
        <f>IF(N150="zníž. prenesená",J150,0)</f>
        <v>0</v>
      </c>
      <c r="BI150" s="147">
        <f>IF(N150="nulová",J150,0)</f>
        <v>0</v>
      </c>
      <c r="BJ150" s="16" t="s">
        <v>118</v>
      </c>
      <c r="BK150" s="147">
        <f>ROUND(I150*H150,2)</f>
        <v>1138.94</v>
      </c>
      <c r="BL150" s="16" t="s">
        <v>185</v>
      </c>
      <c r="BM150" s="146" t="s">
        <v>186</v>
      </c>
    </row>
    <row r="151" spans="2:65" s="12" customFormat="1" ht="11.25">
      <c r="B151" s="148"/>
      <c r="D151" s="149" t="s">
        <v>120</v>
      </c>
      <c r="E151" s="150" t="s">
        <v>1</v>
      </c>
      <c r="F151" s="151" t="s">
        <v>187</v>
      </c>
      <c r="H151" s="150" t="s">
        <v>1</v>
      </c>
      <c r="L151" s="148"/>
      <c r="M151" s="152"/>
      <c r="T151" s="153"/>
      <c r="AT151" s="150" t="s">
        <v>120</v>
      </c>
      <c r="AU151" s="150" t="s">
        <v>118</v>
      </c>
      <c r="AV151" s="12" t="s">
        <v>77</v>
      </c>
      <c r="AW151" s="12" t="s">
        <v>27</v>
      </c>
      <c r="AX151" s="12" t="s">
        <v>72</v>
      </c>
      <c r="AY151" s="150" t="s">
        <v>110</v>
      </c>
    </row>
    <row r="152" spans="2:65" s="13" customFormat="1" ht="11.25">
      <c r="B152" s="154"/>
      <c r="D152" s="149" t="s">
        <v>120</v>
      </c>
      <c r="E152" s="155" t="s">
        <v>1</v>
      </c>
      <c r="F152" s="156" t="s">
        <v>188</v>
      </c>
      <c r="H152" s="157">
        <v>294.3</v>
      </c>
      <c r="L152" s="154"/>
      <c r="M152" s="158"/>
      <c r="T152" s="159"/>
      <c r="AT152" s="155" t="s">
        <v>120</v>
      </c>
      <c r="AU152" s="155" t="s">
        <v>118</v>
      </c>
      <c r="AV152" s="13" t="s">
        <v>118</v>
      </c>
      <c r="AW152" s="13" t="s">
        <v>27</v>
      </c>
      <c r="AX152" s="13" t="s">
        <v>77</v>
      </c>
      <c r="AY152" s="155" t="s">
        <v>110</v>
      </c>
    </row>
    <row r="153" spans="2:65" s="1" customFormat="1" ht="24.2" customHeight="1">
      <c r="B153" s="135"/>
      <c r="C153" s="136" t="s">
        <v>189</v>
      </c>
      <c r="D153" s="136" t="s">
        <v>113</v>
      </c>
      <c r="E153" s="137" t="s">
        <v>190</v>
      </c>
      <c r="F153" s="138" t="s">
        <v>191</v>
      </c>
      <c r="G153" s="139" t="s">
        <v>136</v>
      </c>
      <c r="H153" s="140">
        <v>294.3</v>
      </c>
      <c r="I153" s="141">
        <v>7.64</v>
      </c>
      <c r="J153" s="141">
        <f>ROUND(I153*H153,2)</f>
        <v>2248.4499999999998</v>
      </c>
      <c r="K153" s="142"/>
      <c r="L153" s="28"/>
      <c r="M153" s="143" t="s">
        <v>1</v>
      </c>
      <c r="N153" s="112" t="s">
        <v>38</v>
      </c>
      <c r="O153" s="144">
        <v>0.21148</v>
      </c>
      <c r="P153" s="144">
        <f>O153*H153</f>
        <v>62.238564000000004</v>
      </c>
      <c r="Q153" s="144">
        <v>3.3310000000000002E-3</v>
      </c>
      <c r="R153" s="144">
        <f>Q153*H153</f>
        <v>0.98031330000000005</v>
      </c>
      <c r="S153" s="144">
        <v>0</v>
      </c>
      <c r="T153" s="145">
        <f>S153*H153</f>
        <v>0</v>
      </c>
      <c r="AR153" s="146" t="s">
        <v>185</v>
      </c>
      <c r="AT153" s="146" t="s">
        <v>113</v>
      </c>
      <c r="AU153" s="146" t="s">
        <v>118</v>
      </c>
      <c r="AY153" s="16" t="s">
        <v>110</v>
      </c>
      <c r="BE153" s="147">
        <f>IF(N153="základná",J153,0)</f>
        <v>0</v>
      </c>
      <c r="BF153" s="147">
        <f>IF(N153="znížená",J153,0)</f>
        <v>2248.4499999999998</v>
      </c>
      <c r="BG153" s="147">
        <f>IF(N153="zákl. prenesená",J153,0)</f>
        <v>0</v>
      </c>
      <c r="BH153" s="147">
        <f>IF(N153="zníž. prenesená",J153,0)</f>
        <v>0</v>
      </c>
      <c r="BI153" s="147">
        <f>IF(N153="nulová",J153,0)</f>
        <v>0</v>
      </c>
      <c r="BJ153" s="16" t="s">
        <v>118</v>
      </c>
      <c r="BK153" s="147">
        <f>ROUND(I153*H153,2)</f>
        <v>2248.4499999999998</v>
      </c>
      <c r="BL153" s="16" t="s">
        <v>185</v>
      </c>
      <c r="BM153" s="146" t="s">
        <v>192</v>
      </c>
    </row>
    <row r="154" spans="2:65" s="12" customFormat="1" ht="11.25">
      <c r="B154" s="148"/>
      <c r="D154" s="149" t="s">
        <v>120</v>
      </c>
      <c r="E154" s="150" t="s">
        <v>1</v>
      </c>
      <c r="F154" s="151" t="s">
        <v>187</v>
      </c>
      <c r="H154" s="150" t="s">
        <v>1</v>
      </c>
      <c r="L154" s="148"/>
      <c r="M154" s="152"/>
      <c r="T154" s="153"/>
      <c r="AT154" s="150" t="s">
        <v>120</v>
      </c>
      <c r="AU154" s="150" t="s">
        <v>118</v>
      </c>
      <c r="AV154" s="12" t="s">
        <v>77</v>
      </c>
      <c r="AW154" s="12" t="s">
        <v>27</v>
      </c>
      <c r="AX154" s="12" t="s">
        <v>72</v>
      </c>
      <c r="AY154" s="150" t="s">
        <v>110</v>
      </c>
    </row>
    <row r="155" spans="2:65" s="13" customFormat="1" ht="11.25">
      <c r="B155" s="154"/>
      <c r="D155" s="149" t="s">
        <v>120</v>
      </c>
      <c r="E155" s="155" t="s">
        <v>1</v>
      </c>
      <c r="F155" s="156" t="s">
        <v>188</v>
      </c>
      <c r="H155" s="157">
        <v>294.3</v>
      </c>
      <c r="L155" s="154"/>
      <c r="M155" s="158"/>
      <c r="T155" s="159"/>
      <c r="AT155" s="155" t="s">
        <v>120</v>
      </c>
      <c r="AU155" s="155" t="s">
        <v>118</v>
      </c>
      <c r="AV155" s="13" t="s">
        <v>118</v>
      </c>
      <c r="AW155" s="13" t="s">
        <v>27</v>
      </c>
      <c r="AX155" s="13" t="s">
        <v>77</v>
      </c>
      <c r="AY155" s="155" t="s">
        <v>110</v>
      </c>
    </row>
    <row r="156" spans="2:65" s="1" customFormat="1" ht="24.2" customHeight="1">
      <c r="B156" s="135"/>
      <c r="C156" s="136" t="s">
        <v>185</v>
      </c>
      <c r="D156" s="136" t="s">
        <v>113</v>
      </c>
      <c r="E156" s="137" t="s">
        <v>193</v>
      </c>
      <c r="F156" s="138" t="s">
        <v>194</v>
      </c>
      <c r="G156" s="139" t="s">
        <v>150</v>
      </c>
      <c r="H156" s="140">
        <v>0.98</v>
      </c>
      <c r="I156" s="141">
        <v>64.069999999999993</v>
      </c>
      <c r="J156" s="141">
        <f>ROUND(I156*H156,2)</f>
        <v>62.79</v>
      </c>
      <c r="K156" s="142"/>
      <c r="L156" s="28"/>
      <c r="M156" s="143" t="s">
        <v>1</v>
      </c>
      <c r="N156" s="112" t="s">
        <v>38</v>
      </c>
      <c r="O156" s="144">
        <v>1.7130000000000001</v>
      </c>
      <c r="P156" s="144">
        <f>O156*H156</f>
        <v>1.6787400000000001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AR156" s="146" t="s">
        <v>185</v>
      </c>
      <c r="AT156" s="146" t="s">
        <v>113</v>
      </c>
      <c r="AU156" s="146" t="s">
        <v>118</v>
      </c>
      <c r="AY156" s="16" t="s">
        <v>110</v>
      </c>
      <c r="BE156" s="147">
        <f>IF(N156="základná",J156,0)</f>
        <v>0</v>
      </c>
      <c r="BF156" s="147">
        <f>IF(N156="znížená",J156,0)</f>
        <v>62.79</v>
      </c>
      <c r="BG156" s="147">
        <f>IF(N156="zákl. prenesená",J156,0)</f>
        <v>0</v>
      </c>
      <c r="BH156" s="147">
        <f>IF(N156="zníž. prenesená",J156,0)</f>
        <v>0</v>
      </c>
      <c r="BI156" s="147">
        <f>IF(N156="nulová",J156,0)</f>
        <v>0</v>
      </c>
      <c r="BJ156" s="16" t="s">
        <v>118</v>
      </c>
      <c r="BK156" s="147">
        <f>ROUND(I156*H156,2)</f>
        <v>62.79</v>
      </c>
      <c r="BL156" s="16" t="s">
        <v>185</v>
      </c>
      <c r="BM156" s="146" t="s">
        <v>195</v>
      </c>
    </row>
    <row r="157" spans="2:65" s="11" customFormat="1" ht="22.9" customHeight="1">
      <c r="B157" s="124"/>
      <c r="D157" s="125" t="s">
        <v>71</v>
      </c>
      <c r="E157" s="133" t="s">
        <v>196</v>
      </c>
      <c r="F157" s="133" t="s">
        <v>197</v>
      </c>
      <c r="J157" s="134">
        <f>BK157</f>
        <v>305842.41000000003</v>
      </c>
      <c r="L157" s="124"/>
      <c r="M157" s="128"/>
      <c r="P157" s="129">
        <f>SUM(P158:P177)</f>
        <v>7836.6350644199993</v>
      </c>
      <c r="R157" s="129">
        <f>SUM(R158:R177)</f>
        <v>72.778409908900016</v>
      </c>
      <c r="T157" s="130">
        <f>SUM(T158:T177)</f>
        <v>41.635159999999999</v>
      </c>
      <c r="AR157" s="125" t="s">
        <v>118</v>
      </c>
      <c r="AT157" s="131" t="s">
        <v>71</v>
      </c>
      <c r="AU157" s="131" t="s">
        <v>77</v>
      </c>
      <c r="AY157" s="125" t="s">
        <v>110</v>
      </c>
      <c r="BK157" s="132">
        <f>SUM(BK158:BK177)</f>
        <v>305842.41000000003</v>
      </c>
    </row>
    <row r="158" spans="2:65" s="1" customFormat="1" ht="24.2" customHeight="1">
      <c r="B158" s="135"/>
      <c r="C158" s="136" t="s">
        <v>198</v>
      </c>
      <c r="D158" s="136" t="s">
        <v>113</v>
      </c>
      <c r="E158" s="137" t="s">
        <v>199</v>
      </c>
      <c r="F158" s="138" t="s">
        <v>200</v>
      </c>
      <c r="G158" s="139" t="s">
        <v>136</v>
      </c>
      <c r="H158" s="140">
        <v>5947.88</v>
      </c>
      <c r="I158" s="141">
        <v>4.97</v>
      </c>
      <c r="J158" s="141">
        <f>ROUND(I158*H158,2)</f>
        <v>29560.959999999999</v>
      </c>
      <c r="K158" s="142"/>
      <c r="L158" s="28"/>
      <c r="M158" s="143" t="s">
        <v>1</v>
      </c>
      <c r="N158" s="112" t="s">
        <v>38</v>
      </c>
      <c r="O158" s="144">
        <v>0.23699999999999999</v>
      </c>
      <c r="P158" s="144">
        <f>O158*H158</f>
        <v>1409.6475599999999</v>
      </c>
      <c r="Q158" s="144">
        <v>0</v>
      </c>
      <c r="R158" s="144">
        <f>Q158*H158</f>
        <v>0</v>
      </c>
      <c r="S158" s="144">
        <v>7.0000000000000001E-3</v>
      </c>
      <c r="T158" s="145">
        <f>S158*H158</f>
        <v>41.635159999999999</v>
      </c>
      <c r="AR158" s="146" t="s">
        <v>185</v>
      </c>
      <c r="AT158" s="146" t="s">
        <v>113</v>
      </c>
      <c r="AU158" s="146" t="s">
        <v>118</v>
      </c>
      <c r="AY158" s="16" t="s">
        <v>110</v>
      </c>
      <c r="BE158" s="147">
        <f>IF(N158="základná",J158,0)</f>
        <v>0</v>
      </c>
      <c r="BF158" s="147">
        <f>IF(N158="znížená",J158,0)</f>
        <v>29560.959999999999</v>
      </c>
      <c r="BG158" s="147">
        <f>IF(N158="zákl. prenesená",J158,0)</f>
        <v>0</v>
      </c>
      <c r="BH158" s="147">
        <f>IF(N158="zníž. prenesená",J158,0)</f>
        <v>0</v>
      </c>
      <c r="BI158" s="147">
        <f>IF(N158="nulová",J158,0)</f>
        <v>0</v>
      </c>
      <c r="BJ158" s="16" t="s">
        <v>118</v>
      </c>
      <c r="BK158" s="147">
        <f>ROUND(I158*H158,2)</f>
        <v>29560.959999999999</v>
      </c>
      <c r="BL158" s="16" t="s">
        <v>185</v>
      </c>
      <c r="BM158" s="146" t="s">
        <v>201</v>
      </c>
    </row>
    <row r="159" spans="2:65" s="13" customFormat="1" ht="11.25">
      <c r="B159" s="154"/>
      <c r="D159" s="149" t="s">
        <v>120</v>
      </c>
      <c r="E159" s="155" t="s">
        <v>1</v>
      </c>
      <c r="F159" s="156" t="s">
        <v>202</v>
      </c>
      <c r="H159" s="157">
        <v>5947.88</v>
      </c>
      <c r="L159" s="154"/>
      <c r="M159" s="158"/>
      <c r="T159" s="159"/>
      <c r="AT159" s="155" t="s">
        <v>120</v>
      </c>
      <c r="AU159" s="155" t="s">
        <v>118</v>
      </c>
      <c r="AV159" s="13" t="s">
        <v>118</v>
      </c>
      <c r="AW159" s="13" t="s">
        <v>27</v>
      </c>
      <c r="AX159" s="13" t="s">
        <v>77</v>
      </c>
      <c r="AY159" s="155" t="s">
        <v>110</v>
      </c>
    </row>
    <row r="160" spans="2:65" s="1" customFormat="1" ht="24.2" customHeight="1">
      <c r="B160" s="135"/>
      <c r="C160" s="136" t="s">
        <v>203</v>
      </c>
      <c r="D160" s="136" t="s">
        <v>113</v>
      </c>
      <c r="E160" s="137" t="s">
        <v>204</v>
      </c>
      <c r="F160" s="138" t="s">
        <v>205</v>
      </c>
      <c r="G160" s="139" t="s">
        <v>136</v>
      </c>
      <c r="H160" s="140">
        <v>5947.88</v>
      </c>
      <c r="I160" s="141">
        <v>13.3</v>
      </c>
      <c r="J160" s="141">
        <f>ROUND(I160*H160,2)</f>
        <v>79106.8</v>
      </c>
      <c r="K160" s="142"/>
      <c r="L160" s="28"/>
      <c r="M160" s="143" t="s">
        <v>1</v>
      </c>
      <c r="N160" s="112" t="s">
        <v>38</v>
      </c>
      <c r="O160" s="144">
        <v>0.54990000000000006</v>
      </c>
      <c r="P160" s="144">
        <f>O160*H160</f>
        <v>3270.7392120000004</v>
      </c>
      <c r="Q160" s="144">
        <v>3.9740000000000001E-4</v>
      </c>
      <c r="R160" s="144">
        <f>Q160*H160</f>
        <v>2.3636875120000003</v>
      </c>
      <c r="S160" s="144">
        <v>0</v>
      </c>
      <c r="T160" s="145">
        <f>S160*H160</f>
        <v>0</v>
      </c>
      <c r="AR160" s="146" t="s">
        <v>185</v>
      </c>
      <c r="AT160" s="146" t="s">
        <v>113</v>
      </c>
      <c r="AU160" s="146" t="s">
        <v>118</v>
      </c>
      <c r="AY160" s="16" t="s">
        <v>110</v>
      </c>
      <c r="BE160" s="147">
        <f>IF(N160="základná",J160,0)</f>
        <v>0</v>
      </c>
      <c r="BF160" s="147">
        <f>IF(N160="znížená",J160,0)</f>
        <v>79106.8</v>
      </c>
      <c r="BG160" s="147">
        <f>IF(N160="zákl. prenesená",J160,0)</f>
        <v>0</v>
      </c>
      <c r="BH160" s="147">
        <f>IF(N160="zníž. prenesená",J160,0)</f>
        <v>0</v>
      </c>
      <c r="BI160" s="147">
        <f>IF(N160="nulová",J160,0)</f>
        <v>0</v>
      </c>
      <c r="BJ160" s="16" t="s">
        <v>118</v>
      </c>
      <c r="BK160" s="147">
        <f>ROUND(I160*H160,2)</f>
        <v>79106.8</v>
      </c>
      <c r="BL160" s="16" t="s">
        <v>185</v>
      </c>
      <c r="BM160" s="146" t="s">
        <v>206</v>
      </c>
    </row>
    <row r="161" spans="2:65" s="13" customFormat="1" ht="11.25">
      <c r="B161" s="154"/>
      <c r="D161" s="149" t="s">
        <v>120</v>
      </c>
      <c r="E161" s="155" t="s">
        <v>1</v>
      </c>
      <c r="F161" s="156" t="s">
        <v>202</v>
      </c>
      <c r="H161" s="157">
        <v>5947.88</v>
      </c>
      <c r="L161" s="154"/>
      <c r="M161" s="158"/>
      <c r="T161" s="159"/>
      <c r="AT161" s="155" t="s">
        <v>120</v>
      </c>
      <c r="AU161" s="155" t="s">
        <v>118</v>
      </c>
      <c r="AV161" s="13" t="s">
        <v>118</v>
      </c>
      <c r="AW161" s="13" t="s">
        <v>27</v>
      </c>
      <c r="AX161" s="13" t="s">
        <v>77</v>
      </c>
      <c r="AY161" s="155" t="s">
        <v>110</v>
      </c>
    </row>
    <row r="162" spans="2:65" s="1" customFormat="1" ht="33" customHeight="1">
      <c r="B162" s="135"/>
      <c r="C162" s="166" t="s">
        <v>207</v>
      </c>
      <c r="D162" s="166" t="s">
        <v>208</v>
      </c>
      <c r="E162" s="167" t="s">
        <v>209</v>
      </c>
      <c r="F162" s="168" t="s">
        <v>210</v>
      </c>
      <c r="G162" s="169" t="s">
        <v>136</v>
      </c>
      <c r="H162" s="170">
        <v>1471.5</v>
      </c>
      <c r="I162" s="171">
        <v>23.11</v>
      </c>
      <c r="J162" s="171">
        <f>ROUND(I162*H162,2)</f>
        <v>34006.370000000003</v>
      </c>
      <c r="K162" s="172"/>
      <c r="L162" s="173"/>
      <c r="M162" s="174" t="s">
        <v>1</v>
      </c>
      <c r="N162" s="175" t="s">
        <v>38</v>
      </c>
      <c r="O162" s="144">
        <v>0</v>
      </c>
      <c r="P162" s="144">
        <f>O162*H162</f>
        <v>0</v>
      </c>
      <c r="Q162" s="144">
        <v>1.0840000000000001E-2</v>
      </c>
      <c r="R162" s="144">
        <f>Q162*H162</f>
        <v>15.951060000000002</v>
      </c>
      <c r="S162" s="144">
        <v>0</v>
      </c>
      <c r="T162" s="145">
        <f>S162*H162</f>
        <v>0</v>
      </c>
      <c r="AR162" s="146" t="s">
        <v>211</v>
      </c>
      <c r="AT162" s="146" t="s">
        <v>208</v>
      </c>
      <c r="AU162" s="146" t="s">
        <v>118</v>
      </c>
      <c r="AY162" s="16" t="s">
        <v>110</v>
      </c>
      <c r="BE162" s="147">
        <f>IF(N162="základná",J162,0)</f>
        <v>0</v>
      </c>
      <c r="BF162" s="147">
        <f>IF(N162="znížená",J162,0)</f>
        <v>34006.370000000003</v>
      </c>
      <c r="BG162" s="147">
        <f>IF(N162="zákl. prenesená",J162,0)</f>
        <v>0</v>
      </c>
      <c r="BH162" s="147">
        <f>IF(N162="zníž. prenesená",J162,0)</f>
        <v>0</v>
      </c>
      <c r="BI162" s="147">
        <f>IF(N162="nulová",J162,0)</f>
        <v>0</v>
      </c>
      <c r="BJ162" s="16" t="s">
        <v>118</v>
      </c>
      <c r="BK162" s="147">
        <f>ROUND(I162*H162,2)</f>
        <v>34006.370000000003</v>
      </c>
      <c r="BL162" s="16" t="s">
        <v>185</v>
      </c>
      <c r="BM162" s="146" t="s">
        <v>212</v>
      </c>
    </row>
    <row r="163" spans="2:65" s="13" customFormat="1" ht="11.25">
      <c r="B163" s="154"/>
      <c r="D163" s="149" t="s">
        <v>120</v>
      </c>
      <c r="E163" s="155" t="s">
        <v>1</v>
      </c>
      <c r="F163" s="156" t="s">
        <v>213</v>
      </c>
      <c r="H163" s="157">
        <v>1471.5</v>
      </c>
      <c r="L163" s="154"/>
      <c r="M163" s="158"/>
      <c r="T163" s="159"/>
      <c r="AT163" s="155" t="s">
        <v>120</v>
      </c>
      <c r="AU163" s="155" t="s">
        <v>118</v>
      </c>
      <c r="AV163" s="13" t="s">
        <v>118</v>
      </c>
      <c r="AW163" s="13" t="s">
        <v>27</v>
      </c>
      <c r="AX163" s="13" t="s">
        <v>77</v>
      </c>
      <c r="AY163" s="155" t="s">
        <v>110</v>
      </c>
    </row>
    <row r="164" spans="2:65" s="1" customFormat="1" ht="33" customHeight="1">
      <c r="B164" s="135"/>
      <c r="C164" s="166" t="s">
        <v>214</v>
      </c>
      <c r="D164" s="166" t="s">
        <v>208</v>
      </c>
      <c r="E164" s="167" t="s">
        <v>215</v>
      </c>
      <c r="F164" s="168" t="s">
        <v>216</v>
      </c>
      <c r="G164" s="169" t="s">
        <v>136</v>
      </c>
      <c r="H164" s="170">
        <v>4476.38</v>
      </c>
      <c r="I164" s="171">
        <v>25.19</v>
      </c>
      <c r="J164" s="171">
        <f>ROUND(I164*H164,2)</f>
        <v>112760.01</v>
      </c>
      <c r="K164" s="172"/>
      <c r="L164" s="173"/>
      <c r="M164" s="174" t="s">
        <v>1</v>
      </c>
      <c r="N164" s="175" t="s">
        <v>38</v>
      </c>
      <c r="O164" s="144">
        <v>0</v>
      </c>
      <c r="P164" s="144">
        <f>O164*H164</f>
        <v>0</v>
      </c>
      <c r="Q164" s="144">
        <v>1.1650000000000001E-2</v>
      </c>
      <c r="R164" s="144">
        <f>Q164*H164</f>
        <v>52.149827000000002</v>
      </c>
      <c r="S164" s="144">
        <v>0</v>
      </c>
      <c r="T164" s="145">
        <f>S164*H164</f>
        <v>0</v>
      </c>
      <c r="AR164" s="146" t="s">
        <v>211</v>
      </c>
      <c r="AT164" s="146" t="s">
        <v>208</v>
      </c>
      <c r="AU164" s="146" t="s">
        <v>118</v>
      </c>
      <c r="AY164" s="16" t="s">
        <v>110</v>
      </c>
      <c r="BE164" s="147">
        <f>IF(N164="základná",J164,0)</f>
        <v>0</v>
      </c>
      <c r="BF164" s="147">
        <f>IF(N164="znížená",J164,0)</f>
        <v>112760.01</v>
      </c>
      <c r="BG164" s="147">
        <f>IF(N164="zákl. prenesená",J164,0)</f>
        <v>0</v>
      </c>
      <c r="BH164" s="147">
        <f>IF(N164="zníž. prenesená",J164,0)</f>
        <v>0</v>
      </c>
      <c r="BI164" s="147">
        <f>IF(N164="nulová",J164,0)</f>
        <v>0</v>
      </c>
      <c r="BJ164" s="16" t="s">
        <v>118</v>
      </c>
      <c r="BK164" s="147">
        <f>ROUND(I164*H164,2)</f>
        <v>112760.01</v>
      </c>
      <c r="BL164" s="16" t="s">
        <v>185</v>
      </c>
      <c r="BM164" s="146" t="s">
        <v>217</v>
      </c>
    </row>
    <row r="165" spans="2:65" s="13" customFormat="1" ht="11.25">
      <c r="B165" s="154"/>
      <c r="D165" s="149" t="s">
        <v>120</v>
      </c>
      <c r="E165" s="155" t="s">
        <v>1</v>
      </c>
      <c r="F165" s="156" t="s">
        <v>218</v>
      </c>
      <c r="H165" s="157">
        <v>4476.38</v>
      </c>
      <c r="L165" s="154"/>
      <c r="M165" s="158"/>
      <c r="T165" s="159"/>
      <c r="AT165" s="155" t="s">
        <v>120</v>
      </c>
      <c r="AU165" s="155" t="s">
        <v>118</v>
      </c>
      <c r="AV165" s="13" t="s">
        <v>118</v>
      </c>
      <c r="AW165" s="13" t="s">
        <v>27</v>
      </c>
      <c r="AX165" s="13" t="s">
        <v>77</v>
      </c>
      <c r="AY165" s="155" t="s">
        <v>110</v>
      </c>
    </row>
    <row r="166" spans="2:65" s="1" customFormat="1" ht="24.2" customHeight="1">
      <c r="B166" s="135"/>
      <c r="C166" s="136" t="s">
        <v>219</v>
      </c>
      <c r="D166" s="136" t="s">
        <v>113</v>
      </c>
      <c r="E166" s="137" t="s">
        <v>220</v>
      </c>
      <c r="F166" s="138" t="s">
        <v>221</v>
      </c>
      <c r="G166" s="139" t="s">
        <v>222</v>
      </c>
      <c r="H166" s="140">
        <v>2816.1660000000002</v>
      </c>
      <c r="I166" s="141">
        <v>7</v>
      </c>
      <c r="J166" s="141">
        <f>ROUND(I166*H166,2)</f>
        <v>19713.16</v>
      </c>
      <c r="K166" s="142"/>
      <c r="L166" s="28"/>
      <c r="M166" s="143" t="s">
        <v>1</v>
      </c>
      <c r="N166" s="112" t="s">
        <v>38</v>
      </c>
      <c r="O166" s="144">
        <v>0.70499999999999996</v>
      </c>
      <c r="P166" s="144">
        <f>O166*H166</f>
        <v>1985.3970300000001</v>
      </c>
      <c r="Q166" s="144">
        <v>1.1E-4</v>
      </c>
      <c r="R166" s="144">
        <f>Q166*H166</f>
        <v>0.30977826000000003</v>
      </c>
      <c r="S166" s="144">
        <v>0</v>
      </c>
      <c r="T166" s="145">
        <f>S166*H166</f>
        <v>0</v>
      </c>
      <c r="AR166" s="146" t="s">
        <v>185</v>
      </c>
      <c r="AT166" s="146" t="s">
        <v>113</v>
      </c>
      <c r="AU166" s="146" t="s">
        <v>118</v>
      </c>
      <c r="AY166" s="16" t="s">
        <v>110</v>
      </c>
      <c r="BE166" s="147">
        <f>IF(N166="základná",J166,0)</f>
        <v>0</v>
      </c>
      <c r="BF166" s="147">
        <f>IF(N166="znížená",J166,0)</f>
        <v>19713.16</v>
      </c>
      <c r="BG166" s="147">
        <f>IF(N166="zákl. prenesená",J166,0)</f>
        <v>0</v>
      </c>
      <c r="BH166" s="147">
        <f>IF(N166="zníž. prenesená",J166,0)</f>
        <v>0</v>
      </c>
      <c r="BI166" s="147">
        <f>IF(N166="nulová",J166,0)</f>
        <v>0</v>
      </c>
      <c r="BJ166" s="16" t="s">
        <v>118</v>
      </c>
      <c r="BK166" s="147">
        <f>ROUND(I166*H166,2)</f>
        <v>19713.16</v>
      </c>
      <c r="BL166" s="16" t="s">
        <v>185</v>
      </c>
      <c r="BM166" s="146" t="s">
        <v>223</v>
      </c>
    </row>
    <row r="167" spans="2:65" s="1" customFormat="1" ht="24.2" customHeight="1">
      <c r="B167" s="135"/>
      <c r="C167" s="136" t="s">
        <v>224</v>
      </c>
      <c r="D167" s="136" t="s">
        <v>113</v>
      </c>
      <c r="E167" s="137" t="s">
        <v>225</v>
      </c>
      <c r="F167" s="138" t="s">
        <v>226</v>
      </c>
      <c r="G167" s="139" t="s">
        <v>227</v>
      </c>
      <c r="H167" s="140">
        <v>1867.634</v>
      </c>
      <c r="I167" s="141">
        <v>9.66</v>
      </c>
      <c r="J167" s="141">
        <f>ROUND(I167*H167,2)</f>
        <v>18041.34</v>
      </c>
      <c r="K167" s="142"/>
      <c r="L167" s="28"/>
      <c r="M167" s="143" t="s">
        <v>1</v>
      </c>
      <c r="N167" s="112" t="s">
        <v>38</v>
      </c>
      <c r="O167" s="144">
        <v>0.42213000000000001</v>
      </c>
      <c r="P167" s="144">
        <f>O167*H167</f>
        <v>788.38434042000006</v>
      </c>
      <c r="Q167" s="144">
        <v>7.2849999999999995E-5</v>
      </c>
      <c r="R167" s="144">
        <f>Q167*H167</f>
        <v>0.13605713689999999</v>
      </c>
      <c r="S167" s="144">
        <v>0</v>
      </c>
      <c r="T167" s="145">
        <f>S167*H167</f>
        <v>0</v>
      </c>
      <c r="AR167" s="146" t="s">
        <v>185</v>
      </c>
      <c r="AT167" s="146" t="s">
        <v>113</v>
      </c>
      <c r="AU167" s="146" t="s">
        <v>118</v>
      </c>
      <c r="AY167" s="16" t="s">
        <v>110</v>
      </c>
      <c r="BE167" s="147">
        <f>IF(N167="základná",J167,0)</f>
        <v>0</v>
      </c>
      <c r="BF167" s="147">
        <f>IF(N167="znížená",J167,0)</f>
        <v>18041.34</v>
      </c>
      <c r="BG167" s="147">
        <f>IF(N167="zákl. prenesená",J167,0)</f>
        <v>0</v>
      </c>
      <c r="BH167" s="147">
        <f>IF(N167="zníž. prenesená",J167,0)</f>
        <v>0</v>
      </c>
      <c r="BI167" s="147">
        <f>IF(N167="nulová",J167,0)</f>
        <v>0</v>
      </c>
      <c r="BJ167" s="16" t="s">
        <v>118</v>
      </c>
      <c r="BK167" s="147">
        <f>ROUND(I167*H167,2)</f>
        <v>18041.34</v>
      </c>
      <c r="BL167" s="16" t="s">
        <v>185</v>
      </c>
      <c r="BM167" s="146" t="s">
        <v>228</v>
      </c>
    </row>
    <row r="168" spans="2:65" s="12" customFormat="1" ht="11.25">
      <c r="B168" s="148"/>
      <c r="D168" s="149" t="s">
        <v>120</v>
      </c>
      <c r="E168" s="150" t="s">
        <v>1</v>
      </c>
      <c r="F168" s="151" t="s">
        <v>229</v>
      </c>
      <c r="H168" s="150" t="s">
        <v>1</v>
      </c>
      <c r="L168" s="148"/>
      <c r="M168" s="152"/>
      <c r="T168" s="153"/>
      <c r="AT168" s="150" t="s">
        <v>120</v>
      </c>
      <c r="AU168" s="150" t="s">
        <v>118</v>
      </c>
      <c r="AV168" s="12" t="s">
        <v>77</v>
      </c>
      <c r="AW168" s="12" t="s">
        <v>27</v>
      </c>
      <c r="AX168" s="12" t="s">
        <v>72</v>
      </c>
      <c r="AY168" s="150" t="s">
        <v>110</v>
      </c>
    </row>
    <row r="169" spans="2:65" s="12" customFormat="1" ht="22.5">
      <c r="B169" s="148"/>
      <c r="D169" s="149" t="s">
        <v>120</v>
      </c>
      <c r="E169" s="150" t="s">
        <v>1</v>
      </c>
      <c r="F169" s="151" t="s">
        <v>230</v>
      </c>
      <c r="H169" s="150" t="s">
        <v>1</v>
      </c>
      <c r="L169" s="148"/>
      <c r="M169" s="152"/>
      <c r="T169" s="153"/>
      <c r="AT169" s="150" t="s">
        <v>120</v>
      </c>
      <c r="AU169" s="150" t="s">
        <v>118</v>
      </c>
      <c r="AV169" s="12" t="s">
        <v>77</v>
      </c>
      <c r="AW169" s="12" t="s">
        <v>27</v>
      </c>
      <c r="AX169" s="12" t="s">
        <v>72</v>
      </c>
      <c r="AY169" s="150" t="s">
        <v>110</v>
      </c>
    </row>
    <row r="170" spans="2:65" s="13" customFormat="1" ht="11.25">
      <c r="B170" s="154"/>
      <c r="D170" s="149" t="s">
        <v>120</v>
      </c>
      <c r="E170" s="155" t="s">
        <v>1</v>
      </c>
      <c r="F170" s="156" t="s">
        <v>231</v>
      </c>
      <c r="H170" s="157">
        <v>1867.634</v>
      </c>
      <c r="L170" s="154"/>
      <c r="M170" s="158"/>
      <c r="T170" s="159"/>
      <c r="AT170" s="155" t="s">
        <v>120</v>
      </c>
      <c r="AU170" s="155" t="s">
        <v>118</v>
      </c>
      <c r="AV170" s="13" t="s">
        <v>118</v>
      </c>
      <c r="AW170" s="13" t="s">
        <v>27</v>
      </c>
      <c r="AX170" s="13" t="s">
        <v>77</v>
      </c>
      <c r="AY170" s="155" t="s">
        <v>110</v>
      </c>
    </row>
    <row r="171" spans="2:65" s="1" customFormat="1" ht="24.2" customHeight="1">
      <c r="B171" s="135"/>
      <c r="C171" s="136" t="s">
        <v>7</v>
      </c>
      <c r="D171" s="136" t="s">
        <v>113</v>
      </c>
      <c r="E171" s="137" t="s">
        <v>232</v>
      </c>
      <c r="F171" s="138" t="s">
        <v>233</v>
      </c>
      <c r="G171" s="139" t="s">
        <v>227</v>
      </c>
      <c r="H171" s="140">
        <v>1867.634</v>
      </c>
      <c r="I171" s="141">
        <v>3.15</v>
      </c>
      <c r="J171" s="141">
        <f>ROUND(I171*H171,2)</f>
        <v>5883.05</v>
      </c>
      <c r="K171" s="142"/>
      <c r="L171" s="28"/>
      <c r="M171" s="143" t="s">
        <v>1</v>
      </c>
      <c r="N171" s="112" t="s">
        <v>38</v>
      </c>
      <c r="O171" s="144">
        <v>8.8999999999999996E-2</v>
      </c>
      <c r="P171" s="144">
        <f>O171*H171</f>
        <v>166.219426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AR171" s="146" t="s">
        <v>185</v>
      </c>
      <c r="AT171" s="146" t="s">
        <v>113</v>
      </c>
      <c r="AU171" s="146" t="s">
        <v>118</v>
      </c>
      <c r="AY171" s="16" t="s">
        <v>110</v>
      </c>
      <c r="BE171" s="147">
        <f>IF(N171="základná",J171,0)</f>
        <v>0</v>
      </c>
      <c r="BF171" s="147">
        <f>IF(N171="znížená",J171,0)</f>
        <v>5883.05</v>
      </c>
      <c r="BG171" s="147">
        <f>IF(N171="zákl. prenesená",J171,0)</f>
        <v>0</v>
      </c>
      <c r="BH171" s="147">
        <f>IF(N171="zníž. prenesená",J171,0)</f>
        <v>0</v>
      </c>
      <c r="BI171" s="147">
        <f>IF(N171="nulová",J171,0)</f>
        <v>0</v>
      </c>
      <c r="BJ171" s="16" t="s">
        <v>118</v>
      </c>
      <c r="BK171" s="147">
        <f>ROUND(I171*H171,2)</f>
        <v>5883.05</v>
      </c>
      <c r="BL171" s="16" t="s">
        <v>185</v>
      </c>
      <c r="BM171" s="146" t="s">
        <v>234</v>
      </c>
    </row>
    <row r="172" spans="2:65" s="12" customFormat="1" ht="11.25">
      <c r="B172" s="148"/>
      <c r="D172" s="149" t="s">
        <v>120</v>
      </c>
      <c r="E172" s="150" t="s">
        <v>1</v>
      </c>
      <c r="F172" s="151" t="s">
        <v>229</v>
      </c>
      <c r="H172" s="150" t="s">
        <v>1</v>
      </c>
      <c r="L172" s="148"/>
      <c r="M172" s="152"/>
      <c r="T172" s="153"/>
      <c r="AT172" s="150" t="s">
        <v>120</v>
      </c>
      <c r="AU172" s="150" t="s">
        <v>118</v>
      </c>
      <c r="AV172" s="12" t="s">
        <v>77</v>
      </c>
      <c r="AW172" s="12" t="s">
        <v>27</v>
      </c>
      <c r="AX172" s="12" t="s">
        <v>72</v>
      </c>
      <c r="AY172" s="150" t="s">
        <v>110</v>
      </c>
    </row>
    <row r="173" spans="2:65" s="12" customFormat="1" ht="22.5">
      <c r="B173" s="148"/>
      <c r="D173" s="149" t="s">
        <v>120</v>
      </c>
      <c r="E173" s="150" t="s">
        <v>1</v>
      </c>
      <c r="F173" s="151" t="s">
        <v>230</v>
      </c>
      <c r="H173" s="150" t="s">
        <v>1</v>
      </c>
      <c r="L173" s="148"/>
      <c r="M173" s="152"/>
      <c r="T173" s="153"/>
      <c r="AT173" s="150" t="s">
        <v>120</v>
      </c>
      <c r="AU173" s="150" t="s">
        <v>118</v>
      </c>
      <c r="AV173" s="12" t="s">
        <v>77</v>
      </c>
      <c r="AW173" s="12" t="s">
        <v>27</v>
      </c>
      <c r="AX173" s="12" t="s">
        <v>72</v>
      </c>
      <c r="AY173" s="150" t="s">
        <v>110</v>
      </c>
    </row>
    <row r="174" spans="2:65" s="13" customFormat="1" ht="11.25">
      <c r="B174" s="154"/>
      <c r="D174" s="149" t="s">
        <v>120</v>
      </c>
      <c r="E174" s="155" t="s">
        <v>1</v>
      </c>
      <c r="F174" s="156" t="s">
        <v>231</v>
      </c>
      <c r="H174" s="157">
        <v>1867.634</v>
      </c>
      <c r="L174" s="154"/>
      <c r="M174" s="158"/>
      <c r="T174" s="159"/>
      <c r="AT174" s="155" t="s">
        <v>120</v>
      </c>
      <c r="AU174" s="155" t="s">
        <v>118</v>
      </c>
      <c r="AV174" s="13" t="s">
        <v>118</v>
      </c>
      <c r="AW174" s="13" t="s">
        <v>27</v>
      </c>
      <c r="AX174" s="13" t="s">
        <v>77</v>
      </c>
      <c r="AY174" s="155" t="s">
        <v>110</v>
      </c>
    </row>
    <row r="175" spans="2:65" s="1" customFormat="1" ht="24.2" customHeight="1">
      <c r="B175" s="135"/>
      <c r="C175" s="166" t="s">
        <v>235</v>
      </c>
      <c r="D175" s="166" t="s">
        <v>208</v>
      </c>
      <c r="E175" s="167" t="s">
        <v>236</v>
      </c>
      <c r="F175" s="168" t="s">
        <v>237</v>
      </c>
      <c r="G175" s="169" t="s">
        <v>150</v>
      </c>
      <c r="H175" s="170">
        <v>1.8680000000000001</v>
      </c>
      <c r="I175" s="171">
        <v>1208.82</v>
      </c>
      <c r="J175" s="171">
        <f>ROUND(I175*H175,2)</f>
        <v>2258.08</v>
      </c>
      <c r="K175" s="172"/>
      <c r="L175" s="173"/>
      <c r="M175" s="174" t="s">
        <v>1</v>
      </c>
      <c r="N175" s="175" t="s">
        <v>38</v>
      </c>
      <c r="O175" s="144">
        <v>0</v>
      </c>
      <c r="P175" s="144">
        <f>O175*H175</f>
        <v>0</v>
      </c>
      <c r="Q175" s="144">
        <v>1</v>
      </c>
      <c r="R175" s="144">
        <f>Q175*H175</f>
        <v>1.8680000000000001</v>
      </c>
      <c r="S175" s="144">
        <v>0</v>
      </c>
      <c r="T175" s="145">
        <f>S175*H175</f>
        <v>0</v>
      </c>
      <c r="AR175" s="146" t="s">
        <v>211</v>
      </c>
      <c r="AT175" s="146" t="s">
        <v>208</v>
      </c>
      <c r="AU175" s="146" t="s">
        <v>118</v>
      </c>
      <c r="AY175" s="16" t="s">
        <v>110</v>
      </c>
      <c r="BE175" s="147">
        <f>IF(N175="základná",J175,0)</f>
        <v>0</v>
      </c>
      <c r="BF175" s="147">
        <f>IF(N175="znížená",J175,0)</f>
        <v>2258.08</v>
      </c>
      <c r="BG175" s="147">
        <f>IF(N175="zákl. prenesená",J175,0)</f>
        <v>0</v>
      </c>
      <c r="BH175" s="147">
        <f>IF(N175="zníž. prenesená",J175,0)</f>
        <v>0</v>
      </c>
      <c r="BI175" s="147">
        <f>IF(N175="nulová",J175,0)</f>
        <v>0</v>
      </c>
      <c r="BJ175" s="16" t="s">
        <v>118</v>
      </c>
      <c r="BK175" s="147">
        <f>ROUND(I175*H175,2)</f>
        <v>2258.08</v>
      </c>
      <c r="BL175" s="16" t="s">
        <v>185</v>
      </c>
      <c r="BM175" s="146" t="s">
        <v>238</v>
      </c>
    </row>
    <row r="176" spans="2:65" s="13" customFormat="1" ht="11.25">
      <c r="B176" s="154"/>
      <c r="D176" s="149" t="s">
        <v>120</v>
      </c>
      <c r="E176" s="155" t="s">
        <v>1</v>
      </c>
      <c r="F176" s="156" t="s">
        <v>239</v>
      </c>
      <c r="H176" s="157">
        <v>1.8680000000000001</v>
      </c>
      <c r="L176" s="154"/>
      <c r="M176" s="158"/>
      <c r="T176" s="159"/>
      <c r="AT176" s="155" t="s">
        <v>120</v>
      </c>
      <c r="AU176" s="155" t="s">
        <v>118</v>
      </c>
      <c r="AV176" s="13" t="s">
        <v>118</v>
      </c>
      <c r="AW176" s="13" t="s">
        <v>27</v>
      </c>
      <c r="AX176" s="13" t="s">
        <v>77</v>
      </c>
      <c r="AY176" s="155" t="s">
        <v>110</v>
      </c>
    </row>
    <row r="177" spans="2:65" s="1" customFormat="1" ht="24.2" customHeight="1">
      <c r="B177" s="135"/>
      <c r="C177" s="136" t="s">
        <v>240</v>
      </c>
      <c r="D177" s="136" t="s">
        <v>113</v>
      </c>
      <c r="E177" s="137" t="s">
        <v>241</v>
      </c>
      <c r="F177" s="138" t="s">
        <v>242</v>
      </c>
      <c r="G177" s="139" t="s">
        <v>150</v>
      </c>
      <c r="H177" s="140">
        <v>72.468999999999994</v>
      </c>
      <c r="I177" s="141">
        <v>62.27</v>
      </c>
      <c r="J177" s="141">
        <f>ROUND(I177*H177,2)</f>
        <v>4512.6400000000003</v>
      </c>
      <c r="K177" s="142"/>
      <c r="L177" s="28"/>
      <c r="M177" s="143" t="s">
        <v>1</v>
      </c>
      <c r="N177" s="112" t="s">
        <v>38</v>
      </c>
      <c r="O177" s="144">
        <v>2.984</v>
      </c>
      <c r="P177" s="144">
        <f>O177*H177</f>
        <v>216.24749599999998</v>
      </c>
      <c r="Q177" s="144">
        <v>0</v>
      </c>
      <c r="R177" s="144">
        <f>Q177*H177</f>
        <v>0</v>
      </c>
      <c r="S177" s="144">
        <v>0</v>
      </c>
      <c r="T177" s="145">
        <f>S177*H177</f>
        <v>0</v>
      </c>
      <c r="AR177" s="146" t="s">
        <v>185</v>
      </c>
      <c r="AT177" s="146" t="s">
        <v>113</v>
      </c>
      <c r="AU177" s="146" t="s">
        <v>118</v>
      </c>
      <c r="AY177" s="16" t="s">
        <v>110</v>
      </c>
      <c r="BE177" s="147">
        <f>IF(N177="základná",J177,0)</f>
        <v>0</v>
      </c>
      <c r="BF177" s="147">
        <f>IF(N177="znížená",J177,0)</f>
        <v>4512.6400000000003</v>
      </c>
      <c r="BG177" s="147">
        <f>IF(N177="zákl. prenesená",J177,0)</f>
        <v>0</v>
      </c>
      <c r="BH177" s="147">
        <f>IF(N177="zníž. prenesená",J177,0)</f>
        <v>0</v>
      </c>
      <c r="BI177" s="147">
        <f>IF(N177="nulová",J177,0)</f>
        <v>0</v>
      </c>
      <c r="BJ177" s="16" t="s">
        <v>118</v>
      </c>
      <c r="BK177" s="147">
        <f>ROUND(I177*H177,2)</f>
        <v>4512.6400000000003</v>
      </c>
      <c r="BL177" s="16" t="s">
        <v>185</v>
      </c>
      <c r="BM177" s="146" t="s">
        <v>243</v>
      </c>
    </row>
    <row r="178" spans="2:65" s="11" customFormat="1" ht="22.9" customHeight="1">
      <c r="B178" s="124"/>
      <c r="D178" s="125" t="s">
        <v>71</v>
      </c>
      <c r="E178" s="133" t="s">
        <v>244</v>
      </c>
      <c r="F178" s="133" t="s">
        <v>245</v>
      </c>
      <c r="J178" s="134">
        <f>BK178</f>
        <v>1743.21</v>
      </c>
      <c r="L178" s="124"/>
      <c r="M178" s="128"/>
      <c r="P178" s="129">
        <f>SUM(P179:P187)</f>
        <v>63.051173810000002</v>
      </c>
      <c r="R178" s="129">
        <f>SUM(R179:R187)</f>
        <v>2.2971048940000002E-2</v>
      </c>
      <c r="T178" s="130">
        <f>SUM(T179:T187)</f>
        <v>0</v>
      </c>
      <c r="AR178" s="125" t="s">
        <v>118</v>
      </c>
      <c r="AT178" s="131" t="s">
        <v>71</v>
      </c>
      <c r="AU178" s="131" t="s">
        <v>77</v>
      </c>
      <c r="AY178" s="125" t="s">
        <v>110</v>
      </c>
      <c r="BK178" s="132">
        <f>SUM(BK179:BK187)</f>
        <v>1743.21</v>
      </c>
    </row>
    <row r="179" spans="2:65" s="1" customFormat="1" ht="33" customHeight="1">
      <c r="B179" s="135"/>
      <c r="C179" s="136" t="s">
        <v>246</v>
      </c>
      <c r="D179" s="136" t="s">
        <v>113</v>
      </c>
      <c r="E179" s="137" t="s">
        <v>247</v>
      </c>
      <c r="F179" s="138" t="s">
        <v>248</v>
      </c>
      <c r="G179" s="139" t="s">
        <v>136</v>
      </c>
      <c r="H179" s="140">
        <v>59.478999999999999</v>
      </c>
      <c r="I179" s="141">
        <v>11.58</v>
      </c>
      <c r="J179" s="141">
        <f>ROUND(I179*H179,2)</f>
        <v>688.77</v>
      </c>
      <c r="K179" s="142"/>
      <c r="L179" s="28"/>
      <c r="M179" s="143" t="s">
        <v>1</v>
      </c>
      <c r="N179" s="112" t="s">
        <v>38</v>
      </c>
      <c r="O179" s="144">
        <v>0.37444</v>
      </c>
      <c r="P179" s="144">
        <f>O179*H179</f>
        <v>22.271316759999998</v>
      </c>
      <c r="Q179" s="144">
        <v>2.4252E-4</v>
      </c>
      <c r="R179" s="144">
        <f>Q179*H179</f>
        <v>1.4424847080000001E-2</v>
      </c>
      <c r="S179" s="144">
        <v>0</v>
      </c>
      <c r="T179" s="145">
        <f>S179*H179</f>
        <v>0</v>
      </c>
      <c r="AR179" s="146" t="s">
        <v>185</v>
      </c>
      <c r="AT179" s="146" t="s">
        <v>113</v>
      </c>
      <c r="AU179" s="146" t="s">
        <v>118</v>
      </c>
      <c r="AY179" s="16" t="s">
        <v>110</v>
      </c>
      <c r="BE179" s="147">
        <f>IF(N179="základná",J179,0)</f>
        <v>0</v>
      </c>
      <c r="BF179" s="147">
        <f>IF(N179="znížená",J179,0)</f>
        <v>688.77</v>
      </c>
      <c r="BG179" s="147">
        <f>IF(N179="zákl. prenesená",J179,0)</f>
        <v>0</v>
      </c>
      <c r="BH179" s="147">
        <f>IF(N179="zníž. prenesená",J179,0)</f>
        <v>0</v>
      </c>
      <c r="BI179" s="147">
        <f>IF(N179="nulová",J179,0)</f>
        <v>0</v>
      </c>
      <c r="BJ179" s="16" t="s">
        <v>118</v>
      </c>
      <c r="BK179" s="147">
        <f>ROUND(I179*H179,2)</f>
        <v>688.77</v>
      </c>
      <c r="BL179" s="16" t="s">
        <v>185</v>
      </c>
      <c r="BM179" s="146" t="s">
        <v>249</v>
      </c>
    </row>
    <row r="180" spans="2:65" s="1" customFormat="1" ht="24.2" customHeight="1">
      <c r="B180" s="135"/>
      <c r="C180" s="136" t="s">
        <v>250</v>
      </c>
      <c r="D180" s="136" t="s">
        <v>113</v>
      </c>
      <c r="E180" s="137" t="s">
        <v>251</v>
      </c>
      <c r="F180" s="138" t="s">
        <v>252</v>
      </c>
      <c r="G180" s="139" t="s">
        <v>136</v>
      </c>
      <c r="H180" s="140">
        <v>59.478999999999999</v>
      </c>
      <c r="I180" s="141">
        <v>4.22</v>
      </c>
      <c r="J180" s="141">
        <f>ROUND(I180*H180,2)</f>
        <v>251</v>
      </c>
      <c r="K180" s="142"/>
      <c r="L180" s="28"/>
      <c r="M180" s="143" t="s">
        <v>1</v>
      </c>
      <c r="N180" s="112" t="s">
        <v>38</v>
      </c>
      <c r="O180" s="144">
        <v>0.14815</v>
      </c>
      <c r="P180" s="144">
        <f>O180*H180</f>
        <v>8.8118138500000001</v>
      </c>
      <c r="Q180" s="144">
        <v>8.1340000000000004E-5</v>
      </c>
      <c r="R180" s="144">
        <f>Q180*H180</f>
        <v>4.8380218600000005E-3</v>
      </c>
      <c r="S180" s="144">
        <v>0</v>
      </c>
      <c r="T180" s="145">
        <f>S180*H180</f>
        <v>0</v>
      </c>
      <c r="AR180" s="146" t="s">
        <v>185</v>
      </c>
      <c r="AT180" s="146" t="s">
        <v>113</v>
      </c>
      <c r="AU180" s="146" t="s">
        <v>118</v>
      </c>
      <c r="AY180" s="16" t="s">
        <v>110</v>
      </c>
      <c r="BE180" s="147">
        <f>IF(N180="základná",J180,0)</f>
        <v>0</v>
      </c>
      <c r="BF180" s="147">
        <f>IF(N180="znížená",J180,0)</f>
        <v>251</v>
      </c>
      <c r="BG180" s="147">
        <f>IF(N180="zákl. prenesená",J180,0)</f>
        <v>0</v>
      </c>
      <c r="BH180" s="147">
        <f>IF(N180="zníž. prenesená",J180,0)</f>
        <v>0</v>
      </c>
      <c r="BI180" s="147">
        <f>IF(N180="nulová",J180,0)</f>
        <v>0</v>
      </c>
      <c r="BJ180" s="16" t="s">
        <v>118</v>
      </c>
      <c r="BK180" s="147">
        <f>ROUND(I180*H180,2)</f>
        <v>251</v>
      </c>
      <c r="BL180" s="16" t="s">
        <v>185</v>
      </c>
      <c r="BM180" s="146" t="s">
        <v>253</v>
      </c>
    </row>
    <row r="181" spans="2:65" s="12" customFormat="1" ht="11.25">
      <c r="B181" s="148"/>
      <c r="D181" s="149" t="s">
        <v>120</v>
      </c>
      <c r="E181" s="150" t="s">
        <v>1</v>
      </c>
      <c r="F181" s="151" t="s">
        <v>229</v>
      </c>
      <c r="H181" s="150" t="s">
        <v>1</v>
      </c>
      <c r="L181" s="148"/>
      <c r="M181" s="152"/>
      <c r="T181" s="153"/>
      <c r="AT181" s="150" t="s">
        <v>120</v>
      </c>
      <c r="AU181" s="150" t="s">
        <v>118</v>
      </c>
      <c r="AV181" s="12" t="s">
        <v>77</v>
      </c>
      <c r="AW181" s="12" t="s">
        <v>27</v>
      </c>
      <c r="AX181" s="12" t="s">
        <v>72</v>
      </c>
      <c r="AY181" s="150" t="s">
        <v>110</v>
      </c>
    </row>
    <row r="182" spans="2:65" s="12" customFormat="1" ht="22.5">
      <c r="B182" s="148"/>
      <c r="D182" s="149" t="s">
        <v>120</v>
      </c>
      <c r="E182" s="150" t="s">
        <v>1</v>
      </c>
      <c r="F182" s="151" t="s">
        <v>230</v>
      </c>
      <c r="H182" s="150" t="s">
        <v>1</v>
      </c>
      <c r="L182" s="148"/>
      <c r="M182" s="152"/>
      <c r="T182" s="153"/>
      <c r="AT182" s="150" t="s">
        <v>120</v>
      </c>
      <c r="AU182" s="150" t="s">
        <v>118</v>
      </c>
      <c r="AV182" s="12" t="s">
        <v>77</v>
      </c>
      <c r="AW182" s="12" t="s">
        <v>27</v>
      </c>
      <c r="AX182" s="12" t="s">
        <v>72</v>
      </c>
      <c r="AY182" s="150" t="s">
        <v>110</v>
      </c>
    </row>
    <row r="183" spans="2:65" s="13" customFormat="1" ht="11.25">
      <c r="B183" s="154"/>
      <c r="D183" s="149" t="s">
        <v>120</v>
      </c>
      <c r="E183" s="155" t="s">
        <v>1</v>
      </c>
      <c r="F183" s="156" t="s">
        <v>254</v>
      </c>
      <c r="H183" s="157">
        <v>59.478999999999999</v>
      </c>
      <c r="L183" s="154"/>
      <c r="M183" s="158"/>
      <c r="T183" s="159"/>
      <c r="AT183" s="155" t="s">
        <v>120</v>
      </c>
      <c r="AU183" s="155" t="s">
        <v>118</v>
      </c>
      <c r="AV183" s="13" t="s">
        <v>118</v>
      </c>
      <c r="AW183" s="13" t="s">
        <v>27</v>
      </c>
      <c r="AX183" s="13" t="s">
        <v>77</v>
      </c>
      <c r="AY183" s="155" t="s">
        <v>110</v>
      </c>
    </row>
    <row r="184" spans="2:65" s="1" customFormat="1" ht="37.9" customHeight="1">
      <c r="B184" s="135"/>
      <c r="C184" s="136" t="s">
        <v>255</v>
      </c>
      <c r="D184" s="136" t="s">
        <v>113</v>
      </c>
      <c r="E184" s="137" t="s">
        <v>256</v>
      </c>
      <c r="F184" s="138" t="s">
        <v>257</v>
      </c>
      <c r="G184" s="139" t="s">
        <v>136</v>
      </c>
      <c r="H184" s="140">
        <v>176.58</v>
      </c>
      <c r="I184" s="141">
        <v>4.55</v>
      </c>
      <c r="J184" s="141">
        <f>ROUND(I184*H184,2)</f>
        <v>803.44</v>
      </c>
      <c r="K184" s="142"/>
      <c r="L184" s="28"/>
      <c r="M184" s="143" t="s">
        <v>1</v>
      </c>
      <c r="N184" s="112" t="s">
        <v>38</v>
      </c>
      <c r="O184" s="144">
        <v>0.18104000000000001</v>
      </c>
      <c r="P184" s="144">
        <f>O184*H184</f>
        <v>31.968043200000004</v>
      </c>
      <c r="Q184" s="144">
        <v>2.0999999999999999E-5</v>
      </c>
      <c r="R184" s="144">
        <f>Q184*H184</f>
        <v>3.7081800000000002E-3</v>
      </c>
      <c r="S184" s="144">
        <v>0</v>
      </c>
      <c r="T184" s="145">
        <f>S184*H184</f>
        <v>0</v>
      </c>
      <c r="AR184" s="146" t="s">
        <v>185</v>
      </c>
      <c r="AT184" s="146" t="s">
        <v>113</v>
      </c>
      <c r="AU184" s="146" t="s">
        <v>118</v>
      </c>
      <c r="AY184" s="16" t="s">
        <v>110</v>
      </c>
      <c r="BE184" s="147">
        <f>IF(N184="základná",J184,0)</f>
        <v>0</v>
      </c>
      <c r="BF184" s="147">
        <f>IF(N184="znížená",J184,0)</f>
        <v>803.44</v>
      </c>
      <c r="BG184" s="147">
        <f>IF(N184="zákl. prenesená",J184,0)</f>
        <v>0</v>
      </c>
      <c r="BH184" s="147">
        <f>IF(N184="zníž. prenesená",J184,0)</f>
        <v>0</v>
      </c>
      <c r="BI184" s="147">
        <f>IF(N184="nulová",J184,0)</f>
        <v>0</v>
      </c>
      <c r="BJ184" s="16" t="s">
        <v>118</v>
      </c>
      <c r="BK184" s="147">
        <f>ROUND(I184*H184,2)</f>
        <v>803.44</v>
      </c>
      <c r="BL184" s="16" t="s">
        <v>185</v>
      </c>
      <c r="BM184" s="146" t="s">
        <v>258</v>
      </c>
    </row>
    <row r="185" spans="2:65" s="12" customFormat="1" ht="11.25">
      <c r="B185" s="148"/>
      <c r="D185" s="149" t="s">
        <v>120</v>
      </c>
      <c r="E185" s="150" t="s">
        <v>1</v>
      </c>
      <c r="F185" s="151" t="s">
        <v>259</v>
      </c>
      <c r="H185" s="150" t="s">
        <v>1</v>
      </c>
      <c r="L185" s="148"/>
      <c r="M185" s="152"/>
      <c r="T185" s="153"/>
      <c r="AT185" s="150" t="s">
        <v>120</v>
      </c>
      <c r="AU185" s="150" t="s">
        <v>118</v>
      </c>
      <c r="AV185" s="12" t="s">
        <v>77</v>
      </c>
      <c r="AW185" s="12" t="s">
        <v>27</v>
      </c>
      <c r="AX185" s="12" t="s">
        <v>72</v>
      </c>
      <c r="AY185" s="150" t="s">
        <v>110</v>
      </c>
    </row>
    <row r="186" spans="2:65" s="12" customFormat="1" ht="11.25">
      <c r="B186" s="148"/>
      <c r="D186" s="149" t="s">
        <v>120</v>
      </c>
      <c r="E186" s="150" t="s">
        <v>1</v>
      </c>
      <c r="F186" s="151" t="s">
        <v>187</v>
      </c>
      <c r="H186" s="150" t="s">
        <v>1</v>
      </c>
      <c r="L186" s="148"/>
      <c r="M186" s="152"/>
      <c r="T186" s="153"/>
      <c r="AT186" s="150" t="s">
        <v>120</v>
      </c>
      <c r="AU186" s="150" t="s">
        <v>118</v>
      </c>
      <c r="AV186" s="12" t="s">
        <v>77</v>
      </c>
      <c r="AW186" s="12" t="s">
        <v>27</v>
      </c>
      <c r="AX186" s="12" t="s">
        <v>72</v>
      </c>
      <c r="AY186" s="150" t="s">
        <v>110</v>
      </c>
    </row>
    <row r="187" spans="2:65" s="13" customFormat="1" ht="11.25">
      <c r="B187" s="154"/>
      <c r="D187" s="149" t="s">
        <v>120</v>
      </c>
      <c r="E187" s="155" t="s">
        <v>1</v>
      </c>
      <c r="F187" s="156" t="s">
        <v>260</v>
      </c>
      <c r="H187" s="157">
        <v>176.58</v>
      </c>
      <c r="L187" s="154"/>
      <c r="M187" s="176"/>
      <c r="N187" s="177"/>
      <c r="O187" s="177"/>
      <c r="P187" s="177"/>
      <c r="Q187" s="177"/>
      <c r="R187" s="177"/>
      <c r="S187" s="177"/>
      <c r="T187" s="178"/>
      <c r="AT187" s="155" t="s">
        <v>120</v>
      </c>
      <c r="AU187" s="155" t="s">
        <v>118</v>
      </c>
      <c r="AV187" s="13" t="s">
        <v>118</v>
      </c>
      <c r="AW187" s="13" t="s">
        <v>27</v>
      </c>
      <c r="AX187" s="13" t="s">
        <v>77</v>
      </c>
      <c r="AY187" s="155" t="s">
        <v>110</v>
      </c>
    </row>
    <row r="188" spans="2:65" s="1" customFormat="1" ht="6.95" customHeight="1">
      <c r="B188" s="43"/>
      <c r="C188" s="44"/>
      <c r="D188" s="44"/>
      <c r="E188" s="44"/>
      <c r="F188" s="44"/>
      <c r="G188" s="44"/>
      <c r="H188" s="44"/>
      <c r="I188" s="44"/>
      <c r="J188" s="44"/>
      <c r="K188" s="44"/>
      <c r="L188" s="28"/>
    </row>
  </sheetData>
  <autoFilter ref="C122:K187" xr:uid="{00000000-0009-0000-0000-000001000000}"/>
  <mergeCells count="5">
    <mergeCell ref="E7:H7"/>
    <mergeCell ref="E25:H25"/>
    <mergeCell ref="E85:H85"/>
    <mergeCell ref="E115:H115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z25-02 - Maštaľ - výmena ...</vt:lpstr>
      <vt:lpstr>'Rekapitulácia stavby'!Názvy_tlače</vt:lpstr>
      <vt:lpstr>'z25-02 - Maštaľ - výmena ...'!Názvy_tlače</vt:lpstr>
      <vt:lpstr>'Rekapitulácia stavby'!Oblasť_tlače</vt:lpstr>
      <vt:lpstr>'z25-02 - Maštaľ - výmena 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2025-02-22T13:02:30Z</dcterms:created>
  <dcterms:modified xsi:type="dcterms:W3CDTF">2025-03-04T13:47:02Z</dcterms:modified>
</cp:coreProperties>
</file>