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D:\Data\9119-00 Rekonštrukcia a obnova mostov na cestách III.triedy BBSK, oblasť Juh\Zadanie_ev_c_2610-12\"/>
    </mc:Choice>
  </mc:AlternateContent>
  <xr:revisionPtr revIDLastSave="0" documentId="13_ncr:1_{78FE397F-009A-4ED8-983E-40AEB6BF3406}" xr6:coauthVersionLast="45" xr6:coauthVersionMax="45" xr10:uidLastSave="{00000000-0000-0000-0000-000000000000}"/>
  <workbookProtection workbookAlgorithmName="SHA-512" workbookHashValue="mLzRKMP6jUFWzoXd3wQLWm0yRh/aSruJc+Dxe9eo+OeGQ14GpxnH1nIa957cgJV+tiEWjCoIHM6+lBVpmeRXLg==" workbookSaltValue="K5n+pAF+ZH27VgqidqTDWg==" workbookSpinCount="100000" lockStructure="1"/>
  <bookViews>
    <workbookView xWindow="-120" yWindow="-120" windowWidth="29040" windowHeight="17790" tabRatio="940" xr2:uid="{00000000-000D-0000-FFFF-FFFF00000000}"/>
  </bookViews>
  <sheets>
    <sheet name="Rekapitulácia" sheetId="23" r:id="rId1"/>
    <sheet name="Rekapitulácia objektov" sheetId="24" r:id="rId2"/>
    <sheet name="001-00" sheetId="25" r:id="rId3"/>
    <sheet name="120-00" sheetId="18" r:id="rId4"/>
    <sheet name="121-00" sheetId="20" r:id="rId5"/>
    <sheet name="204-00" sheetId="21" r:id="rId6"/>
    <sheet name="651-00" sheetId="22" r:id="rId7"/>
  </sheets>
  <definedNames>
    <definedName name="_xlnm.Print_Titles" localSheetId="2">'001-00'!$1:$4</definedName>
    <definedName name="_xlnm.Print_Titles" localSheetId="3">'120-00'!$1:$4</definedName>
    <definedName name="_xlnm.Print_Titles" localSheetId="4">'121-00'!$1:$4</definedName>
    <definedName name="_xlnm.Print_Titles" localSheetId="5">'204-00'!$1:$4</definedName>
    <definedName name="_xlnm.Print_Titles" localSheetId="6">'651-00'!$1:$4</definedName>
    <definedName name="_xlnm.Print_Titles" localSheetId="1">'Rekapitulácia objektov'!$1:$3</definedName>
    <definedName name="_xlnm.Print_Area" localSheetId="2">'001-00'!$A$1:$J$38</definedName>
    <definedName name="_xlnm.Print_Area" localSheetId="3">'120-00'!$A$1:$J$237</definedName>
    <definedName name="_xlnm.Print_Area" localSheetId="4">'121-00'!$A$1:$J$341</definedName>
    <definedName name="_xlnm.Print_Area" localSheetId="5">'204-00'!$A$1:$J$363</definedName>
    <definedName name="_xlnm.Print_Area" localSheetId="6">'651-00'!$A$1:$J$88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25" l="1"/>
  <c r="J28" i="25" l="1"/>
  <c r="J25" i="25"/>
  <c r="J19" i="25"/>
  <c r="J13" i="25"/>
  <c r="J8" i="25"/>
  <c r="A8" i="25"/>
  <c r="A13" i="25" l="1"/>
  <c r="J38" i="25"/>
  <c r="F5" i="23" s="1"/>
  <c r="G5" i="23" s="1"/>
  <c r="H5" i="23" s="1"/>
  <c r="A19" i="25"/>
  <c r="A25" i="25" l="1"/>
  <c r="A28" i="25" s="1"/>
  <c r="A31" i="25" l="1"/>
  <c r="J56" i="22"/>
  <c r="J48" i="22"/>
  <c r="J83" i="22"/>
  <c r="J79" i="22"/>
  <c r="J75" i="22"/>
  <c r="J69" i="22"/>
  <c r="J63" i="22"/>
  <c r="J41" i="22"/>
  <c r="J37" i="22"/>
  <c r="J33" i="22"/>
  <c r="J29" i="22"/>
  <c r="J24" i="22"/>
  <c r="J18" i="22"/>
  <c r="J14" i="22"/>
  <c r="J8" i="22"/>
  <c r="J357" i="21"/>
  <c r="J348" i="21"/>
  <c r="J340" i="21"/>
  <c r="J327" i="21"/>
  <c r="J317" i="21"/>
  <c r="J310" i="21"/>
  <c r="J303" i="21"/>
  <c r="J296" i="21"/>
  <c r="J289" i="21"/>
  <c r="J283" i="21"/>
  <c r="J278" i="21"/>
  <c r="J274" i="21"/>
  <c r="J266" i="21"/>
  <c r="J258" i="21"/>
  <c r="J251" i="21"/>
  <c r="J244" i="21"/>
  <c r="J235" i="21"/>
  <c r="J232" i="21"/>
  <c r="J228" i="21"/>
  <c r="J222" i="21"/>
  <c r="J219" i="21"/>
  <c r="J212" i="21"/>
  <c r="J205" i="21"/>
  <c r="J198" i="21"/>
  <c r="J189" i="21"/>
  <c r="J183" i="21"/>
  <c r="J178" i="21"/>
  <c r="J170" i="21"/>
  <c r="J165" i="21"/>
  <c r="J160" i="21"/>
  <c r="J152" i="21"/>
  <c r="J144" i="21"/>
  <c r="J136" i="21"/>
  <c r="J128" i="21"/>
  <c r="J123" i="21"/>
  <c r="J115" i="21"/>
  <c r="J106" i="21"/>
  <c r="J92" i="21"/>
  <c r="J87" i="21"/>
  <c r="J84" i="21"/>
  <c r="J79" i="21"/>
  <c r="J72" i="21"/>
  <c r="J60" i="21"/>
  <c r="J57" i="21"/>
  <c r="J52" i="21"/>
  <c r="J48" i="21"/>
  <c r="J45" i="21"/>
  <c r="J42" i="21"/>
  <c r="J36" i="21"/>
  <c r="J26" i="21"/>
  <c r="J16" i="21"/>
  <c r="J13" i="21"/>
  <c r="J8" i="21"/>
  <c r="J46" i="20"/>
  <c r="J49" i="20"/>
  <c r="J335" i="20"/>
  <c r="J329" i="20"/>
  <c r="J317" i="20"/>
  <c r="J312" i="20"/>
  <c r="J304" i="20"/>
  <c r="J294" i="20"/>
  <c r="J283" i="20"/>
  <c r="J277" i="20"/>
  <c r="J272" i="20"/>
  <c r="J264" i="20"/>
  <c r="J256" i="20"/>
  <c r="J252" i="20"/>
  <c r="J241" i="20"/>
  <c r="J235" i="20"/>
  <c r="J224" i="20"/>
  <c r="J216" i="20"/>
  <c r="J210" i="20"/>
  <c r="J206" i="20"/>
  <c r="J201" i="20"/>
  <c r="J191" i="20"/>
  <c r="J187" i="20"/>
  <c r="J178" i="20"/>
  <c r="J172" i="20"/>
  <c r="J164" i="20"/>
  <c r="J158" i="20"/>
  <c r="J151" i="20"/>
  <c r="J143" i="20"/>
  <c r="J138" i="20"/>
  <c r="J132" i="20"/>
  <c r="J118" i="20"/>
  <c r="J113" i="20"/>
  <c r="J105" i="20"/>
  <c r="J100" i="20"/>
  <c r="J95" i="20"/>
  <c r="J89" i="20"/>
  <c r="J80" i="20"/>
  <c r="J66" i="20"/>
  <c r="J55" i="20"/>
  <c r="J39" i="20"/>
  <c r="J33" i="20"/>
  <c r="J28" i="20"/>
  <c r="J22" i="20"/>
  <c r="J17" i="20"/>
  <c r="J8" i="20"/>
  <c r="J230" i="18"/>
  <c r="J221" i="18"/>
  <c r="J215" i="18"/>
  <c r="J209" i="18"/>
  <c r="J205" i="18"/>
  <c r="J200" i="18"/>
  <c r="J192" i="18"/>
  <c r="J182" i="18"/>
  <c r="J177" i="18"/>
  <c r="J173" i="18"/>
  <c r="J166" i="18"/>
  <c r="J159" i="18"/>
  <c r="J152" i="18"/>
  <c r="J148" i="18"/>
  <c r="J142" i="18"/>
  <c r="J133" i="18"/>
  <c r="J126" i="18"/>
  <c r="J121" i="18"/>
  <c r="J111" i="18"/>
  <c r="J107" i="18"/>
  <c r="J98" i="18"/>
  <c r="J89" i="18"/>
  <c r="J84" i="18"/>
  <c r="J76" i="18"/>
  <c r="J71" i="18"/>
  <c r="J66" i="18"/>
  <c r="J60" i="18"/>
  <c r="J51" i="18"/>
  <c r="J46" i="18"/>
  <c r="J37" i="18"/>
  <c r="J34" i="18"/>
  <c r="J30" i="18"/>
  <c r="J26" i="18"/>
  <c r="J20" i="18"/>
  <c r="J14" i="18"/>
  <c r="J8" i="18"/>
  <c r="J237" i="18" l="1"/>
  <c r="E4" i="24" s="1"/>
  <c r="J341" i="20"/>
  <c r="E5" i="24" s="1"/>
  <c r="J363" i="21"/>
  <c r="E6" i="24" s="1"/>
  <c r="J88" i="22"/>
  <c r="E7" i="24" s="1"/>
  <c r="E8" i="24" l="1"/>
  <c r="F6" i="23" s="1"/>
  <c r="F14" i="20"/>
  <c r="F13" i="20"/>
  <c r="G6" i="23" l="1"/>
  <c r="F7" i="23"/>
  <c r="F9" i="18"/>
  <c r="H6" i="23" l="1"/>
  <c r="H7" i="23" s="1"/>
  <c r="G7" i="23"/>
  <c r="F52" i="22"/>
  <c r="F73" i="22"/>
  <c r="F67" i="22"/>
  <c r="F22" i="22"/>
  <c r="A8" i="22"/>
  <c r="A14" i="22" s="1"/>
  <c r="A18" i="22" l="1"/>
  <c r="A24" i="22" l="1"/>
  <c r="A29" i="22" s="1"/>
  <c r="A33" i="22" l="1"/>
  <c r="A37" i="22" s="1"/>
  <c r="A41" i="22" l="1"/>
  <c r="F360" i="21" l="1"/>
  <c r="F352" i="21"/>
  <c r="F350" i="21"/>
  <c r="F346" i="21"/>
  <c r="F344" i="21"/>
  <c r="F343" i="21"/>
  <c r="F342" i="21"/>
  <c r="F337" i="21"/>
  <c r="F338" i="21" s="1"/>
  <c r="F336" i="21"/>
  <c r="F332" i="21"/>
  <c r="F331" i="21"/>
  <c r="F330" i="21"/>
  <c r="F321" i="21"/>
  <c r="F320" i="21"/>
  <c r="F322" i="21" s="1"/>
  <c r="F315" i="21"/>
  <c r="F314" i="21"/>
  <c r="F313" i="21"/>
  <c r="F312" i="21"/>
  <c r="F307" i="21"/>
  <c r="F306" i="21"/>
  <c r="F305" i="21"/>
  <c r="F300" i="21"/>
  <c r="F299" i="21"/>
  <c r="F301" i="21" s="1"/>
  <c r="F286" i="21"/>
  <c r="F285" i="21"/>
  <c r="F281" i="21"/>
  <c r="F276" i="21"/>
  <c r="F271" i="21"/>
  <c r="F269" i="21"/>
  <c r="F263" i="21"/>
  <c r="F261" i="21"/>
  <c r="F245" i="21"/>
  <c r="F240" i="21"/>
  <c r="F233" i="21"/>
  <c r="F229" i="21"/>
  <c r="F225" i="21"/>
  <c r="F220" i="21"/>
  <c r="F216" i="21"/>
  <c r="F215" i="21"/>
  <c r="F217" i="21" s="1"/>
  <c r="F208" i="21"/>
  <c r="F207" i="21"/>
  <c r="F209" i="21" s="1"/>
  <c r="F201" i="21"/>
  <c r="F200" i="21"/>
  <c r="F202" i="21" s="1"/>
  <c r="F195" i="21"/>
  <c r="F194" i="21"/>
  <c r="F193" i="21"/>
  <c r="F192" i="21"/>
  <c r="F196" i="21" s="1"/>
  <c r="F186" i="21"/>
  <c r="F181" i="21"/>
  <c r="F175" i="21"/>
  <c r="F173" i="21"/>
  <c r="F176" i="21" s="1"/>
  <c r="F168" i="21"/>
  <c r="F163" i="21"/>
  <c r="F150" i="21"/>
  <c r="F140" i="21"/>
  <c r="F142" i="21" s="1"/>
  <c r="F131" i="21"/>
  <c r="F126" i="21"/>
  <c r="F120" i="21"/>
  <c r="F119" i="21"/>
  <c r="F118" i="21"/>
  <c r="F121" i="21" s="1"/>
  <c r="F112" i="21"/>
  <c r="F111" i="21"/>
  <c r="F110" i="21"/>
  <c r="F109" i="21"/>
  <c r="F103" i="21"/>
  <c r="F101" i="21"/>
  <c r="F99" i="21"/>
  <c r="F97" i="21"/>
  <c r="F95" i="21"/>
  <c r="F90" i="21"/>
  <c r="F82" i="21"/>
  <c r="F74" i="21"/>
  <c r="F69" i="21"/>
  <c r="F68" i="21"/>
  <c r="F67" i="21"/>
  <c r="F66" i="21"/>
  <c r="F65" i="21"/>
  <c r="F64" i="21"/>
  <c r="F63" i="21"/>
  <c r="F58" i="21"/>
  <c r="F55" i="21"/>
  <c r="F46" i="21"/>
  <c r="F43" i="21"/>
  <c r="F39" i="21"/>
  <c r="F38" i="21"/>
  <c r="F37" i="21"/>
  <c r="F31" i="21"/>
  <c r="F23" i="21"/>
  <c r="F22" i="21"/>
  <c r="F21" i="21"/>
  <c r="F20" i="21"/>
  <c r="F19" i="21"/>
  <c r="F18" i="21"/>
  <c r="F17" i="21"/>
  <c r="A8" i="21"/>
  <c r="F24" i="21" l="1"/>
  <c r="F104" i="21"/>
  <c r="F264" i="21"/>
  <c r="F40" i="21"/>
  <c r="F113" i="21"/>
  <c r="F308" i="21"/>
  <c r="F333" i="21"/>
  <c r="F70" i="21"/>
  <c r="F272" i="21"/>
  <c r="F287" i="21"/>
  <c r="A13" i="21"/>
  <c r="A16" i="21" l="1"/>
  <c r="A26" i="21" s="1"/>
  <c r="A36" i="21" l="1"/>
  <c r="A42" i="21" l="1"/>
  <c r="A45" i="21" l="1"/>
  <c r="A48" i="21" l="1"/>
  <c r="A52" i="21" l="1"/>
  <c r="A57" i="21" s="1"/>
  <c r="A60" i="21" l="1"/>
  <c r="A72" i="21" s="1"/>
  <c r="F324" i="20"/>
  <c r="F309" i="20"/>
  <c r="F307" i="20"/>
  <c r="F301" i="20"/>
  <c r="F298" i="20"/>
  <c r="F289" i="20"/>
  <c r="F269" i="20"/>
  <c r="F267" i="20"/>
  <c r="F249" i="20"/>
  <c r="F246" i="20"/>
  <c r="F250" i="20" s="1"/>
  <c r="F230" i="20"/>
  <c r="F214" i="20"/>
  <c r="F185" i="20"/>
  <c r="F176" i="20"/>
  <c r="F170" i="20"/>
  <c r="F162" i="20"/>
  <c r="F156" i="20"/>
  <c r="F149" i="20"/>
  <c r="F141" i="20"/>
  <c r="F136" i="20"/>
  <c r="F128" i="20"/>
  <c r="F126" i="20"/>
  <c r="F123" i="20"/>
  <c r="F103" i="20"/>
  <c r="F98" i="20"/>
  <c r="F93" i="20"/>
  <c r="F78" i="20"/>
  <c r="F63" i="20"/>
  <c r="F62" i="20"/>
  <c r="F61" i="20"/>
  <c r="F60" i="20"/>
  <c r="F59" i="20"/>
  <c r="F58" i="20"/>
  <c r="F57" i="20"/>
  <c r="F52" i="20"/>
  <c r="F44" i="20"/>
  <c r="F37" i="20"/>
  <c r="F31" i="20"/>
  <c r="F18" i="20"/>
  <c r="F20" i="20" s="1"/>
  <c r="F12" i="20"/>
  <c r="F11" i="20"/>
  <c r="F10" i="20"/>
  <c r="A8" i="20"/>
  <c r="F64" i="20" l="1"/>
  <c r="A79" i="21"/>
  <c r="A84" i="21" s="1"/>
  <c r="A87" i="21" s="1"/>
  <c r="F129" i="20"/>
  <c r="F302" i="20"/>
  <c r="F15" i="20"/>
  <c r="F130" i="20"/>
  <c r="F270" i="20"/>
  <c r="F310" i="20"/>
  <c r="A17" i="20"/>
  <c r="A92" i="21" l="1"/>
  <c r="A106" i="21" s="1"/>
  <c r="A115" i="21" s="1"/>
  <c r="A123" i="21" s="1"/>
  <c r="A128" i="21" s="1"/>
  <c r="A136" i="21" s="1"/>
  <c r="A144" i="21" s="1"/>
  <c r="A152" i="21" s="1"/>
  <c r="A160" i="21" s="1"/>
  <c r="A165" i="21" s="1"/>
  <c r="A170" i="21" s="1"/>
  <c r="A178" i="21" s="1"/>
  <c r="A183" i="21" s="1"/>
  <c r="A189" i="21" s="1"/>
  <c r="A198" i="21" s="1"/>
  <c r="A205" i="21" s="1"/>
  <c r="A212" i="21" s="1"/>
  <c r="A219" i="21" s="1"/>
  <c r="A222" i="21" s="1"/>
  <c r="A228" i="21" s="1"/>
  <c r="A232" i="21" s="1"/>
  <c r="A235" i="21" s="1"/>
  <c r="A244" i="21" s="1"/>
  <c r="A251" i="21" s="1"/>
  <c r="A258" i="21" s="1"/>
  <c r="A266" i="21" s="1"/>
  <c r="A274" i="21" s="1"/>
  <c r="A278" i="21" s="1"/>
  <c r="A283" i="21" s="1"/>
  <c r="A289" i="21" s="1"/>
  <c r="A296" i="21" s="1"/>
  <c r="A303" i="21" s="1"/>
  <c r="A310" i="21" s="1"/>
  <c r="A317" i="21" s="1"/>
  <c r="A327" i="21" s="1"/>
  <c r="A340" i="21" s="1"/>
  <c r="A348" i="21" s="1"/>
  <c r="A357" i="21" s="1"/>
  <c r="A22" i="20"/>
  <c r="A28" i="20" l="1"/>
  <c r="A33" i="20" l="1"/>
  <c r="A39" i="20"/>
  <c r="A46" i="20" s="1"/>
  <c r="A49" i="20" l="1"/>
  <c r="A55" i="20" l="1"/>
  <c r="A66" i="20" l="1"/>
  <c r="A80" i="20" s="1"/>
  <c r="A89" i="20" s="1"/>
  <c r="A95" i="20" s="1"/>
  <c r="A100" i="20" s="1"/>
  <c r="A105" i="20" s="1"/>
  <c r="A113" i="20" s="1"/>
  <c r="A118" i="20" s="1"/>
  <c r="A132" i="20" s="1"/>
  <c r="A138" i="20" l="1"/>
  <c r="A143" i="20" s="1"/>
  <c r="A151" i="20" s="1"/>
  <c r="A158" i="20" s="1"/>
  <c r="A164" i="20" s="1"/>
  <c r="A172" i="20" s="1"/>
  <c r="A178" i="20" s="1"/>
  <c r="A187" i="20" s="1"/>
  <c r="A191" i="20" s="1"/>
  <c r="A201" i="20" s="1"/>
  <c r="A206" i="20" s="1"/>
  <c r="A210" i="20" s="1"/>
  <c r="A216" i="20" s="1"/>
  <c r="A224" i="20" s="1"/>
  <c r="A235" i="20" s="1"/>
  <c r="A241" i="20" s="1"/>
  <c r="A252" i="20" s="1"/>
  <c r="A256" i="20" s="1"/>
  <c r="A264" i="20" s="1"/>
  <c r="A272" i="20" s="1"/>
  <c r="A277" i="20" s="1"/>
  <c r="A283" i="20" s="1"/>
  <c r="A294" i="20" s="1"/>
  <c r="A304" i="20" s="1"/>
  <c r="A312" i="20" s="1"/>
  <c r="A317" i="20" s="1"/>
  <c r="A329" i="20" s="1"/>
  <c r="A335" i="20" s="1"/>
  <c r="F225" i="18" l="1"/>
  <c r="F219" i="18"/>
  <c r="F171" i="18"/>
  <c r="F164" i="18"/>
  <c r="F131" i="18"/>
  <c r="F10" i="18"/>
  <c r="F12" i="18" s="1"/>
  <c r="F16" i="18"/>
  <c r="F18" i="18" s="1"/>
  <c r="F94" i="18"/>
  <c r="F11" i="18"/>
  <c r="F43" i="18"/>
  <c r="F42" i="18"/>
  <c r="F41" i="18"/>
  <c r="F40" i="18"/>
  <c r="F49" i="18"/>
  <c r="F213" i="18"/>
  <c r="F195" i="18"/>
  <c r="F197" i="18"/>
  <c r="F207" i="18"/>
  <c r="F95" i="18"/>
  <c r="F105" i="18"/>
  <c r="F136" i="18"/>
  <c r="F74" i="18"/>
  <c r="F69" i="18"/>
  <c r="F64" i="18"/>
  <c r="A8" i="18"/>
  <c r="A14" i="18" s="1"/>
  <c r="F96" i="18" l="1"/>
  <c r="F44" i="18"/>
  <c r="F198" i="18"/>
  <c r="A20" i="18"/>
  <c r="A26" i="18" l="1"/>
  <c r="A30" i="18" s="1"/>
  <c r="A34" i="18" l="1"/>
  <c r="A37" i="18" s="1"/>
  <c r="A46" i="18" l="1"/>
  <c r="A51" i="18" s="1"/>
  <c r="A60" i="18" l="1"/>
  <c r="A66" i="18" s="1"/>
  <c r="A71" i="18" l="1"/>
  <c r="A76" i="18" s="1"/>
  <c r="A84" i="18" l="1"/>
  <c r="A89" i="18" s="1"/>
  <c r="A98" i="18" l="1"/>
  <c r="A107" i="18" s="1"/>
  <c r="A111" i="18" l="1"/>
  <c r="A121" i="18" l="1"/>
  <c r="A126" i="18" s="1"/>
  <c r="A133" i="18" l="1"/>
  <c r="A142" i="18" s="1"/>
  <c r="A148" i="18" s="1"/>
  <c r="A152" i="18" s="1"/>
  <c r="A159" i="18" s="1"/>
  <c r="A166" i="18" s="1"/>
  <c r="A173" i="18" s="1"/>
  <c r="A177" i="18" s="1"/>
  <c r="A182" i="18" s="1"/>
  <c r="A192" i="18" s="1"/>
  <c r="A200" i="18" s="1"/>
  <c r="A205" i="18" s="1"/>
  <c r="A209" i="18" s="1"/>
  <c r="A215" i="18" s="1"/>
  <c r="A221" i="18" s="1"/>
  <c r="A230" i="18" s="1"/>
  <c r="A48" i="22"/>
  <c r="A56" i="22" l="1"/>
  <c r="A63" i="22" l="1"/>
  <c r="A69" i="22" s="1"/>
  <c r="A75" i="22" s="1"/>
  <c r="A79" i="22" l="1"/>
  <c r="A83" i="22" s="1"/>
</calcChain>
</file>

<file path=xl/sharedStrings.xml><?xml version="1.0" encoding="utf-8"?>
<sst xmlns="http://schemas.openxmlformats.org/spreadsheetml/2006/main" count="1471" uniqueCount="790">
  <si>
    <t>t</t>
  </si>
  <si>
    <t>m2</t>
  </si>
  <si>
    <t>Konštrukcie z hornín - násypy so zhutnením zo zemín nesúdržných</t>
  </si>
  <si>
    <t>0104020202</t>
  </si>
  <si>
    <t>Konštrukcie z hornín - násypy so zhutnením</t>
  </si>
  <si>
    <t>m</t>
  </si>
  <si>
    <t>01040202</t>
  </si>
  <si>
    <t>m3</t>
  </si>
  <si>
    <t>ČASŤ STAVBY :</t>
  </si>
  <si>
    <t>KS:</t>
  </si>
  <si>
    <t>POLOŽKA</t>
  </si>
  <si>
    <t>VÝKAZ VÝMER</t>
  </si>
  <si>
    <t>M.J.</t>
  </si>
  <si>
    <t>MNOŽ.</t>
  </si>
  <si>
    <t>Č.</t>
  </si>
  <si>
    <t>KÓD SP</t>
  </si>
  <si>
    <t>KÓD SPP</t>
  </si>
  <si>
    <t>KÓD CPV</t>
  </si>
  <si>
    <t>45.00.00</t>
  </si>
  <si>
    <t>45.11.11</t>
  </si>
  <si>
    <t>Všeobecné položky v procese obstarávania stavieb</t>
  </si>
  <si>
    <t>00010401</t>
  </si>
  <si>
    <t>Zmluvné požiadavky poplatky za skládky vybúraných hmôt a sutí</t>
  </si>
  <si>
    <t>00010402</t>
  </si>
  <si>
    <t>Zmluvné požiadavky poplatky za zemník</t>
  </si>
  <si>
    <t>00010403</t>
  </si>
  <si>
    <t>Zmluvné požiadavky poplatky za skládky zeminy</t>
  </si>
  <si>
    <t>Demolačné práce</t>
  </si>
  <si>
    <t>05030264</t>
  </si>
  <si>
    <t>Odstránenie spevnených plôch vozoviek a doplňujúcich konštrukcií podkladov z kameniva hrubého drveného</t>
  </si>
  <si>
    <t>0503026402</t>
  </si>
  <si>
    <t>Odstránenie spevnených plôch vozoviek a doplňujúcich konštrukcií podkladov z kameniva hrubého drveného hr. nad 100 do 200 mm</t>
  </si>
  <si>
    <t>05030407</t>
  </si>
  <si>
    <t>Odstránenie spevnených plôch vozoviek a doplňujúcich konštrukcií zvodidiel, zábradlia, stien, oplotení kovových</t>
  </si>
  <si>
    <t>05080200</t>
  </si>
  <si>
    <t>Doprava vybúraných hmôt vodorovná</t>
  </si>
  <si>
    <t>0508020003</t>
  </si>
  <si>
    <t>Doprava vybúraných hmôt vodorovná, nad 1 km</t>
  </si>
  <si>
    <t>05090362</t>
  </si>
  <si>
    <t>Doplňujúce práce, frézovanie bitúmenového krytu, podkladu</t>
  </si>
  <si>
    <t>05090462</t>
  </si>
  <si>
    <t>Doplňujúce práce, diamantové rezanie bitúmenového krytu, podkladu</t>
  </si>
  <si>
    <t>0509046201</t>
  </si>
  <si>
    <t>Doplňujúce práce, diamantové rezanie bitúmenového krytu, podkladu hr. do 50 mm</t>
  </si>
  <si>
    <t xml:space="preserve">45.11.12 </t>
  </si>
  <si>
    <t>Úprava staveniska a vyčisťovacie práce</t>
  </si>
  <si>
    <t>01010104</t>
  </si>
  <si>
    <t>Pripravné práce, odstránenie porastov mačiny</t>
  </si>
  <si>
    <t>0101010401</t>
  </si>
  <si>
    <t>Pripravné práce, odstránenie porastov mačiny hr. do 100 mm</t>
  </si>
  <si>
    <t>01040100</t>
  </si>
  <si>
    <t>Konštrukcie z hornín - skládky</t>
  </si>
  <si>
    <t>0104010007</t>
  </si>
  <si>
    <t>Konštrukcie z hornín - skládky  tr.horniny 1-4</t>
  </si>
  <si>
    <t>01060204</t>
  </si>
  <si>
    <t>Premiestnenie  vodorovné nad 3 000 m</t>
  </si>
  <si>
    <t>0106020401</t>
  </si>
  <si>
    <t>Premiestnenie  výkopku resp. rúbaniny, vodorovné nad 3 000 m, tr. horniny 1-4</t>
  </si>
  <si>
    <t>01060600</t>
  </si>
  <si>
    <t>Premiestnenie  prehodením</t>
  </si>
  <si>
    <t>0106060007</t>
  </si>
  <si>
    <t>Premiestnenie  výkopku resp. rúbaniny prehodením,  tr. horniny 1-4</t>
  </si>
  <si>
    <t>01060700</t>
  </si>
  <si>
    <t>Premiestnenie  - nakladanie, prekladanie, vykladanie</t>
  </si>
  <si>
    <t>0106070007</t>
  </si>
  <si>
    <t>Premiestnenie  výkopku resp. rúbaniny - nakladanie, prekladanie, vykladanie,  tr. horniny 1-4</t>
  </si>
  <si>
    <t>01080102</t>
  </si>
  <si>
    <t>Povrchové úpravy terénu, úprava pláne so  zhutnením v násypoch</t>
  </si>
  <si>
    <t>0108010201</t>
  </si>
  <si>
    <t>Povrchové úpravy terénu, úprava pláne so  zhutnením v násypoch, tr.horniny 1-4</t>
  </si>
  <si>
    <t>01080300</t>
  </si>
  <si>
    <t>Povrchové úpravy terénu, úprava podložia</t>
  </si>
  <si>
    <t>0108030001</t>
  </si>
  <si>
    <t>Povrchové úpravy terénu, úprava podložia,  tr.horniny 1-4</t>
  </si>
  <si>
    <t>01020400</t>
  </si>
  <si>
    <t>Odkopávky a prekopávky komunikácií,železníc,plôch</t>
  </si>
  <si>
    <t>0102040007</t>
  </si>
  <si>
    <t>Odkopávky a prekopávky komunikácií,železníc,plôch, tr.horniny 1-4</t>
  </si>
  <si>
    <t>01080402</t>
  </si>
  <si>
    <t>Povrchové úpravy terénu, svahovanie v násypoch</t>
  </si>
  <si>
    <t>0108040201</t>
  </si>
  <si>
    <t>Povrchové úpravy terénu, svahovanie v násypoch, tr.horniny 1-4</t>
  </si>
  <si>
    <t xml:space="preserve">45.11.24 </t>
  </si>
  <si>
    <t>Výkopové práce</t>
  </si>
  <si>
    <t>45.11.25</t>
  </si>
  <si>
    <t>Presun zemín</t>
  </si>
  <si>
    <t>Doplňujúce konštrukcie, zvodidlá oceľové</t>
  </si>
  <si>
    <t>22010104</t>
  </si>
  <si>
    <t>Podkladné a krycie vrstvy bez spojiva nestmelené, štrkodrva</t>
  </si>
  <si>
    <t>22010201</t>
  </si>
  <si>
    <t>Podkladné a krycie vrstvy bez spojiva, spevnenie krajníc zo zeminy</t>
  </si>
  <si>
    <t>2201020101</t>
  </si>
  <si>
    <t>Podkladné a krycie vrstvy bez spojiva, spevnenie krajníc zo zeminy so zhutnením</t>
  </si>
  <si>
    <t>22030329</t>
  </si>
  <si>
    <t>2203032903</t>
  </si>
  <si>
    <t>22030330</t>
  </si>
  <si>
    <t>Podkladné a krycie vrstvy z asfaltových zmesí, bitúmenové postreky, nátery, posypy spojovací postrek</t>
  </si>
  <si>
    <t>22030640</t>
  </si>
  <si>
    <t>Podkladné a krycie vrstvy z asfaltových zmesí, bitúmenové vrstvy, asfaltový betón</t>
  </si>
  <si>
    <t>22250362</t>
  </si>
  <si>
    <t>2225036201</t>
  </si>
  <si>
    <t>Doplňujúce konštrukcie, zvodidlá oceľové s jednou zvodnicou</t>
  </si>
  <si>
    <t>45.23.32</t>
  </si>
  <si>
    <t>Práce na vrchnej stavbe diaľníc, ciest, ulíc, chodníkov a nekrytých parkovísk</t>
  </si>
  <si>
    <t>45.23.33</t>
  </si>
  <si>
    <t>Podkladné a krycie vrstvy z asfaltových zmesí, bitúmenové postreky, nátery,posypy infiltračný postrek</t>
  </si>
  <si>
    <t>Podkladné a krycie vrstvy z asfaltových zmesí, bitúmenové postreky, nátery,posypy infiltračný postrek z emulzie</t>
  </si>
  <si>
    <t>Práce na spodnej stavby diaľnic, ciest, ulíc a chodníkov a nekrytých parkovísk</t>
  </si>
  <si>
    <t>oceľové zvodidlo</t>
  </si>
  <si>
    <t>odtrávnenie hr.150mm</t>
  </si>
  <si>
    <t>(mimo plôch odhumusovania)</t>
  </si>
  <si>
    <t>uloženie odtrávnenia na skládku</t>
  </si>
  <si>
    <t>(digitálne z priečnych rezov, planimetrovaním)</t>
  </si>
  <si>
    <t>úprava konš.pláne .....v násype</t>
  </si>
  <si>
    <t>zhutnenie podložia pod násypom</t>
  </si>
  <si>
    <t>úprava svahov násypu do požadovaného sklonu</t>
  </si>
  <si>
    <t>vozovka</t>
  </si>
  <si>
    <t>dosypanie krajníc nezamŕzavým materiálom Id 0,9 ( materiál zo zemníka)</t>
  </si>
  <si>
    <t>02010553</t>
  </si>
  <si>
    <t>Zlepšovanie základovej pôdy, drenážne vrstvy z geosyntetického materiálu</t>
  </si>
  <si>
    <t>0201055301</t>
  </si>
  <si>
    <t>Zlepšovanie základovej pôdy, drenážne vrstvy z geosyntetického materiálu - geotextílií</t>
  </si>
  <si>
    <t>45.26.22</t>
  </si>
  <si>
    <t>Základové práce a vŕtanie vodných studní</t>
  </si>
  <si>
    <t>premiestnenie otrávnenia</t>
  </si>
  <si>
    <t>vozovka vjazdy</t>
  </si>
  <si>
    <t>PS , CB 0,50 kg/m2</t>
  </si>
  <si>
    <t>2203064002</t>
  </si>
  <si>
    <t>Podkladné a krycie vrstvy z asfaltových zmesí, bitúmenové vrstvy, asfaltový betón  triedy II</t>
  </si>
  <si>
    <t>2203033003</t>
  </si>
  <si>
    <t>Podkladné a krycie vrstvy z asfaltových zmesí, bitúmenové postreky, nátery, posypy spojovací postrek z emulzie</t>
  </si>
  <si>
    <t>ošetrenie na skládke...1x</t>
  </si>
  <si>
    <t>dosypov sklon do 10% (priekopa)</t>
  </si>
  <si>
    <t>úprava podložia</t>
  </si>
  <si>
    <t xml:space="preserve"> netkaná separačná  geotextília v mieste výmeny podložia</t>
  </si>
  <si>
    <t>spojovací postrek katiónaktívny emulzný</t>
  </si>
  <si>
    <t xml:space="preserve">vozovka </t>
  </si>
  <si>
    <t>ACo 11-II hr.50mm</t>
  </si>
  <si>
    <t>asfaltový betón pre obrusnú vrstvu</t>
  </si>
  <si>
    <t>0509036204</t>
  </si>
  <si>
    <t>Doplňujúce práce, frézovanie bitúmenového krytu, podkladu hr. 50 mm</t>
  </si>
  <si>
    <t>frézovanie živíc hr.50mm</t>
  </si>
  <si>
    <t>zriadenie obchádzky ....napojenie na jestvujúcu cestu</t>
  </si>
  <si>
    <t>zarezanie hĺ.25mm, š.6mm</t>
  </si>
  <si>
    <t>01060203</t>
  </si>
  <si>
    <t>Premiestnenie  vodorovné do 3 000 m</t>
  </si>
  <si>
    <t>0106020301</t>
  </si>
  <si>
    <t>Premiestnenie  výkopku resp. rúbaniny vodorovné do 3 000 m, tr. horniny 1-4</t>
  </si>
  <si>
    <t>24,2m3/0,15m=161,333m2*2</t>
  </si>
  <si>
    <t>161,333m2*0,15m</t>
  </si>
  <si>
    <t>24,2m3</t>
  </si>
  <si>
    <t>01080501</t>
  </si>
  <si>
    <t>Povrchové úpravy terénu, úpravy povrchov rozprestretím ornice</t>
  </si>
  <si>
    <t>0108050101</t>
  </si>
  <si>
    <t>Povrchové úpravy terénu, úpravy povrchov rozprestretím ornice na rovine</t>
  </si>
  <si>
    <t>0108050102</t>
  </si>
  <si>
    <t>Povrchové úpravy terénu, úpravy povrchov rozprestretím ornice na svahu</t>
  </si>
  <si>
    <t>01080503</t>
  </si>
  <si>
    <t>Povrchové úpravy terénu, úpravy povrchov založením trávnika hydroosevom</t>
  </si>
  <si>
    <t>0108050301</t>
  </si>
  <si>
    <t>Povrchové úpravy terénu, úpravy povrchov založením trávnika hydroosevom na ornicu</t>
  </si>
  <si>
    <t>45.11.27</t>
  </si>
  <si>
    <t>Terénne úpravy</t>
  </si>
  <si>
    <t>01080811</t>
  </si>
  <si>
    <t>Povrchové úpravy terénu, sadenie, presádzanie, ošetrovanie, ochrana trávnika</t>
  </si>
  <si>
    <t>0108081102</t>
  </si>
  <si>
    <t>Povrchové úpravy terénu, sadenie, presádzanie, ošetrovanie, ochrana trávnika na svahu</t>
  </si>
  <si>
    <t>dosypy.....355,5m2</t>
  </si>
  <si>
    <t>270,4m2</t>
  </si>
  <si>
    <t>svahy cest. telesa ......270,4m2</t>
  </si>
  <si>
    <t>naloženie humusu z medziskládky na spätné zahumusovanie</t>
  </si>
  <si>
    <t>270,4m2*0,2m+355,5m2*0,3m</t>
  </si>
  <si>
    <t>dovoz ornice z medziskládky...</t>
  </si>
  <si>
    <t>(143,1m3 z odhumusovania obj.121-00,17,63m3 z odtrávnenia obj.121-00)</t>
  </si>
  <si>
    <t>plocha násypových svahov v sklone ....1:2 (1:1,5)</t>
  </si>
  <si>
    <t>355,5m2</t>
  </si>
  <si>
    <t>405,6m2</t>
  </si>
  <si>
    <t>424,9m2</t>
  </si>
  <si>
    <t>aktívna zóna hr.500mm........436m*0,5m</t>
  </si>
  <si>
    <t>výkop............nevhodná do násypu</t>
  </si>
  <si>
    <t>26,1m3</t>
  </si>
  <si>
    <t>22010204</t>
  </si>
  <si>
    <t>Podkladné a krycie vrstvy bez spojiva, spevnenie krajníc, štrkodrva</t>
  </si>
  <si>
    <t>spevnenie krajníc zo ŠD 16/32, hr.100mm</t>
  </si>
  <si>
    <t>164,9m2*0,1m</t>
  </si>
  <si>
    <t>oceľ. zvodidlo metalizované s úrovňou zachytenia H1</t>
  </si>
  <si>
    <t>96m</t>
  </si>
  <si>
    <t>22251161</t>
  </si>
  <si>
    <t>Doplňujúce konštrukcie,  otvorené žľaby z betónových tvárnic</t>
  </si>
  <si>
    <t>2225116102</t>
  </si>
  <si>
    <t>Doplňujúce konštrukcie,  otvorené žľaby z betónových tvárnic š. nad 500 mm</t>
  </si>
  <si>
    <t>dláždená priekopa š.600mm</t>
  </si>
  <si>
    <t xml:space="preserve"> vrátane podkladného betónu</t>
  </si>
  <si>
    <t>19,5m</t>
  </si>
  <si>
    <t>C12/15-XO hr.100mm</t>
  </si>
  <si>
    <t>ŠD 31,5 Gc  hr.200mm</t>
  </si>
  <si>
    <t>ŠD 31,5 Gc  hr.150mm...pod krajnicami</t>
  </si>
  <si>
    <t>83,8m2*0,150 m</t>
  </si>
  <si>
    <t>232,5m2*0,200 m</t>
  </si>
  <si>
    <t>infiltračný postrek katiónaktívny emulzný PI CB, 1,5kg/m2</t>
  </si>
  <si>
    <t>22020421</t>
  </si>
  <si>
    <t>Podkladné a krycie vrstvy s hydraulickým spojivom, cementobetónové jednovrstvové, kamenivo spevnené cementom</t>
  </si>
  <si>
    <t>2202042102</t>
  </si>
  <si>
    <t>Podkladné a krycie vrstvy s hydraulickým spojivom, cementobetónové jednovrstvové, kamenivo spevnené cementom KZC II</t>
  </si>
  <si>
    <t>CBGM C 5/6 hr.180mm</t>
  </si>
  <si>
    <t>214,4m2*0,180m</t>
  </si>
  <si>
    <t>22030539</t>
  </si>
  <si>
    <t>Podkladné a krycie vrstvy z asfaltových zmesí s bitúmenovým spojivom, kamenivo obaľované asfaltom</t>
  </si>
  <si>
    <t>2203053902</t>
  </si>
  <si>
    <t>Podkladné a krycie vrstvy z asfaltových zmesí s bitúmenovým spojivom, kamenivo obaľované asfaltom triedy II</t>
  </si>
  <si>
    <t>asfaltový betón pre hornú podkladnú vrstvu  ACp 16-II hr. 70mm</t>
  </si>
  <si>
    <t>10,1m</t>
  </si>
  <si>
    <t>196m2+196m2</t>
  </si>
  <si>
    <t>05030262</t>
  </si>
  <si>
    <t>Odstránenie spevnených plôch vozoviek a doplňujúcich konštrukcií podkladov bitúmenových</t>
  </si>
  <si>
    <t>0503026201</t>
  </si>
  <si>
    <t>Odstránenie spevnených plôch vozoviek a doplňujúcich konštrukcií podkladov bitúmenových hr.do 100 mm</t>
  </si>
  <si>
    <t>búranie bitúmenov hr.100mm</t>
  </si>
  <si>
    <t xml:space="preserve"> búranie podkladných vrstiev ŠD....hr.200mm......</t>
  </si>
  <si>
    <t xml:space="preserve"> </t>
  </si>
  <si>
    <t>frézovaný materiál.....392m2*0,127t/m2</t>
  </si>
  <si>
    <t>vybúrané bitúmeny......196m2*0,181t/m2</t>
  </si>
  <si>
    <t>podklad ŠD................196m2*0,235t/m2</t>
  </si>
  <si>
    <t>oceľové zvodidlo..........16m*0,042t/m2</t>
  </si>
  <si>
    <t>nevhodná zemina z výkopu</t>
  </si>
  <si>
    <t>chýbajúca zemina do dosypania krajníc zo zemníka</t>
  </si>
  <si>
    <t>chýbajúca do násypu</t>
  </si>
  <si>
    <t>chýbajúca do dosypu</t>
  </si>
  <si>
    <t>zemina zo zemníka</t>
  </si>
  <si>
    <t>spolu</t>
  </si>
  <si>
    <t>chýbajúca zemina do násypu, dosypu a aktívnej zóny</t>
  </si>
  <si>
    <t>6,8+79,7+218</t>
  </si>
  <si>
    <t>237,90m2-(6,5*5,1)m2(vozovka na moste 204-00)</t>
  </si>
  <si>
    <t>231m2*0,05m-(6,5*5,1)m2*0,05m(vozovka na moste 204-00)</t>
  </si>
  <si>
    <t>214,4m2-(6,5*5,1)m2(vozovka na moste 204-00)</t>
  </si>
  <si>
    <t>237,9m2*0,07m-(6,5*5,1)m2*0,07m(vozovka na moste 204-00)</t>
  </si>
  <si>
    <t>22040852</t>
  </si>
  <si>
    <t>2204085201</t>
  </si>
  <si>
    <t>trvale pružná asfaltová zálievka s predtesnením  ....10,1m</t>
  </si>
  <si>
    <t>120-00  Úprava cesty III/2610 po rekonštrukcii mosta ev.č.2610-12 Čeláre - Kirť</t>
  </si>
  <si>
    <t>vybúrané hmoty</t>
  </si>
  <si>
    <t xml:space="preserve">odvoz na skládku.... nevhodnej do násypu </t>
  </si>
  <si>
    <t xml:space="preserve">dovoz chýbajúcej zeminy do násypu a dosypu zo zemníka </t>
  </si>
  <si>
    <t>dovoz chýbajúcej zeminy do dosypania krajníc zo zemníka</t>
  </si>
  <si>
    <t>Kryty dláždené,chodníkov komunikácií,rigolov - úprava škár pri opravách a vyplnenie škár elastickou zálievkou</t>
  </si>
  <si>
    <t>Kryty dláždené,chodníkov komunikácií,rigolov - úprava škár pri opravách a vyplnenie škár elastickou zálievkou s predtesnením</t>
  </si>
  <si>
    <t>121-00  Obchádzková komunikácia pre rekonštrukciu mosta ev. č. 2610-12 Čeláre - Kirť</t>
  </si>
  <si>
    <t>vybúrané hmoty a sute na skládku</t>
  </si>
  <si>
    <t>betónové prahy.....2,94m3*2,2t/m3</t>
  </si>
  <si>
    <t xml:space="preserve">   ŠD...................552,4m2*0,235t/m2</t>
  </si>
  <si>
    <t>lomový kameň..............125,06m3*2,6t/m3</t>
  </si>
  <si>
    <t>chýbajúca do dosypania krajníc</t>
  </si>
  <si>
    <t>nevhodná zemina z výmeny podložia</t>
  </si>
  <si>
    <t>05010104</t>
  </si>
  <si>
    <t>Búranie konštrukcií základov, betónových</t>
  </si>
  <si>
    <t xml:space="preserve">zrušenie obchádzky </t>
  </si>
  <si>
    <t>betónové prahy priepustov</t>
  </si>
  <si>
    <t>1,15*2+0,32*2</t>
  </si>
  <si>
    <t>05021002</t>
  </si>
  <si>
    <t>Vybúranie konštrukcií a demontáže, vonkajších potrubí ostatných kanalizačných</t>
  </si>
  <si>
    <t>0502100203</t>
  </si>
  <si>
    <t>Vybúranie konštrukcií a demontáže, vonkajších potrubí ostatných kanalizačných z plastových rúr</t>
  </si>
  <si>
    <t>odstránenie rúr priepustov PE-HD/PP DN1600</t>
  </si>
  <si>
    <t>15,3+15,5</t>
  </si>
  <si>
    <t>zrušenie obchádzky (konštrukčné vrstvy vozovky)</t>
  </si>
  <si>
    <t xml:space="preserve"> ŠD....hr.150mm......262,4m2</t>
  </si>
  <si>
    <t xml:space="preserve"> ŠD....hr.200mm......290m2</t>
  </si>
  <si>
    <t>05040102</t>
  </si>
  <si>
    <t>Odstránenie konštrukcií vodných korýt a vo vodných tokoch, dlažieb včítane podkladov, z lomového kameňa</t>
  </si>
  <si>
    <t>zrušenie obchádzky</t>
  </si>
  <si>
    <t>lomový kameň pod priepustom, na toku a čelách</t>
  </si>
  <si>
    <t>95m3+71,9*0,3m3+28,3*0,3m3</t>
  </si>
  <si>
    <t>rúry priepustu.......30,80m*0,239 t/m</t>
  </si>
  <si>
    <t>oceľové zvodidlo..........124m*0,042t/m</t>
  </si>
  <si>
    <t>frézovaný materiál hr.30mm.........242,30m2*0,076t/m2</t>
  </si>
  <si>
    <t>frézovaný materiál hr.50mm........494,20m2*0,127t/m2</t>
  </si>
  <si>
    <t>0509036202</t>
  </si>
  <si>
    <t>Doplňujúce práce, frézovanie bitúmenového krytu, podkladu hr. 30 mm</t>
  </si>
  <si>
    <t>zrušenie obchádzky (živica hr.80mm)</t>
  </si>
  <si>
    <t>frézovanie živíc hr.30mm</t>
  </si>
  <si>
    <t>242,30m2</t>
  </si>
  <si>
    <t>17,6m2</t>
  </si>
  <si>
    <t>zrušenie obchádzky (živica hr.50mm)</t>
  </si>
  <si>
    <t>frézovanie živíc .......234,3m2</t>
  </si>
  <si>
    <t>frézovanie živíc .......242,3m2</t>
  </si>
  <si>
    <t>37,1m</t>
  </si>
  <si>
    <t>52,6m3/0,15m=350,666m2*2</t>
  </si>
  <si>
    <t>350,666m2*0,15m</t>
  </si>
  <si>
    <t>52,6m3</t>
  </si>
  <si>
    <t>01020101</t>
  </si>
  <si>
    <t>Odkopávky a prekopávky humóznej vrstvy ornice</t>
  </si>
  <si>
    <t>0102010101</t>
  </si>
  <si>
    <t>Odkopávky a prekopávky humóznej vrstvy ornice tr. horniny 1-2</t>
  </si>
  <si>
    <t>zobratie ornice v hrúbke podľa pedologického prieskumu:</t>
  </si>
  <si>
    <t>hr.300mm</t>
  </si>
  <si>
    <t>výkop............</t>
  </si>
  <si>
    <t>výkop pre výmenu podložia.......nevhodná zemina</t>
  </si>
  <si>
    <t>zrušenie obchádzky (odstránenie násypu, sanačnej vrstvy, dosypania krajníc)</t>
  </si>
  <si>
    <t>vrátane odstránenia separačnej geotextílie 656m2</t>
  </si>
  <si>
    <t>241,1+207,5+91,8</t>
  </si>
  <si>
    <t>zrušenie obchádzky (odstránenie obsypu a podkladného lôžka priepustov)</t>
  </si>
  <si>
    <t>14,6+14,7+72+72</t>
  </si>
  <si>
    <t>01030101</t>
  </si>
  <si>
    <t>Hĺbené vykopávky jám zapažených</t>
  </si>
  <si>
    <t>0103010107</t>
  </si>
  <si>
    <t>Hĺbené vykopávky jám zapažených, tr. horniny 1-4</t>
  </si>
  <si>
    <t>rúrový priepust km 0,04442</t>
  </si>
  <si>
    <t>01030102</t>
  </si>
  <si>
    <t>Hĺbené vykopávky jám nezapažených</t>
  </si>
  <si>
    <t>0103010207</t>
  </si>
  <si>
    <t>Hĺbené vykopávky jám nezapažených, tr. horniny 1-4</t>
  </si>
  <si>
    <t>rúrový priepust km 0,05070</t>
  </si>
  <si>
    <t>59,8+7,9</t>
  </si>
  <si>
    <t>01030201</t>
  </si>
  <si>
    <t>Hĺbené vykopávky rýh š. do 600 mm</t>
  </si>
  <si>
    <t>0103020107</t>
  </si>
  <si>
    <t>Hĺbené vykopávky rýh š. do 600 mm, tr. horniny 1-4</t>
  </si>
  <si>
    <t>rúrový priepust km 0,05070 (výkop prahy)</t>
  </si>
  <si>
    <t>1,5m3</t>
  </si>
  <si>
    <t>rúrový priepust km 0,04442 (výkop prahy)</t>
  </si>
  <si>
    <t>0104020201</t>
  </si>
  <si>
    <t>Konštrukcie z hornín - násypy so zhutnením zo zemín súdržných</t>
  </si>
  <si>
    <t>násyp zo zeminy z výkopu</t>
  </si>
  <si>
    <t>celkový násyp....261,5m3</t>
  </si>
  <si>
    <t>chýbajúca do násypu zo zemníka...261,5m3-2,4m3</t>
  </si>
  <si>
    <t>01040402</t>
  </si>
  <si>
    <t>Konštrukcie z hornín - zásypy so zhutnením</t>
  </si>
  <si>
    <t>0104040207</t>
  </si>
  <si>
    <t>Konštrukcie z hornín - zásypy so zhutnením, tr. horniny 1-4</t>
  </si>
  <si>
    <t>zásyp po zrušení priepustov</t>
  </si>
  <si>
    <t>59,8+92,8+7,9+1,5+1,5</t>
  </si>
  <si>
    <t>01040502</t>
  </si>
  <si>
    <t>Konštrukcie z hornín - obsypy so zhutnením</t>
  </si>
  <si>
    <t>0104050203</t>
  </si>
  <si>
    <t>Konštrukcie z hornín - obsypy so zhutnením, tr.horniny 4</t>
  </si>
  <si>
    <t>obsyp rúry nesúdržným materiálom fr.do 20mm (ručné zhutnenie)</t>
  </si>
  <si>
    <t>01070101</t>
  </si>
  <si>
    <t>Paženie, resp.zaistenie výrubu v podzemí vykopávok príložné</t>
  </si>
  <si>
    <t>0107010100</t>
  </si>
  <si>
    <t>Paženie, resp.zaistenie výrubu v podzemí vykopávok príložné, z dielcov bez ohľadu na materiál</t>
  </si>
  <si>
    <t>dočasné paženie výšky 2,8 m</t>
  </si>
  <si>
    <t>8m*2,8m</t>
  </si>
  <si>
    <t>7,7m2</t>
  </si>
  <si>
    <t>469,7m2</t>
  </si>
  <si>
    <t>plocha násypových svahov v sklone ....1:2 (1:1,75)</t>
  </si>
  <si>
    <t>352,60m2</t>
  </si>
  <si>
    <t>uloženie na medziskládku</t>
  </si>
  <si>
    <t>ornica z odhumusovania</t>
  </si>
  <si>
    <t>odvoz ornice na medziskládku...</t>
  </si>
  <si>
    <t>dovoz chýbajúcej zeminy do násypu zo zemníka</t>
  </si>
  <si>
    <t>naloženie humusu z hromád pre odvoz na medziskládku</t>
  </si>
  <si>
    <t>143,1m3</t>
  </si>
  <si>
    <t>45.23.13</t>
  </si>
  <si>
    <t>Práce na stavbe miestnych potrubných vedení vody a kanalizácie</t>
  </si>
  <si>
    <t>27201391</t>
  </si>
  <si>
    <t>Podkladné konštrukcie pod potrubie, šachty, stoky atď., štrkopieskom</t>
  </si>
  <si>
    <t>podkladné lôžko hr.300mm ŠD fr.do 20mm</t>
  </si>
  <si>
    <t xml:space="preserve">rúrový priepust km 0,05070 </t>
  </si>
  <si>
    <t>14,6m3</t>
  </si>
  <si>
    <t xml:space="preserve">rúrový priepust km 0,04442 </t>
  </si>
  <si>
    <t>14,7m3</t>
  </si>
  <si>
    <t>251,9m2*0,05m</t>
  </si>
  <si>
    <t>asfaltový betón pre ložnú vrstvu</t>
  </si>
  <si>
    <r>
      <t>AC</t>
    </r>
    <r>
      <rPr>
        <i/>
        <sz val="8"/>
        <rFont val="Arial CE"/>
        <family val="2"/>
        <charset val="238"/>
      </rPr>
      <t>L</t>
    </r>
    <r>
      <rPr>
        <i/>
        <sz val="10"/>
        <rFont val="Arial CE"/>
        <family val="2"/>
        <charset val="238"/>
      </rPr>
      <t xml:space="preserve"> 16-II hr.80mm</t>
    </r>
  </si>
  <si>
    <t>242,3m2*0,08m</t>
  </si>
  <si>
    <t>trvale pružná asfaltová zálievka s predtesnením  ....37,1m</t>
  </si>
  <si>
    <t>oceľ. zvodidlo metalizované s úrovňou zachytenia N2</t>
  </si>
  <si>
    <t>124m</t>
  </si>
  <si>
    <t>ŠD 31,5 Gc  hr.150mm</t>
  </si>
  <si>
    <t>262,4m2*0,150 m</t>
  </si>
  <si>
    <t>ŠD 63 Gc  hr.200mm</t>
  </si>
  <si>
    <t>290m2*0,200 m</t>
  </si>
  <si>
    <t>91,8m3</t>
  </si>
  <si>
    <t>infiltračný postrek katiónaktívny emulzný PI CB, 0,7kg/m2</t>
  </si>
  <si>
    <t>262,4m2</t>
  </si>
  <si>
    <t>22251384</t>
  </si>
  <si>
    <t>Doplňujúce konštrukcie,  priepusty, hospodárske prejazdy z rúr plastových</t>
  </si>
  <si>
    <t>2225138402</t>
  </si>
  <si>
    <t>Doplňujúce konštrukcie,  priepusty, hospodárske prejazdy z rúr plastových DN nad 600 mm do 1600 mm</t>
  </si>
  <si>
    <t xml:space="preserve">PE-HD/PP DN1600 SN8 </t>
  </si>
  <si>
    <t>45.24.70</t>
  </si>
  <si>
    <t>Práce na hrubej stavbe úprav tokov, hrádzí, zavlažovacích kanálov a akvaduktov</t>
  </si>
  <si>
    <t>11200101</t>
  </si>
  <si>
    <t>Podkladné konštrukcie, podkladné vrstvy, z betónu prostého</t>
  </si>
  <si>
    <t>1120010103</t>
  </si>
  <si>
    <t>Podkladné konštrukcie, podkladné vrstvy z betónu prostého, tr. C 12/15 (B 15)</t>
  </si>
  <si>
    <t>podkladný betón bet. prahy  C12/15, hr.100mm</t>
  </si>
  <si>
    <t>2*2*0,08</t>
  </si>
  <si>
    <t>11200201</t>
  </si>
  <si>
    <t>Podkladné konštrukcie, tesniace vrstvy, prahy, z betónu prostého</t>
  </si>
  <si>
    <t>1120020107</t>
  </si>
  <si>
    <t>Podkladné konštrukcie, tesniace vrstvy, prahy z betónu prostého, tr. C 30/37 (B 35)</t>
  </si>
  <si>
    <t>betónové prahy.....2*(0,8*0,4*1,8)</t>
  </si>
  <si>
    <t>31210203</t>
  </si>
  <si>
    <t>Spevnené plochy, rovnaniny z lomového kameňa</t>
  </si>
  <si>
    <t>3121020301</t>
  </si>
  <si>
    <t>Spevnené plochy, rovnaniny z lomového kameňa do 80 kg</t>
  </si>
  <si>
    <t xml:space="preserve">  lomový kameň pod priepust  (hmotnosti do 80kg)...hr.500mm.......95m3</t>
  </si>
  <si>
    <t>31210303</t>
  </si>
  <si>
    <t>Spevnené plochy, dlažby z  lomového  kameňa</t>
  </si>
  <si>
    <t>3121030301</t>
  </si>
  <si>
    <t>Spevnené plochy, dlažby z  lomového  kameňa na sucho</t>
  </si>
  <si>
    <t>lomový kameň s urovnaním a vyštrkovaním hmotnosti do 80 kg , hr.0,30m</t>
  </si>
  <si>
    <t>tok, čelá........71,9m2</t>
  </si>
  <si>
    <t>tok, čelá........28,3m2</t>
  </si>
  <si>
    <t>656m2</t>
  </si>
  <si>
    <t>02010603</t>
  </si>
  <si>
    <t>Zlepšovanie základovej pôdy, sanačné vrstvy z kameniva drveného</t>
  </si>
  <si>
    <t xml:space="preserve">výmena podložia násypu, štrkovitá sypanina </t>
  </si>
  <si>
    <t xml:space="preserve">   ŠD fr.0-63 hr.500mm....do sanácie podložia</t>
  </si>
  <si>
    <t xml:space="preserve">  308,6m3</t>
  </si>
  <si>
    <t>204-00  Most ev.č.2610-12,C III/2610 v km 12,678</t>
  </si>
  <si>
    <t>Dopravné značenie - dočasné (prenosné)</t>
  </si>
  <si>
    <t>kpl</t>
  </si>
  <si>
    <t>dočasné zvislé dopravné značenie v zmysle PD: 20 kusov</t>
  </si>
  <si>
    <t>prekrytie existujúcich dopravných značiek v zmysle PD: 2 kusy</t>
  </si>
  <si>
    <t>blikače (výstražné svetlá): 7 kusov</t>
  </si>
  <si>
    <t>Dočasná svetelná signalizácia</t>
  </si>
  <si>
    <t>1 súprava, 2 kusy semafórov:</t>
  </si>
  <si>
    <t>betón - spodná stavba = 51,93m3*2,20t/m3 =</t>
  </si>
  <si>
    <t>železobetón - NK = 11,53m3*2,40t/m3 =</t>
  </si>
  <si>
    <t>žb.rímsa = 3,28m3*2,40t/m3 =</t>
  </si>
  <si>
    <t>zvodidlo = 16,250m*0,054t/m =</t>
  </si>
  <si>
    <t>dočasný obtok - PVC rúra = 24,0m*0,089kg/m =</t>
  </si>
  <si>
    <t>panel nad vodovodom = 6,0m2*0,408t/m3 =</t>
  </si>
  <si>
    <t>vyfrézovaný materiál = 201,70m2*0,127t/m2 =</t>
  </si>
  <si>
    <t>prebytočná zemina</t>
  </si>
  <si>
    <t>výkopy nezapažené</t>
  </si>
  <si>
    <t>odpočet spätných zásypov</t>
  </si>
  <si>
    <t>dočasná hrádzka</t>
  </si>
  <si>
    <t>05010204</t>
  </si>
  <si>
    <t>Búranie konštrukcií muriva, priečok, pilierov,prekladov betónových, sklobetónových</t>
  </si>
  <si>
    <t>mostné opory = 2,15*0,80*6,17*2 =</t>
  </si>
  <si>
    <t>časť základov opôr = 0,35*1,10*6,17*2 =</t>
  </si>
  <si>
    <t>mostné krídla = (2,75+1,85+1,80+2,55)*2,90 =</t>
  </si>
  <si>
    <t>05010205</t>
  </si>
  <si>
    <t>Búranie konštrukcií muriva, priečok, pilierov,prekladov železobetónových</t>
  </si>
  <si>
    <t>nosná konštrukcia = 6,17*4,670*0,40 =</t>
  </si>
  <si>
    <t>05010405</t>
  </si>
  <si>
    <t>Búranie konštrukcií trámov, nosníkov, prievlakov, konzolových prvkov železobetónových</t>
  </si>
  <si>
    <t>rímsa = 0,67*0,30*(8,47+7,85) =</t>
  </si>
  <si>
    <t>dočasný obtok počas výstavby</t>
  </si>
  <si>
    <t>05030166</t>
  </si>
  <si>
    <t>Odstránenie spevnených plôch vozoviek a doplňujúcich konštrukcií krytov dlaždených</t>
  </si>
  <si>
    <t>0503016602</t>
  </si>
  <si>
    <t>Odstránenie spevnených plôch vozoviek a doplňujúcich konštrukcií krytov dlaždených hr. nad 100 do 200 mm</t>
  </si>
  <si>
    <t>panel nad vodovodom</t>
  </si>
  <si>
    <t>2,0*3,0 =</t>
  </si>
  <si>
    <t>zvodidlo = 8,40+7,85 =</t>
  </si>
  <si>
    <t>(skládka vzdialená 18km)</t>
  </si>
  <si>
    <t>dočasný obtok - PVC rúra = 24,0m*0,089t/m =</t>
  </si>
  <si>
    <t>vozovka na moste = 4,670*6,17*7 vrstiev =</t>
  </si>
  <si>
    <t>01010301</t>
  </si>
  <si>
    <t>Pripravné práce, čerpanie vody gravitačnými studňami</t>
  </si>
  <si>
    <t>hod</t>
  </si>
  <si>
    <t>0101030101</t>
  </si>
  <si>
    <t>Pripravné práce, čerpanie vody gravitačnými studňami do 500 l/min</t>
  </si>
  <si>
    <t>čerpanie počas zakladania - odhad</t>
  </si>
  <si>
    <t>3dni * 8hod * 2čerpadlá =</t>
  </si>
  <si>
    <t>01010401</t>
  </si>
  <si>
    <t>Pripravné práce, odvedenie vody potrubím alebo žľabmi na povrchu</t>
  </si>
  <si>
    <t>0101040101</t>
  </si>
  <si>
    <t>Pripravné práce, odvedenie vody potrubím alebo žľabmi na povrchu do 100 mm</t>
  </si>
  <si>
    <t>01020200</t>
  </si>
  <si>
    <t>Odkopávky a prekopávky nezapažené</t>
  </si>
  <si>
    <t>0102020007</t>
  </si>
  <si>
    <t>Odkopávky a prekopávky nezapažené, tr.horniny 1-4</t>
  </si>
  <si>
    <t>odkopávky zemnej hrádzky</t>
  </si>
  <si>
    <t>(14,50+5,0)/2*1,3 =</t>
  </si>
  <si>
    <t>cestné teleso bez konštrukcie vozovky</t>
  </si>
  <si>
    <t>(3,83-0,55)*(3,72+1,07)/2=7,856m2*11,2m =</t>
  </si>
  <si>
    <t>dokopanie v 4.fáze</t>
  </si>
  <si>
    <t>1,3*4,36*11,1 =</t>
  </si>
  <si>
    <t>medzi základmi</t>
  </si>
  <si>
    <t>2,56*1,23*9,33 =</t>
  </si>
  <si>
    <t>výkopy na pravom brehu (symetrické ako na ľavom)</t>
  </si>
  <si>
    <t>87,99+62,91 =</t>
  </si>
  <si>
    <t>výkop dočasného koryta</t>
  </si>
  <si>
    <t>(1,8+3,8)*0,5*1,0*14,7 =</t>
  </si>
  <si>
    <t>násyp cestných kužeľov</t>
  </si>
  <si>
    <t>((3,2*3,2*3,14*2,4)/3)/4 =</t>
  </si>
  <si>
    <t>((2,3*2,3*3,14*2,4)/3)/4 =</t>
  </si>
  <si>
    <t>((2,5*2,5*3,14*2,4)/3)/4 =</t>
  </si>
  <si>
    <t>zásyp výkopovou zeminou</t>
  </si>
  <si>
    <t>2,23m*2,44*0,5*9,5*2 =</t>
  </si>
  <si>
    <t>(3,0359m2+3,9745m2)*3,0 m=</t>
  </si>
  <si>
    <t>(3,6793m2+2,7477m2)*3,0 m=</t>
  </si>
  <si>
    <t>01040302</t>
  </si>
  <si>
    <t>Konštrukcie z hornín - prechodové vrstvy so zhutnením</t>
  </si>
  <si>
    <t>0104030205</t>
  </si>
  <si>
    <t>Konštrukcie z hornín - prechodové vrstvy so zhutnením zo sypanín kamenistých a balvanitých</t>
  </si>
  <si>
    <t>zásyp za oporami - hutnený po vrstvách</t>
  </si>
  <si>
    <t>10,556m2*(2,7+0,5)*0,5=</t>
  </si>
  <si>
    <t>01040702</t>
  </si>
  <si>
    <t>Konštrukcie z hornín - hrádze so zhutnením</t>
  </si>
  <si>
    <t>0104070207</t>
  </si>
  <si>
    <t>Konštrukcie z hornín - hrádze so zhutnením, tr.horniny 1-4</t>
  </si>
  <si>
    <t>zemná hrádzka na vtoku do rúry (zemina s prímesou ílovej hliny)</t>
  </si>
  <si>
    <t>01060202</t>
  </si>
  <si>
    <t>Premiestnenie  , vodorovné do 1 000 m</t>
  </si>
  <si>
    <t>0106020201</t>
  </si>
  <si>
    <t>Premiestnenie  výkopku resp. rúbaniny, vodorovné do 1 000 m, tr. horniny 1-4</t>
  </si>
  <si>
    <t>zemina na spätné zásypy  - odvoz na medziskládku a späť</t>
  </si>
  <si>
    <t xml:space="preserve">spätný zásyp spodnej stavby </t>
  </si>
  <si>
    <t>spolu na medziskládku</t>
  </si>
  <si>
    <t>z medziskládky</t>
  </si>
  <si>
    <t>odvoz prebytočnej zeminy na skládku (18km)</t>
  </si>
  <si>
    <t>zemina na spätné zásypy z medziskládky</t>
  </si>
  <si>
    <t>45.22.11</t>
  </si>
  <si>
    <t>Stavebné práce na mostoch</t>
  </si>
  <si>
    <t>11010201</t>
  </si>
  <si>
    <t>Základy, pätky z betónu prostého</t>
  </si>
  <si>
    <t>1101020106</t>
  </si>
  <si>
    <t>Základy, pätky z betónu prostého, tr. C 25/30 (B 30)</t>
  </si>
  <si>
    <t>mostné krídla</t>
  </si>
  <si>
    <t>1,80m2*3,50*4-0,16m2*2,0*4 =</t>
  </si>
  <si>
    <t>11010211</t>
  </si>
  <si>
    <t>Základy, pätky, debnenie tradičné</t>
  </si>
  <si>
    <t>1101021101</t>
  </si>
  <si>
    <t>Základy, pätky, debnenie tradičné drevené</t>
  </si>
  <si>
    <t>1,80m2*4+1,80*3,5*4-0,31m2*4 =</t>
  </si>
  <si>
    <t>11010301</t>
  </si>
  <si>
    <t>Základy, dosky z betónu prostého</t>
  </si>
  <si>
    <t>1101030103</t>
  </si>
  <si>
    <t>Základy, dosky z betónu prostého, tr. C 12/15 (B 15)</t>
  </si>
  <si>
    <t>podkladný betón pod prefabr.rámy</t>
  </si>
  <si>
    <t>8,0*5,50*0,20 =</t>
  </si>
  <si>
    <t>vyplnenie priestoru medzi pôvodnými základmi</t>
  </si>
  <si>
    <t>6,60*8,70*0,69-(1,10*6,17*0,69*2) =</t>
  </si>
  <si>
    <t>11010311</t>
  </si>
  <si>
    <t>Základy, dosky, debnenie tradičné</t>
  </si>
  <si>
    <t>1101031101</t>
  </si>
  <si>
    <t>Základy, dosky, debnenie tradičné drevené</t>
  </si>
  <si>
    <t>(8,0+5,50)*2*0,2 =</t>
  </si>
  <si>
    <t>11050301</t>
  </si>
  <si>
    <t>Zvislé konštrukcie inžinierskych stavieb, krídla, steny z betónu prostého</t>
  </si>
  <si>
    <t>1105030106</t>
  </si>
  <si>
    <t>Zvislé konštrukcie inžinierskych stavieb, krídla, steny z betónu prostého, tr. C 25/30 (B 30)</t>
  </si>
  <si>
    <t>(2,65+2,50+2,40+2,40)*3,50 =</t>
  </si>
  <si>
    <t>s úpravou pracovných a dilatačných škár v zmysle PD</t>
  </si>
  <si>
    <t>11050311</t>
  </si>
  <si>
    <t>Zvislé konštrukcie inžinierskych stavieb, krídla, steny debnenie tradičné</t>
  </si>
  <si>
    <t>1105031101</t>
  </si>
  <si>
    <t>Zvislé konštrukcie inžinierskych stavieb, krídla, steny, debnenie tradičné drevené</t>
  </si>
  <si>
    <t>5,55*3,50+2,65 =</t>
  </si>
  <si>
    <t>5,35*3,50+2,50 =</t>
  </si>
  <si>
    <t>5,20*3,50+2,40 =</t>
  </si>
  <si>
    <t>11050602</t>
  </si>
  <si>
    <t>Zvislé konštrukcie inžinierskych stavieb, rímsy z betónu železového</t>
  </si>
  <si>
    <t>1105060208</t>
  </si>
  <si>
    <t>Zvislé konštrukcie inžinierskych stavieb, rímsy z betónu železového, tr. C 35/45 (B 45)</t>
  </si>
  <si>
    <t>R1 = 0,25*12,15 =</t>
  </si>
  <si>
    <t>R2 = 0,25*12,15 =</t>
  </si>
  <si>
    <t>pracovné škáry vyplnené pružným tmelom vrátane penetračného náteru na zvýšenie priľnavosti</t>
  </si>
  <si>
    <t>11050611</t>
  </si>
  <si>
    <t>Zvislé konštrukcie inžinierskych stavieb, rímsy, debnenie tradičné</t>
  </si>
  <si>
    <t>1105061101</t>
  </si>
  <si>
    <t>Zvislé konštrukcie inžinierskych stavieb, rímsy, debnenie tradičné drevené</t>
  </si>
  <si>
    <t>R1 = 0,25*2+0,96*12,15 =</t>
  </si>
  <si>
    <t>R2 = 0,25*2+0,96*12,15 =</t>
  </si>
  <si>
    <t>lešenie pod debnenie rímsy: 12,15*2=24,30 m</t>
  </si>
  <si>
    <t>11050621</t>
  </si>
  <si>
    <t>Zvislé konštrukcie inžinierskych stavieb, rímsy, výstuž z betonárskej ocele</t>
  </si>
  <si>
    <t>1105062106</t>
  </si>
  <si>
    <t>Zvislé konštrukcie inžinierskych stavieb, rímsy, výstuž z betonárskej ocele 10505</t>
  </si>
  <si>
    <t>OCEĽ B 500B</t>
  </si>
  <si>
    <t>R1 = 412,63*0,001 =</t>
  </si>
  <si>
    <t>R2 = 412,63*0,001 =</t>
  </si>
  <si>
    <t>11080101</t>
  </si>
  <si>
    <t xml:space="preserve">Vodorovné konštrukcie inžinierskych stavieb, prechodové konštrukcie z betónu medzerovitého </t>
  </si>
  <si>
    <t>1,20m2*6,50*2 =</t>
  </si>
  <si>
    <t>11200401</t>
  </si>
  <si>
    <t>Podkladné konštrukcie, vyrovnávacie konštrukcie, betón prostý</t>
  </si>
  <si>
    <t>1120040107</t>
  </si>
  <si>
    <t>Podkladné konštrukcie, vyrovnávacie konštrukcie, betón prostý tr. C 30/37 (B 35)</t>
  </si>
  <si>
    <t>spádový betón na NK (priem.hr.71mm)</t>
  </si>
  <si>
    <t>7,60*5,10*0,071 =</t>
  </si>
  <si>
    <t>vystužené KARI sieťou 6x6 - 100x100 = 38,76m2</t>
  </si>
  <si>
    <t>15190602</t>
  </si>
  <si>
    <t>Kompletné konštrukcie, rámy z dielcov železobetónových</t>
  </si>
  <si>
    <t>(13,77-8,92)*1,90*4 =</t>
  </si>
  <si>
    <t>s opatrením zvislých a vodorovných škár medzi segmentami tesnením v zmysle PD</t>
  </si>
  <si>
    <t>21200116</t>
  </si>
  <si>
    <t>Podkladné a vedľajšie konštrukcie, výplň za oporami a protimrazové kliny zo štrkopiesku</t>
  </si>
  <si>
    <t>0,60*2,30*6,50*2 =</t>
  </si>
  <si>
    <t>21250106</t>
  </si>
  <si>
    <t>2125010602</t>
  </si>
  <si>
    <t>Doplňujúce konštrukcie, zvodidlá oceľové zábradeľné</t>
  </si>
  <si>
    <t>úroveň zachytenia H2</t>
  </si>
  <si>
    <t xml:space="preserve">R1 </t>
  </si>
  <si>
    <t xml:space="preserve">R2 </t>
  </si>
  <si>
    <t>(kotevné platne je potrebné osadiť do vrstvy plastmalty a utesniť tmelom)</t>
  </si>
  <si>
    <t>s povrchovou úpravou podľa PD</t>
  </si>
  <si>
    <t>21250906</t>
  </si>
  <si>
    <t>Doplňujúce konštrukcie, drobné zariadenia oceľové</t>
  </si>
  <si>
    <t>ks</t>
  </si>
  <si>
    <t>kotvenie rímsy (hmotnosť 4,52 kg/ks) = 24+24 =</t>
  </si>
  <si>
    <t>27030421</t>
  </si>
  <si>
    <t>Kanalizácie, rúry plastové, PE, PP</t>
  </si>
  <si>
    <t>2703042112</t>
  </si>
  <si>
    <t>Kanalizácie, rúry plastové, PE, PP DN 1200</t>
  </si>
  <si>
    <t xml:space="preserve">spojenie izolácie a ložnej vrstvy vozovky </t>
  </si>
  <si>
    <t>na moste = 6,50*5,10 =</t>
  </si>
  <si>
    <t xml:space="preserve">spojenie ložnej a obrusnej vrstvy vozovky </t>
  </si>
  <si>
    <t>obrusná vrstva vozovky - Aco 11-II</t>
  </si>
  <si>
    <t>na moste = 6,50*5,10*0,050 =</t>
  </si>
  <si>
    <t>ložná vrstva vozovky - Acl 16-II</t>
  </si>
  <si>
    <t>na moste = 6,50*5,10*0,070 =</t>
  </si>
  <si>
    <t>22030643</t>
  </si>
  <si>
    <t>Podkladné a krycie vrstvy z asfaltových zmesí, bitúmenové vrstvy, asfaltový koberec drenážny</t>
  </si>
  <si>
    <t>2203064302</t>
  </si>
  <si>
    <t>Podkladné a krycie vrstvy z asfaltových zmesí, bitúmenové vrstvy, asfaltový koberec drenážny z plastbetónu</t>
  </si>
  <si>
    <t>v úžľabí ložnej vrstvy = 12,15*0,10*2 =</t>
  </si>
  <si>
    <t>22040145</t>
  </si>
  <si>
    <t>Kryty dláždené,chodníkov komunikácií,rigolov, prefabrikované panely cestné</t>
  </si>
  <si>
    <t>2204014501</t>
  </si>
  <si>
    <t>Kryty dláždené,chodníkov komunikácií,rigolov, prefabrikované panely cestné zo železobetónu</t>
  </si>
  <si>
    <t>styk rímsy a vozovky = 12,15*2 =</t>
  </si>
  <si>
    <t>prerezaná škára vozovky na vonkajšej strane rámu = 6,50*2 =</t>
  </si>
  <si>
    <t>22250671</t>
  </si>
  <si>
    <t>Doplňujúce konštrukcie,  zvislé dopravné značky, normálny alebo zväčšený rozmer</t>
  </si>
  <si>
    <t>2225067106</t>
  </si>
  <si>
    <t>Doplňujúce konštrukcie,  zvislé dopravné značky, normálny alebo zväčšený rozmer hliníkové reflexné</t>
  </si>
  <si>
    <t>evidenčné číslo mosta - osadené na moste</t>
  </si>
  <si>
    <t>1120010106</t>
  </si>
  <si>
    <t>Podkladné konštrukcie, podkladné vrstvy z betónu prostého, tr. C 25/30 (B 30)</t>
  </si>
  <si>
    <t>podklad pod dlažbu hr.100mm</t>
  </si>
  <si>
    <t>brehy úpravy toku = (11,0+6,30+10,0+7,40)*1,2*0,10 =</t>
  </si>
  <si>
    <t>svahové kužele = (4,50+5,70+7,90+10,0)*1,2*0,10 =</t>
  </si>
  <si>
    <t>prah na vtoku a výtoku š.0,50m = 0,50*5,10*2 =</t>
  </si>
  <si>
    <t>pätka v dne koryta š.0,30m = (6,50+6,80+7,70+7,75)*0,30*0,50 =</t>
  </si>
  <si>
    <t>priečny úrovňový prah š.0,30m = 3,70*0,30*2 =</t>
  </si>
  <si>
    <t>11200211</t>
  </si>
  <si>
    <t>Podkladné konštrukcie, tesniace vrstvy, prahy, debnenie tradičné</t>
  </si>
  <si>
    <t>1120021101</t>
  </si>
  <si>
    <t>Podkladné konštrukcie, tesniace vrstvy, prahy, debnenie tradičné drevené</t>
  </si>
  <si>
    <t>prah na vtoku a výtoku š.0,50m = 0,55*5,10*2+0,50*2*2 =</t>
  </si>
  <si>
    <t>pätka v dne koryta š.0,30m = (6,50+6,80+7,70+7,75)*2*0,50 =</t>
  </si>
  <si>
    <t>priečny úrovňový prah š.0,30m = 3,702*2+0,30*0,50*2*2 =</t>
  </si>
  <si>
    <t>3121030302</t>
  </si>
  <si>
    <t>Spevnené plochy, dlažby z lomového kameňa na cementovú maltu</t>
  </si>
  <si>
    <t>dlažba hr.200mm</t>
  </si>
  <si>
    <t>brehy úpravy toku = (11,0+6,30+10,0+7,40)*1,2 =</t>
  </si>
  <si>
    <t>svahové kužele = (4,50+5,70+7,90+10,0)*1,2 =</t>
  </si>
  <si>
    <t>45.26.14</t>
  </si>
  <si>
    <t>Izolačné práce proti vode</t>
  </si>
  <si>
    <t>61010101</t>
  </si>
  <si>
    <t>Izolácie proti vode a zemnej vlhkosti, bežných konštrukcií náterivami a tmelmi</t>
  </si>
  <si>
    <t>6101010101</t>
  </si>
  <si>
    <t>Izolácie proti vode a zemnej vlhkosti, bežných konštrukcií náterivami a tmelmi na ploche vodorovnej</t>
  </si>
  <si>
    <t>1x PN+2xAN</t>
  </si>
  <si>
    <t xml:space="preserve"> rámy NK = 7,60*5,10 =</t>
  </si>
  <si>
    <t>krídla = 0,70*5,30*4 =</t>
  </si>
  <si>
    <t>prechodové kliny = 3,0*6,50*2 =</t>
  </si>
  <si>
    <t>6101010102</t>
  </si>
  <si>
    <t>Izolácie proti vode a zemnej vlhkosti, bežných konštrukcií náterivami a tmelmi na ploche zvislej</t>
  </si>
  <si>
    <t xml:space="preserve"> rámy NK = 7,60*2,70*2 =</t>
  </si>
  <si>
    <t>krídla = (4,80+4,70+4,90+4,70)*5,30+(2,561+2,452+2,383+2,381)*0,50+(4,45+4,30+4,20+4,20) =</t>
  </si>
  <si>
    <t>61010502</t>
  </si>
  <si>
    <t>Izolácie proti vode a zemnej vlhkosti, mostoviek pásmi</t>
  </si>
  <si>
    <t>6101050201</t>
  </si>
  <si>
    <t>Izolácie proti vode a zemnej vlhkosti, mostoviek pásmi na ploche vodorovnej</t>
  </si>
  <si>
    <t>ochrana izolácie pod rímsami = 0,80*5,10*2 =</t>
  </si>
  <si>
    <t>6101050202</t>
  </si>
  <si>
    <t>Izolácie proti vode a zemnej vlhkosti, mostoviek pásmi na ploche zvislej</t>
  </si>
  <si>
    <t>61010505</t>
  </si>
  <si>
    <t>Izolácie proti vode a zemnej vlhkosti, mostoviek ochrannými a podkladnými textíliami</t>
  </si>
  <si>
    <t>6101050501</t>
  </si>
  <si>
    <t>Izolácie proti vode a zemnej vlhkosti, mostoviek ochrannými a podkladnými textíliami na ploche vodorovnej</t>
  </si>
  <si>
    <t>6101050502</t>
  </si>
  <si>
    <t>Izolácie proti vode a zemnej vlhkosti, mostoviek ochrannými a podkladnými textíliami na ploche zvislej</t>
  </si>
  <si>
    <t>45.44.20</t>
  </si>
  <si>
    <t>Nanášanie ochranných vrstiev - maliarske a natieračské práce</t>
  </si>
  <si>
    <t>84010807</t>
  </si>
  <si>
    <t>Náter omietok a betónových povrchov, farba epoxidová</t>
  </si>
  <si>
    <t>8401080703</t>
  </si>
  <si>
    <t>Náter omietok a betónových povrchov, farba epoxidová, mostoviek</t>
  </si>
  <si>
    <t>zapečaťujúca vrstva mostovky</t>
  </si>
  <si>
    <t>7,60*5,10 =</t>
  </si>
  <si>
    <t>651-00  Preložka telekomunikačných káblov ST v obci Čeláre-Kirť</t>
  </si>
  <si>
    <t>vytlačená zemina</t>
  </si>
  <si>
    <t>45.11.20</t>
  </si>
  <si>
    <t>Výkopové zemné práce a presun zemín</t>
  </si>
  <si>
    <t>jama pre spojky (2*2*3)</t>
  </si>
  <si>
    <t>0103020103</t>
  </si>
  <si>
    <t>Hĺbené vykopávky rýh š. do 600 mm, tr.horniny 4</t>
  </si>
  <si>
    <t>pod spevnenými komunikáciami  (1*1,2*(15+10+15))</t>
  </si>
  <si>
    <t>voľný terén (0,5*0,8*(125-15-15-10))</t>
  </si>
  <si>
    <t>01040401</t>
  </si>
  <si>
    <t>Konštrukcie z hornín - zásypy bez zhutnenia</t>
  </si>
  <si>
    <t>0104040102</t>
  </si>
  <si>
    <t>Konštrukcie z hornín - zásypy bez zhutnenia, tr.horniny 3</t>
  </si>
  <si>
    <t>pieskové lôžko (0,5*0,2*(125-15-15-10))</t>
  </si>
  <si>
    <t>piesok v tonách (m3*1600/1000 t) = 13,60t</t>
  </si>
  <si>
    <t>výkop-(pieskové lôžko+obetónovanie chráničiek)  (12+66)-(9+5)</t>
  </si>
  <si>
    <t>vytlačená zemina=pieskové lôžko+obetónovanie chráničiek</t>
  </si>
  <si>
    <t>premiestnenie*2</t>
  </si>
  <si>
    <t>01090301</t>
  </si>
  <si>
    <t>Pretláčanie potrubia z plastických hmôt, tr. hor. 1-4</t>
  </si>
  <si>
    <t>0109030101</t>
  </si>
  <si>
    <t>Pretláčanie potrubia z plastických hmôt, tr. hor. 1-4, DN do 200 mm</t>
  </si>
  <si>
    <t>pretlak rúry HDPE110 komplet vrátane štartovacej a cieľovej jamy, vytýčenia sietí</t>
  </si>
  <si>
    <t>45.31.43</t>
  </si>
  <si>
    <t>Inštalovanie telefónných káblov, pokládka káblov</t>
  </si>
  <si>
    <t>Vedenia vonkajšie, káblové (miestne siete) - káble miestne telefónne</t>
  </si>
  <si>
    <t>Vedenia vonkajšie, káblové (miestne siete) - káble miestne telefónne ulož. v chráničkách</t>
  </si>
  <si>
    <t>TCEPKPFLE 100XN0,8 vrátane výstražnej fólie</t>
  </si>
  <si>
    <t>TCEPKPFLE 5XN0,8 vrátane výstražnej fólie</t>
  </si>
  <si>
    <t>Vedenia vonkajšie, káblové (miestne siete) - spojky káblové rovné</t>
  </si>
  <si>
    <t>Vedenia vonkajšie, káblové (miestne siete) - spojky káblové rovné, spájanie žíl zátorkami</t>
  </si>
  <si>
    <t>Spojka NITTO JCSA140</t>
  </si>
  <si>
    <t>Spojka NITTO JCSA400</t>
  </si>
  <si>
    <t>Vedenia vonkajšie, káblové (miestne siete) - telefónne objekty vonkajšie</t>
  </si>
  <si>
    <t>Vedenia vonkajšie, káblové (miestne siete) - telefónne objekty vonkajšie bez základu</t>
  </si>
  <si>
    <t>rezonančný marker</t>
  </si>
  <si>
    <t>Vedenia vonkajšie, káblové (miestne siete) - činnosti na kábloch</t>
  </si>
  <si>
    <t>Vedenia vonkajšie, káblové (miestne siete) - činnosti na kábloch, merania na kábloch,</t>
  </si>
  <si>
    <t>úplné meranie preložených káblov</t>
  </si>
  <si>
    <t>Vedenia vonkajšie káblové (diaľkové siete) - káble optické úložné</t>
  </si>
  <si>
    <t>Vedenia vonkajšie káblové (diaľkové siete) - káble optické úložné, ulož. v chráničkách</t>
  </si>
  <si>
    <t>preloženie jestvujúcej optickej trasy do novej polohy</t>
  </si>
  <si>
    <t>22251284</t>
  </si>
  <si>
    <t>Doplňujúce konštrukcie,  kábelovody z rúr alebo dielcov plastových</t>
  </si>
  <si>
    <t>2225128401</t>
  </si>
  <si>
    <t>Doplňujúce konštrukcie,  kábelovody z rúr alebo dielcov plastových z polyetylénu</t>
  </si>
  <si>
    <t>korugovaná chránička HDPE 110 (15+2*15+10)</t>
  </si>
  <si>
    <t>delená chránička HDPE 110 napr. KOPOHALF110</t>
  </si>
  <si>
    <t>45.26.23</t>
  </si>
  <si>
    <t>Betonárske práce</t>
  </si>
  <si>
    <t>11190401</t>
  </si>
  <si>
    <t>Kompletné konštrukcie, kanály inžinierskych sietí, nádržky z betónu prostého</t>
  </si>
  <si>
    <t>1119040104</t>
  </si>
  <si>
    <t>Kompletné konštrukcie, kanály inžinierskych sietí, nádržky z betónu prostého, tr. C 16/20 (B 20)</t>
  </si>
  <si>
    <t>obetónovanie chráničiek pod spevnenými komunikáciami - (1*0,3*15)</t>
  </si>
  <si>
    <t>00000111</t>
  </si>
  <si>
    <t>00000112</t>
  </si>
  <si>
    <t>J. CENA BEZ DPH</t>
  </si>
  <si>
    <t>CENA CELKOM BEZ DPH</t>
  </si>
  <si>
    <t>Celkom za 204-00 - Most ev.č.2610-12,C III/2610 v km 12,678</t>
  </si>
  <si>
    <t>Celkom za 121-00 - Obchádzková komunikácia pre rekonštrukciu mosta ev. č. 2610-12 Čeláre - Kirť</t>
  </si>
  <si>
    <t>Celkom za 120-00 - Úprava cesty III/2610 po rekonštrukcii mosta ev.č.2610-12 Čeláre - Kirť</t>
  </si>
  <si>
    <t>Celkom za 651-00 - Preložka telekomunikačných káblov ST v obci Čeláre-Kirť</t>
  </si>
  <si>
    <t>REKAPITULÁCIA</t>
  </si>
  <si>
    <t>Cena spolu bez DPH v €</t>
  </si>
  <si>
    <t>DPH 20%</t>
  </si>
  <si>
    <t>Cena s DPH v €</t>
  </si>
  <si>
    <t>Časti stavby</t>
  </si>
  <si>
    <t>Navrhovaná zmluvná cena (Akceptovaná zmluvná hodnota)</t>
  </si>
  <si>
    <t>Číslo časti stavby</t>
  </si>
  <si>
    <t>Klasifikácia stavieb</t>
  </si>
  <si>
    <t>Názov časti stavby</t>
  </si>
  <si>
    <t xml:space="preserve">120-00    </t>
  </si>
  <si>
    <t xml:space="preserve">    </t>
  </si>
  <si>
    <t>Celkový súčet bez DPH  v €</t>
  </si>
  <si>
    <t>001-00  Všeobecné položky</t>
  </si>
  <si>
    <t>00000102</t>
  </si>
  <si>
    <t>Zariadenie staveniska</t>
  </si>
  <si>
    <t>- zriadenie</t>
  </si>
  <si>
    <t>- prevádzka (3 mesiace)</t>
  </si>
  <si>
    <t>- odstránenie</t>
  </si>
  <si>
    <t>00000105</t>
  </si>
  <si>
    <t>Dokumentácia pre vykonanie prác</t>
  </si>
  <si>
    <t>00000106</t>
  </si>
  <si>
    <t>Dokumentácia skutočného vyhotovenia</t>
  </si>
  <si>
    <t>00000107</t>
  </si>
  <si>
    <t>Poistenie diela</t>
  </si>
  <si>
    <t xml:space="preserve"> - zabezpečiť v zmysle zmluvných podmienok</t>
  </si>
  <si>
    <t>00000108</t>
  </si>
  <si>
    <t>Fotodokumentácia, video</t>
  </si>
  <si>
    <t xml:space="preserve"> - náklady na fotodokumentáciu alebo na video postupu výstavby v zmysle zmluvy o dielo</t>
  </si>
  <si>
    <t>Celkom za 001-00 - Všeobecné položky</t>
  </si>
  <si>
    <t xml:space="preserve">Úprava cesty III/2610 po rekonštrukcii mosta ev.č.2610-12 Čeláre - Kirť    </t>
  </si>
  <si>
    <t xml:space="preserve">121-00    </t>
  </si>
  <si>
    <t xml:space="preserve">Obchádzková komunikácia pre rekonštrukciu mosta ev. č. 2610-12 Čeláre - Kirť    </t>
  </si>
  <si>
    <t xml:space="preserve">204-00    </t>
  </si>
  <si>
    <t xml:space="preserve">Most ev.č.2610-12,C III/2610 v km 12,678    </t>
  </si>
  <si>
    <t xml:space="preserve">651-00    </t>
  </si>
  <si>
    <t xml:space="preserve">Preložka telekomunikačných káblov ST v obci Čeláre-Kirť    </t>
  </si>
  <si>
    <t xml:space="preserve">120-00    Úprava cesty III/2610 po rekonštrukcii mosta ev.č.2610-12 Čeláre - Kirť    </t>
  </si>
  <si>
    <t xml:space="preserve">121-00    Obchádzková komunikácia pre rekonštrukciu mosta ev. č. 2610-12 Čeláre - Kirť    </t>
  </si>
  <si>
    <t xml:space="preserve">204-00    Most ev.č.2610-12,C III/2610 v km 12,678    </t>
  </si>
  <si>
    <t xml:space="preserve">651-00    Preložka telekomunikačných káblov ST v obci Čeláre-Kirť    </t>
  </si>
  <si>
    <t>Cena bez DPH v €</t>
  </si>
  <si>
    <t>REKAPITULÁCIA OBJEKTOV</t>
  </si>
  <si>
    <t>00000109</t>
  </si>
  <si>
    <t>Obnova komunikácií po výstavbe</t>
  </si>
  <si>
    <t>- frézovanie hr. 50 mm</t>
  </si>
  <si>
    <t>- odvoz fréz. materiálu správcovi komunikácie</t>
  </si>
  <si>
    <t>- spojovací postrek katiónaktívny emulzný 0,50 kg/m2, PS CB</t>
  </si>
  <si>
    <t>- asfaltový betón pre obrusnú vrstvu Aco 11-II hr. 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</si>
</sst>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"/>
    <numFmt numFmtId="165" formatCode="0000000000"/>
    <numFmt numFmtId="166" formatCode="#,##0.0"/>
    <numFmt numFmtId="167" formatCode="0.0"/>
    <numFmt numFmtId="168" formatCode="#,##0.000"/>
    <numFmt numFmtId="169" formatCode="###\ ###\ ###\ ##0.00"/>
  </numFmts>
  <fonts count="2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</font>
    <font>
      <sz val="10"/>
      <name val="Helv"/>
    </font>
    <font>
      <b/>
      <sz val="10"/>
      <name val="Arial"/>
      <family val="2"/>
      <charset val="238"/>
    </font>
    <font>
      <i/>
      <sz val="10"/>
      <name val="Arial CE"/>
      <family val="2"/>
      <charset val="238"/>
    </font>
    <font>
      <i/>
      <u/>
      <sz val="10"/>
      <name val="Arial CE"/>
      <family val="2"/>
      <charset val="238"/>
    </font>
    <font>
      <sz val="10"/>
      <name val="AT*Switzerland Narrow"/>
      <charset val="238"/>
    </font>
    <font>
      <b/>
      <i/>
      <u/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Helv"/>
      <charset val="238"/>
    </font>
    <font>
      <i/>
      <u/>
      <sz val="10"/>
      <name val="Arial"/>
      <family val="2"/>
      <charset val="238"/>
    </font>
    <font>
      <b/>
      <i/>
      <sz val="10"/>
      <name val="Arial CE"/>
      <family val="2"/>
      <charset val="238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i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CE"/>
      <family val="2"/>
      <charset val="238"/>
    </font>
    <font>
      <b/>
      <i/>
      <sz val="10"/>
      <name val="Arial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rgb="FF000000"/>
      <name val="Ariel"/>
      <charset val="238"/>
    </font>
    <font>
      <sz val="9"/>
      <color rgb="FF000000"/>
      <name val="Ariel"/>
      <charset val="238"/>
    </font>
    <font>
      <b/>
      <sz val="11"/>
      <color theme="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9" fillId="0" borderId="0">
      <alignment horizontal="center" vertical="center" wrapText="1"/>
    </xf>
    <xf numFmtId="0" fontId="4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4" fillId="3" borderId="0"/>
    <xf numFmtId="0" fontId="25" fillId="0" borderId="0"/>
    <xf numFmtId="0" fontId="24" fillId="0" borderId="0"/>
  </cellStyleXfs>
  <cellXfs count="383">
    <xf numFmtId="0" fontId="0" fillId="0" borderId="0" xfId="0"/>
    <xf numFmtId="0" fontId="2" fillId="0" borderId="0" xfId="0" applyFont="1" applyFill="1" applyBorder="1" applyAlignment="1" applyProtection="1">
      <alignment horizontal="left" vertical="top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Protection="1">
      <protection hidden="1"/>
    </xf>
    <xf numFmtId="49" fontId="3" fillId="0" borderId="0" xfId="0" applyNumberFormat="1" applyFont="1" applyFill="1" applyBorder="1" applyAlignment="1" applyProtection="1">
      <alignment wrapText="1"/>
      <protection hidden="1"/>
    </xf>
    <xf numFmtId="4" fontId="2" fillId="0" borderId="0" xfId="0" applyNumberFormat="1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4" fontId="2" fillId="0" borderId="0" xfId="0" applyNumberFormat="1" applyFont="1" applyFill="1" applyBorder="1" applyAlignment="1" applyProtection="1">
      <alignment vertical="top"/>
      <protection hidden="1"/>
    </xf>
    <xf numFmtId="0" fontId="2" fillId="0" borderId="3" xfId="0" applyFont="1" applyFill="1" applyBorder="1" applyAlignment="1" applyProtection="1">
      <alignment horizontal="left"/>
      <protection hidden="1"/>
    </xf>
    <xf numFmtId="1" fontId="2" fillId="0" borderId="0" xfId="0" applyNumberFormat="1" applyFont="1" applyFill="1" applyBorder="1" applyAlignment="1" applyProtection="1">
      <alignment horizontal="left" vertical="top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4" fontId="2" fillId="0" borderId="0" xfId="0" applyNumberFormat="1" applyFont="1" applyFill="1" applyBorder="1" applyAlignment="1" applyProtection="1">
      <alignment horizontal="right" vertical="top"/>
      <protection hidden="1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5" xfId="0" applyFont="1" applyFill="1" applyBorder="1" applyAlignment="1" applyProtection="1">
      <alignment horizontal="center" vertical="top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3" fillId="0" borderId="7" xfId="0" applyFont="1" applyFill="1" applyBorder="1" applyAlignment="1" applyProtection="1">
      <alignment horizontal="center" vertical="top" wrapText="1"/>
      <protection hidden="1"/>
    </xf>
    <xf numFmtId="0" fontId="3" fillId="0" borderId="8" xfId="0" applyFont="1" applyFill="1" applyBorder="1" applyAlignment="1" applyProtection="1">
      <alignment horizontal="center" vertical="top" wrapText="1"/>
      <protection hidden="1"/>
    </xf>
    <xf numFmtId="0" fontId="2" fillId="0" borderId="8" xfId="0" applyFont="1" applyFill="1" applyBorder="1" applyAlignment="1" applyProtection="1">
      <alignment horizontal="center" vertical="top" wrapText="1"/>
      <protection hidden="1"/>
    </xf>
    <xf numFmtId="0" fontId="2" fillId="0" borderId="9" xfId="0" applyFont="1" applyFill="1" applyBorder="1" applyAlignment="1" applyProtection="1">
      <alignment horizontal="center" vertical="top" wrapText="1"/>
      <protection hidden="1"/>
    </xf>
    <xf numFmtId="4" fontId="7" fillId="0" borderId="10" xfId="0" applyNumberFormat="1" applyFont="1" applyFill="1" applyBorder="1" applyAlignment="1" applyProtection="1">
      <alignment vertical="top" wrapText="1"/>
      <protection hidden="1"/>
    </xf>
    <xf numFmtId="0" fontId="2" fillId="0" borderId="8" xfId="0" quotePrefix="1" applyFont="1" applyFill="1" applyBorder="1" applyAlignment="1" applyProtection="1">
      <alignment horizontal="center" vertical="top" wrapText="1"/>
      <protection hidden="1"/>
    </xf>
    <xf numFmtId="4" fontId="2" fillId="0" borderId="13" xfId="0" applyNumberFormat="1" applyFont="1" applyFill="1" applyBorder="1" applyAlignment="1" applyProtection="1">
      <alignment horizontal="center" vertical="top" wrapText="1"/>
      <protection hidden="1"/>
    </xf>
    <xf numFmtId="0" fontId="2" fillId="0" borderId="2" xfId="0" applyFont="1" applyFill="1" applyBorder="1" applyProtection="1">
      <protection hidden="1"/>
    </xf>
    <xf numFmtId="4" fontId="14" fillId="0" borderId="0" xfId="0" applyNumberFormat="1" applyFont="1" applyFill="1" applyBorder="1" applyAlignment="1" applyProtection="1">
      <alignment vertical="center" wrapText="1"/>
      <protection hidden="1"/>
    </xf>
    <xf numFmtId="0" fontId="3" fillId="0" borderId="1" xfId="0" applyFont="1" applyFill="1" applyBorder="1" applyAlignment="1" applyProtection="1">
      <alignment horizontal="center" vertical="top"/>
      <protection hidden="1"/>
    </xf>
    <xf numFmtId="4" fontId="2" fillId="0" borderId="14" xfId="0" applyNumberFormat="1" applyFont="1" applyFill="1" applyBorder="1" applyProtection="1">
      <protection hidden="1"/>
    </xf>
    <xf numFmtId="0" fontId="3" fillId="0" borderId="2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11" xfId="0" applyFont="1" applyFill="1" applyBorder="1" applyAlignment="1" applyProtection="1">
      <alignment horizontal="left" vertical="top" wrapText="1"/>
      <protection hidden="1"/>
    </xf>
    <xf numFmtId="4" fontId="14" fillId="0" borderId="0" xfId="0" applyNumberFormat="1" applyFont="1" applyFill="1" applyBorder="1" applyAlignment="1" applyProtection="1">
      <alignment vertical="top" wrapText="1"/>
      <protection hidden="1"/>
    </xf>
    <xf numFmtId="4" fontId="3" fillId="0" borderId="14" xfId="0" applyNumberFormat="1" applyFont="1" applyFill="1" applyBorder="1" applyAlignment="1" applyProtection="1">
      <alignment vertical="top" wrapText="1"/>
      <protection hidden="1"/>
    </xf>
    <xf numFmtId="0" fontId="6" fillId="0" borderId="2" xfId="0" applyFont="1" applyFill="1" applyBorder="1" applyAlignment="1" applyProtection="1">
      <alignment horizontal="center" vertical="top"/>
      <protection hidden="1"/>
    </xf>
    <xf numFmtId="49" fontId="3" fillId="0" borderId="1" xfId="0" quotePrefix="1" applyNumberFormat="1" applyFont="1" applyFill="1" applyBorder="1" applyAlignment="1" applyProtection="1">
      <alignment horizontal="left" vertical="top"/>
      <protection hidden="1"/>
    </xf>
    <xf numFmtId="49" fontId="3" fillId="0" borderId="1" xfId="0" applyNumberFormat="1" applyFont="1" applyFill="1" applyBorder="1" applyAlignment="1" applyProtection="1">
      <alignment horizontal="left" vertical="top"/>
      <protection hidden="1"/>
    </xf>
    <xf numFmtId="0" fontId="3" fillId="0" borderId="0" xfId="0" applyFont="1" applyFill="1" applyBorder="1" applyAlignment="1" applyProtection="1">
      <alignment vertical="top" wrapText="1"/>
      <protection hidden="1"/>
    </xf>
    <xf numFmtId="4" fontId="14" fillId="0" borderId="0" xfId="0" applyNumberFormat="1" applyFont="1" applyFill="1" applyBorder="1" applyAlignment="1" applyProtection="1">
      <alignment wrapText="1"/>
      <protection hidden="1"/>
    </xf>
    <xf numFmtId="4" fontId="3" fillId="0" borderId="14" xfId="0" applyNumberFormat="1" applyFont="1" applyFill="1" applyBorder="1" applyAlignment="1" applyProtection="1">
      <alignment vertical="top"/>
      <protection hidden="1"/>
    </xf>
    <xf numFmtId="0" fontId="7" fillId="0" borderId="0" xfId="0" applyNumberFormat="1" applyFont="1" applyFill="1" applyBorder="1" applyAlignment="1" applyProtection="1">
      <alignment horizontal="left" vertical="top" wrapText="1"/>
      <protection hidden="1"/>
    </xf>
    <xf numFmtId="4" fontId="7" fillId="0" borderId="0" xfId="0" applyNumberFormat="1" applyFont="1" applyFill="1" applyBorder="1" applyAlignment="1" applyProtection="1">
      <alignment horizontal="right" vertical="top" wrapText="1"/>
      <protection hidden="1"/>
    </xf>
    <xf numFmtId="4" fontId="8" fillId="0" borderId="0" xfId="0" applyNumberFormat="1" applyFont="1" applyFill="1" applyBorder="1" applyAlignment="1" applyProtection="1">
      <alignment horizontal="right" vertical="top" wrapText="1"/>
      <protection hidden="1"/>
    </xf>
    <xf numFmtId="0" fontId="3" fillId="0" borderId="1" xfId="0" applyFont="1" applyFill="1" applyBorder="1" applyAlignment="1" applyProtection="1">
      <alignment wrapText="1"/>
      <protection hidden="1"/>
    </xf>
    <xf numFmtId="0" fontId="7" fillId="0" borderId="0" xfId="0" applyNumberFormat="1" applyFont="1" applyFill="1" applyBorder="1" applyAlignment="1" applyProtection="1">
      <alignment horizontal="left" vertical="top" wrapText="1" indent="1"/>
      <protection hidden="1"/>
    </xf>
    <xf numFmtId="0" fontId="2" fillId="0" borderId="2" xfId="0" applyFont="1" applyFill="1" applyBorder="1" applyAlignment="1" applyProtection="1">
      <alignment wrapText="1"/>
      <protection hidden="1"/>
    </xf>
    <xf numFmtId="49" fontId="3" fillId="0" borderId="1" xfId="0" applyNumberFormat="1" applyFont="1" applyFill="1" applyBorder="1" applyAlignment="1" applyProtection="1">
      <alignment wrapText="1"/>
      <protection hidden="1"/>
    </xf>
    <xf numFmtId="49" fontId="2" fillId="0" borderId="1" xfId="0" applyNumberFormat="1" applyFont="1" applyFill="1" applyBorder="1" applyAlignment="1" applyProtection="1">
      <alignment wrapText="1"/>
      <protection hidden="1"/>
    </xf>
    <xf numFmtId="0" fontId="2" fillId="0" borderId="1" xfId="0" applyFont="1" applyFill="1" applyBorder="1" applyAlignment="1" applyProtection="1">
      <alignment horizontal="center" vertical="top" wrapText="1"/>
      <protection hidden="1"/>
    </xf>
    <xf numFmtId="4" fontId="2" fillId="0" borderId="14" xfId="0" applyNumberFormat="1" applyFont="1" applyFill="1" applyBorder="1" applyAlignment="1" applyProtection="1">
      <alignment horizontal="right" vertical="top" wrapText="1"/>
      <protection hidden="1"/>
    </xf>
    <xf numFmtId="4" fontId="7" fillId="0" borderId="12" xfId="0" applyNumberFormat="1" applyFont="1" applyFill="1" applyBorder="1" applyAlignment="1" applyProtection="1">
      <alignment horizontal="right" vertical="top" wrapText="1"/>
      <protection hidden="1"/>
    </xf>
    <xf numFmtId="0" fontId="2" fillId="0" borderId="1" xfId="0" quotePrefix="1" applyFont="1" applyFill="1" applyBorder="1" applyAlignment="1" applyProtection="1">
      <alignment horizontal="center" vertical="top" wrapText="1"/>
      <protection hidden="1"/>
    </xf>
    <xf numFmtId="4" fontId="2" fillId="0" borderId="14" xfId="0" applyNumberFormat="1" applyFont="1" applyFill="1" applyBorder="1" applyAlignment="1" applyProtection="1">
      <alignment horizontal="center" vertical="top" wrapText="1"/>
      <protection hidden="1"/>
    </xf>
    <xf numFmtId="0" fontId="2" fillId="0" borderId="1" xfId="0" applyFont="1" applyFill="1" applyBorder="1" applyAlignment="1" applyProtection="1">
      <alignment vertical="top"/>
      <protection hidden="1"/>
    </xf>
    <xf numFmtId="4" fontId="3" fillId="0" borderId="14" xfId="0" applyNumberFormat="1" applyFont="1" applyFill="1" applyBorder="1" applyAlignment="1" applyProtection="1">
      <alignment horizontal="right" vertical="top" wrapText="1"/>
      <protection hidden="1"/>
    </xf>
    <xf numFmtId="0" fontId="3" fillId="0" borderId="0" xfId="0" applyFont="1" applyFill="1" applyAlignment="1" applyProtection="1">
      <alignment vertical="top" wrapText="1"/>
      <protection hidden="1"/>
    </xf>
    <xf numFmtId="4" fontId="14" fillId="0" borderId="0" xfId="0" applyNumberFormat="1" applyFont="1" applyFill="1" applyAlignment="1" applyProtection="1">
      <alignment wrapText="1"/>
      <protection hidden="1"/>
    </xf>
    <xf numFmtId="49" fontId="2" fillId="0" borderId="1" xfId="0" applyNumberFormat="1" applyFont="1" applyFill="1" applyBorder="1" applyAlignment="1" applyProtection="1">
      <alignment horizontal="left" vertical="top"/>
      <protection hidden="1"/>
    </xf>
    <xf numFmtId="49" fontId="2" fillId="0" borderId="1" xfId="0" quotePrefix="1" applyNumberFormat="1" applyFont="1" applyFill="1" applyBorder="1" applyAlignment="1" applyProtection="1">
      <alignment horizontal="left" vertical="top"/>
      <protection hidden="1"/>
    </xf>
    <xf numFmtId="0" fontId="2" fillId="0" borderId="0" xfId="0" applyFont="1" applyFill="1" applyAlignment="1" applyProtection="1">
      <alignment vertical="top" wrapText="1"/>
      <protection hidden="1"/>
    </xf>
    <xf numFmtId="4" fontId="7" fillId="0" borderId="0" xfId="0" applyNumberFormat="1" applyFont="1" applyFill="1" applyAlignment="1" applyProtection="1">
      <alignment wrapText="1"/>
      <protection hidden="1"/>
    </xf>
    <xf numFmtId="0" fontId="2" fillId="0" borderId="1" xfId="0" applyFont="1" applyFill="1" applyBorder="1" applyAlignment="1" applyProtection="1">
      <alignment horizontal="center" vertical="top"/>
      <protection hidden="1"/>
    </xf>
    <xf numFmtId="4" fontId="2" fillId="0" borderId="14" xfId="0" applyNumberFormat="1" applyFont="1" applyFill="1" applyBorder="1" applyAlignment="1" applyProtection="1">
      <alignment vertical="top"/>
      <protection hidden="1"/>
    </xf>
    <xf numFmtId="0" fontId="2" fillId="0" borderId="0" xfId="0" applyFont="1" applyFill="1" applyBorder="1" applyAlignment="1" applyProtection="1">
      <alignment vertical="top" wrapText="1"/>
      <protection hidden="1"/>
    </xf>
    <xf numFmtId="4" fontId="7" fillId="0" borderId="0" xfId="0" applyNumberFormat="1" applyFont="1" applyFill="1" applyBorder="1" applyAlignment="1" applyProtection="1">
      <alignment wrapText="1"/>
      <protection hidden="1"/>
    </xf>
    <xf numFmtId="0" fontId="7" fillId="0" borderId="11" xfId="0" applyFont="1" applyFill="1" applyBorder="1" applyAlignment="1" applyProtection="1">
      <alignment horizontal="left" vertical="top" wrapText="1" indent="1"/>
      <protection hidden="1"/>
    </xf>
    <xf numFmtId="4" fontId="7" fillId="0" borderId="0" xfId="0" applyNumberFormat="1" applyFont="1" applyFill="1" applyBorder="1" applyAlignment="1" applyProtection="1">
      <alignment horizontal="right"/>
      <protection hidden="1"/>
    </xf>
    <xf numFmtId="0" fontId="7" fillId="0" borderId="0" xfId="0" applyFont="1" applyFill="1" applyBorder="1" applyAlignment="1" applyProtection="1">
      <alignment horizontal="left" vertical="top" wrapText="1" indent="1"/>
      <protection hidden="1"/>
    </xf>
    <xf numFmtId="0" fontId="8" fillId="0" borderId="0" xfId="0" applyNumberFormat="1" applyFont="1" applyFill="1" applyBorder="1" applyAlignment="1" applyProtection="1">
      <alignment horizontal="left" vertical="top" wrapText="1"/>
      <protection hidden="1"/>
    </xf>
    <xf numFmtId="0" fontId="10" fillId="0" borderId="0" xfId="0" applyNumberFormat="1" applyFont="1" applyFill="1" applyBorder="1" applyAlignment="1" applyProtection="1">
      <alignment horizontal="left" vertical="top" wrapText="1"/>
      <protection hidden="1"/>
    </xf>
    <xf numFmtId="49" fontId="8" fillId="0" borderId="0" xfId="0" applyNumberFormat="1" applyFont="1" applyFill="1" applyBorder="1" applyAlignment="1" applyProtection="1">
      <alignment horizontal="left" vertical="top" wrapText="1" indent="1"/>
      <protection hidden="1"/>
    </xf>
    <xf numFmtId="49" fontId="7" fillId="0" borderId="0" xfId="0" applyNumberFormat="1" applyFont="1" applyFill="1" applyBorder="1" applyAlignment="1" applyProtection="1">
      <alignment horizontal="left" vertical="top" wrapText="1" indent="1"/>
      <protection hidden="1"/>
    </xf>
    <xf numFmtId="0" fontId="2" fillId="0" borderId="2" xfId="0" applyFont="1" applyFill="1" applyBorder="1" applyAlignment="1" applyProtection="1">
      <alignment vertical="top" wrapText="1"/>
      <protection hidden="1"/>
    </xf>
    <xf numFmtId="0" fontId="2" fillId="0" borderId="1" xfId="0" applyFont="1" applyFill="1" applyBorder="1" applyAlignment="1" applyProtection="1">
      <alignment vertical="top" wrapText="1"/>
      <protection hidden="1"/>
    </xf>
    <xf numFmtId="49" fontId="3" fillId="0" borderId="1" xfId="0" applyNumberFormat="1" applyFont="1" applyFill="1" applyBorder="1" applyAlignment="1" applyProtection="1">
      <alignment horizontal="left" vertical="top" wrapText="1"/>
      <protection hidden="1"/>
    </xf>
    <xf numFmtId="49" fontId="2" fillId="0" borderId="1" xfId="0" applyNumberFormat="1" applyFont="1" applyFill="1" applyBorder="1" applyAlignment="1" applyProtection="1">
      <alignment horizontal="left" vertical="top" wrapText="1"/>
      <protection hidden="1"/>
    </xf>
    <xf numFmtId="0" fontId="2" fillId="0" borderId="2" xfId="0" applyFont="1" applyFill="1" applyBorder="1" applyAlignment="1" applyProtection="1">
      <alignment vertical="top"/>
      <protection hidden="1"/>
    </xf>
    <xf numFmtId="49" fontId="3" fillId="0" borderId="12" xfId="0" applyNumberFormat="1" applyFont="1" applyFill="1" applyBorder="1" applyAlignment="1" applyProtection="1">
      <alignment vertical="top"/>
      <protection hidden="1"/>
    </xf>
    <xf numFmtId="0" fontId="3" fillId="0" borderId="1" xfId="0" applyFont="1" applyFill="1" applyBorder="1" applyAlignment="1" applyProtection="1">
      <alignment vertical="top"/>
      <protection hidden="1"/>
    </xf>
    <xf numFmtId="4" fontId="12" fillId="0" borderId="14" xfId="0" applyNumberFormat="1" applyFont="1" applyFill="1" applyBorder="1" applyAlignment="1" applyProtection="1">
      <alignment vertical="top"/>
      <protection hidden="1"/>
    </xf>
    <xf numFmtId="0" fontId="2" fillId="0" borderId="0" xfId="0" applyFont="1" applyFill="1" applyBorder="1" applyProtection="1">
      <protection hidden="1"/>
    </xf>
    <xf numFmtId="0" fontId="3" fillId="0" borderId="12" xfId="0" applyFont="1" applyFill="1" applyBorder="1" applyAlignment="1" applyProtection="1">
      <alignment horizontal="center" vertical="top" wrapText="1"/>
      <protection hidden="1"/>
    </xf>
    <xf numFmtId="4" fontId="2" fillId="0" borderId="14" xfId="0" applyNumberFormat="1" applyFont="1" applyFill="1" applyBorder="1" applyAlignment="1" applyProtection="1">
      <alignment vertical="top" wrapText="1"/>
      <protection hidden="1"/>
    </xf>
    <xf numFmtId="4" fontId="7" fillId="0" borderId="0" xfId="0" applyNumberFormat="1" applyFont="1" applyFill="1" applyBorder="1" applyAlignment="1" applyProtection="1">
      <alignment vertical="top" wrapText="1"/>
      <protection hidden="1"/>
    </xf>
    <xf numFmtId="0" fontId="8" fillId="0" borderId="0" xfId="0" applyFont="1" applyFill="1" applyBorder="1" applyAlignment="1" applyProtection="1">
      <alignment vertical="top" wrapText="1"/>
      <protection hidden="1"/>
    </xf>
    <xf numFmtId="4" fontId="8" fillId="0" borderId="0" xfId="0" applyNumberFormat="1" applyFont="1" applyFill="1" applyBorder="1" applyAlignment="1" applyProtection="1">
      <alignment wrapText="1"/>
      <protection hidden="1"/>
    </xf>
    <xf numFmtId="0" fontId="7" fillId="0" borderId="0" xfId="0" applyFont="1" applyFill="1" applyAlignment="1" applyProtection="1">
      <alignment horizontal="left" vertical="top" wrapText="1"/>
      <protection hidden="1"/>
    </xf>
    <xf numFmtId="4" fontId="7" fillId="0" borderId="0" xfId="0" applyNumberFormat="1" applyFont="1" applyFill="1" applyAlignment="1" applyProtection="1">
      <alignment horizontal="right" vertical="top" wrapText="1"/>
      <protection hidden="1"/>
    </xf>
    <xf numFmtId="0" fontId="14" fillId="0" borderId="0" xfId="0" applyNumberFormat="1" applyFont="1" applyFill="1" applyBorder="1" applyAlignment="1" applyProtection="1">
      <alignment horizontal="right" vertical="top" wrapText="1"/>
      <protection hidden="1"/>
    </xf>
    <xf numFmtId="4" fontId="14" fillId="0" borderId="0" xfId="0" applyNumberFormat="1" applyFont="1" applyFill="1" applyBorder="1" applyAlignment="1" applyProtection="1">
      <alignment horizontal="right" vertical="top" wrapText="1"/>
      <protection hidden="1"/>
    </xf>
    <xf numFmtId="0" fontId="3" fillId="0" borderId="12" xfId="0" applyFont="1" applyFill="1" applyBorder="1" applyAlignment="1" applyProtection="1">
      <alignment horizontal="left" vertical="top" wrapText="1"/>
      <protection hidden="1"/>
    </xf>
    <xf numFmtId="0" fontId="12" fillId="0" borderId="2" xfId="0" applyFont="1" applyFill="1" applyBorder="1" applyAlignment="1" applyProtection="1">
      <alignment vertical="top"/>
      <protection hidden="1"/>
    </xf>
    <xf numFmtId="0" fontId="2" fillId="0" borderId="12" xfId="0" applyFont="1" applyFill="1" applyBorder="1" applyAlignment="1" applyProtection="1">
      <alignment horizontal="left" vertical="top" wrapText="1"/>
      <protection hidden="1"/>
    </xf>
    <xf numFmtId="4" fontId="8" fillId="0" borderId="0" xfId="0" applyNumberFormat="1" applyFont="1" applyFill="1" applyBorder="1" applyAlignment="1" applyProtection="1">
      <alignment vertical="top" wrapText="1"/>
      <protection hidden="1"/>
    </xf>
    <xf numFmtId="4" fontId="7" fillId="0" borderId="0" xfId="0" applyNumberFormat="1" applyFont="1" applyFill="1" applyBorder="1" applyAlignment="1" applyProtection="1">
      <alignment horizontal="right" wrapText="1"/>
      <protection hidden="1"/>
    </xf>
    <xf numFmtId="0" fontId="7" fillId="0" borderId="0" xfId="0" applyFont="1" applyFill="1" applyAlignment="1" applyProtection="1">
      <alignment horizontal="left" vertical="top" wrapText="1" indent="1"/>
      <protection hidden="1"/>
    </xf>
    <xf numFmtId="49" fontId="3" fillId="0" borderId="12" xfId="0" applyNumberFormat="1" applyFont="1" applyFill="1" applyBorder="1" applyAlignment="1" applyProtection="1">
      <alignment vertical="top" wrapText="1"/>
      <protection hidden="1"/>
    </xf>
    <xf numFmtId="0" fontId="8" fillId="0" borderId="0" xfId="0" applyNumberFormat="1" applyFont="1" applyFill="1" applyBorder="1" applyAlignment="1" applyProtection="1">
      <alignment horizontal="left" vertical="top" wrapText="1" indent="1"/>
      <protection hidden="1"/>
    </xf>
    <xf numFmtId="0" fontId="2" fillId="0" borderId="1" xfId="0" applyNumberFormat="1" applyFont="1" applyFill="1" applyBorder="1" applyAlignment="1" applyProtection="1">
      <alignment horizontal="left" vertical="top" wrapText="1"/>
      <protection hidden="1"/>
    </xf>
    <xf numFmtId="0" fontId="2" fillId="0" borderId="1" xfId="0" applyNumberFormat="1" applyFont="1" applyFill="1" applyBorder="1" applyAlignment="1" applyProtection="1">
      <alignment horizontal="center" vertical="top" wrapText="1"/>
      <protection hidden="1"/>
    </xf>
    <xf numFmtId="0" fontId="8" fillId="0" borderId="0" xfId="0" applyFont="1" applyFill="1" applyAlignment="1" applyProtection="1">
      <alignment horizontal="left" vertical="top" wrapText="1" indent="1"/>
      <protection hidden="1"/>
    </xf>
    <xf numFmtId="167" fontId="7" fillId="0" borderId="0" xfId="0" applyNumberFormat="1" applyFont="1" applyFill="1" applyBorder="1" applyAlignment="1" applyProtection="1">
      <alignment horizontal="left" wrapText="1" indent="1"/>
      <protection hidden="1"/>
    </xf>
    <xf numFmtId="4" fontId="11" fillId="0" borderId="0" xfId="0" applyNumberFormat="1" applyFont="1" applyFill="1" applyBorder="1" applyAlignment="1" applyProtection="1">
      <alignment vertical="top" wrapText="1"/>
      <protection hidden="1"/>
    </xf>
    <xf numFmtId="4" fontId="13" fillId="0" borderId="0" xfId="0" applyNumberFormat="1" applyFont="1" applyFill="1" applyBorder="1" applyAlignment="1" applyProtection="1">
      <alignment vertical="top" wrapText="1"/>
      <protection hidden="1"/>
    </xf>
    <xf numFmtId="4" fontId="2" fillId="0" borderId="14" xfId="3" applyNumberFormat="1" applyFont="1" applyFill="1" applyBorder="1" applyAlignment="1" applyProtection="1">
      <alignment vertical="top" wrapText="1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4" fontId="8" fillId="0" borderId="0" xfId="0" applyNumberFormat="1" applyFont="1" applyFill="1" applyAlignment="1" applyProtection="1">
      <alignment horizontal="right" vertical="top" wrapText="1"/>
      <protection hidden="1"/>
    </xf>
    <xf numFmtId="49" fontId="3" fillId="0" borderId="0" xfId="0" quotePrefix="1" applyNumberFormat="1" applyFont="1" applyFill="1" applyBorder="1" applyAlignment="1" applyProtection="1">
      <alignment horizontal="left" vertical="top"/>
      <protection hidden="1"/>
    </xf>
    <xf numFmtId="167" fontId="7" fillId="0" borderId="0" xfId="0" applyNumberFormat="1" applyFont="1" applyFill="1" applyAlignment="1" applyProtection="1">
      <alignment horizontal="left" wrapText="1" indent="1"/>
      <protection hidden="1"/>
    </xf>
    <xf numFmtId="0" fontId="2" fillId="0" borderId="16" xfId="0" applyFont="1" applyFill="1" applyBorder="1" applyAlignment="1" applyProtection="1">
      <alignment horizontal="left" vertical="top" wrapText="1"/>
      <protection hidden="1"/>
    </xf>
    <xf numFmtId="4" fontId="7" fillId="0" borderId="3" xfId="0" applyNumberFormat="1" applyFont="1" applyFill="1" applyBorder="1" applyAlignment="1" applyProtection="1">
      <alignment horizontal="right" vertical="top" wrapText="1"/>
      <protection hidden="1"/>
    </xf>
    <xf numFmtId="0" fontId="2" fillId="0" borderId="0" xfId="0" applyFont="1" applyFill="1" applyProtection="1">
      <protection hidden="1"/>
    </xf>
    <xf numFmtId="49" fontId="2" fillId="0" borderId="6" xfId="0" applyNumberFormat="1" applyFont="1" applyFill="1" applyBorder="1" applyAlignment="1" applyProtection="1">
      <alignment horizontal="left" vertical="top"/>
      <protection hidden="1"/>
    </xf>
    <xf numFmtId="49" fontId="2" fillId="0" borderId="6" xfId="0" quotePrefix="1" applyNumberFormat="1" applyFont="1" applyFill="1" applyBorder="1" applyAlignment="1" applyProtection="1">
      <alignment horizontal="left" vertical="top"/>
      <protection hidden="1"/>
    </xf>
    <xf numFmtId="0" fontId="2" fillId="0" borderId="3" xfId="0" applyFont="1" applyFill="1" applyBorder="1" applyAlignment="1" applyProtection="1">
      <alignment vertical="top" wrapText="1"/>
      <protection hidden="1"/>
    </xf>
    <xf numFmtId="0" fontId="2" fillId="0" borderId="6" xfId="0" applyFont="1" applyFill="1" applyBorder="1" applyAlignment="1" applyProtection="1">
      <alignment horizontal="center" vertical="top"/>
      <protection hidden="1"/>
    </xf>
    <xf numFmtId="4" fontId="2" fillId="0" borderId="0" xfId="0" applyNumberFormat="1" applyFont="1" applyFill="1" applyProtection="1">
      <protection hidden="1"/>
    </xf>
    <xf numFmtId="164" fontId="3" fillId="0" borderId="1" xfId="0" applyNumberFormat="1" applyFont="1" applyFill="1" applyBorder="1" applyAlignment="1" applyProtection="1">
      <alignment horizontal="left" vertical="top" wrapText="1"/>
      <protection hidden="1"/>
    </xf>
    <xf numFmtId="165" fontId="3" fillId="0" borderId="1" xfId="0" applyNumberFormat="1" applyFont="1" applyFill="1" applyBorder="1" applyAlignment="1" applyProtection="1">
      <alignment horizontal="left" vertical="top" wrapText="1"/>
      <protection hidden="1"/>
    </xf>
    <xf numFmtId="0" fontId="3" fillId="0" borderId="0" xfId="0" applyFont="1" applyFill="1" applyBorder="1" applyAlignment="1" applyProtection="1">
      <alignment horizontal="left" vertical="top" wrapText="1"/>
      <protection hidden="1"/>
    </xf>
    <xf numFmtId="49" fontId="6" fillId="0" borderId="1" xfId="0" applyNumberFormat="1" applyFont="1" applyFill="1" applyBorder="1" applyAlignment="1" applyProtection="1">
      <alignment vertical="top"/>
      <protection hidden="1"/>
    </xf>
    <xf numFmtId="0" fontId="14" fillId="0" borderId="0" xfId="0" applyNumberFormat="1" applyFont="1" applyFill="1" applyBorder="1" applyAlignment="1" applyProtection="1">
      <alignment horizontal="left" vertical="top" wrapText="1"/>
      <protection hidden="1"/>
    </xf>
    <xf numFmtId="164" fontId="19" fillId="0" borderId="1" xfId="0" applyNumberFormat="1" applyFont="1" applyFill="1" applyBorder="1" applyAlignment="1" applyProtection="1">
      <alignment horizontal="left" vertical="top" wrapText="1"/>
      <protection hidden="1"/>
    </xf>
    <xf numFmtId="165" fontId="19" fillId="0" borderId="1" xfId="0" applyNumberFormat="1" applyFont="1" applyFill="1" applyBorder="1" applyAlignment="1" applyProtection="1">
      <alignment horizontal="left" vertical="top" wrapText="1"/>
      <protection hidden="1"/>
    </xf>
    <xf numFmtId="49" fontId="3" fillId="0" borderId="1" xfId="0" applyNumberFormat="1" applyFont="1" applyFill="1" applyBorder="1" applyAlignment="1" applyProtection="1">
      <alignment vertical="top"/>
      <protection hidden="1"/>
    </xf>
    <xf numFmtId="0" fontId="6" fillId="0" borderId="0" xfId="0" applyFont="1" applyFill="1" applyBorder="1" applyAlignment="1" applyProtection="1">
      <alignment vertical="top" wrapText="1"/>
      <protection hidden="1"/>
    </xf>
    <xf numFmtId="0" fontId="14" fillId="0" borderId="0" xfId="0" applyNumberFormat="1" applyFont="1" applyFill="1" applyBorder="1" applyAlignment="1" applyProtection="1">
      <alignment horizontal="left" vertical="top" wrapText="1" indent="1"/>
      <protection hidden="1"/>
    </xf>
    <xf numFmtId="167" fontId="7" fillId="0" borderId="0" xfId="0" applyNumberFormat="1" applyFont="1" applyFill="1" applyBorder="1" applyAlignment="1" applyProtection="1">
      <alignment horizontal="left" inden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167" fontId="14" fillId="0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vertical="top" wrapText="1"/>
      <protection hidden="1"/>
    </xf>
    <xf numFmtId="167" fontId="14" fillId="0" borderId="0" xfId="0" applyNumberFormat="1" applyFont="1" applyFill="1" applyAlignment="1" applyProtection="1">
      <alignment horizontal="center" vertical="center"/>
      <protection hidden="1"/>
    </xf>
    <xf numFmtId="49" fontId="16" fillId="0" borderId="1" xfId="0" quotePrefix="1" applyNumberFormat="1" applyFont="1" applyFill="1" applyBorder="1" applyAlignment="1" applyProtection="1">
      <alignment horizontal="left" vertical="top"/>
      <protection hidden="1"/>
    </xf>
    <xf numFmtId="0" fontId="16" fillId="0" borderId="1" xfId="0" applyFont="1" applyFill="1" applyBorder="1" applyAlignment="1" applyProtection="1">
      <alignment horizontal="center" vertical="top"/>
      <protection hidden="1"/>
    </xf>
    <xf numFmtId="4" fontId="14" fillId="0" borderId="0" xfId="0" applyNumberFormat="1" applyFont="1" applyFill="1" applyAlignment="1" applyProtection="1">
      <alignment vertical="top" wrapText="1"/>
      <protection hidden="1"/>
    </xf>
    <xf numFmtId="0" fontId="12" fillId="0" borderId="15" xfId="0" applyFont="1" applyFill="1" applyBorder="1" applyAlignment="1" applyProtection="1">
      <alignment vertical="top"/>
      <protection hidden="1"/>
    </xf>
    <xf numFmtId="4" fontId="2" fillId="0" borderId="17" xfId="0" applyNumberFormat="1" applyFont="1" applyFill="1" applyBorder="1" applyAlignment="1" applyProtection="1">
      <alignment vertical="top" wrapText="1"/>
      <protection hidden="1"/>
    </xf>
    <xf numFmtId="0" fontId="2" fillId="0" borderId="0" xfId="0" applyFont="1" applyFill="1" applyAlignment="1" applyProtection="1">
      <alignment horizontal="left" vertical="top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Fill="1" applyProtection="1">
      <protection hidden="1"/>
    </xf>
    <xf numFmtId="49" fontId="3" fillId="0" borderId="0" xfId="0" applyNumberFormat="1" applyFont="1" applyFill="1" applyAlignment="1" applyProtection="1">
      <alignment wrapText="1"/>
      <protection hidden="1"/>
    </xf>
    <xf numFmtId="0" fontId="2" fillId="0" borderId="0" xfId="0" applyFont="1" applyFill="1" applyAlignment="1" applyProtection="1">
      <alignment horizontal="center"/>
      <protection hidden="1"/>
    </xf>
    <xf numFmtId="4" fontId="2" fillId="0" borderId="0" xfId="0" applyNumberFormat="1" applyFont="1" applyFill="1" applyAlignment="1" applyProtection="1">
      <alignment vertical="top"/>
      <protection hidden="1"/>
    </xf>
    <xf numFmtId="1" fontId="2" fillId="0" borderId="0" xfId="0" applyNumberFormat="1" applyFont="1" applyFill="1" applyAlignment="1" applyProtection="1">
      <alignment horizontal="left" vertical="top"/>
      <protection hidden="1"/>
    </xf>
    <xf numFmtId="4" fontId="2" fillId="0" borderId="0" xfId="0" applyNumberFormat="1" applyFont="1" applyFill="1" applyAlignment="1" applyProtection="1">
      <alignment horizontal="right" vertical="top"/>
      <protection hidden="1"/>
    </xf>
    <xf numFmtId="4" fontId="2" fillId="0" borderId="10" xfId="0" applyNumberFormat="1" applyFont="1" applyFill="1" applyBorder="1" applyAlignment="1" applyProtection="1">
      <alignment vertical="top" wrapText="1"/>
      <protection hidden="1"/>
    </xf>
    <xf numFmtId="4" fontId="3" fillId="0" borderId="0" xfId="0" applyNumberFormat="1" applyFont="1" applyFill="1" applyAlignment="1" applyProtection="1">
      <alignment vertical="center" wrapText="1"/>
      <protection hidden="1"/>
    </xf>
    <xf numFmtId="4" fontId="3" fillId="0" borderId="0" xfId="0" applyNumberFormat="1" applyFont="1" applyFill="1" applyAlignment="1" applyProtection="1">
      <alignment vertical="top" wrapText="1"/>
      <protection hidden="1"/>
    </xf>
    <xf numFmtId="4" fontId="3" fillId="0" borderId="0" xfId="0" applyNumberFormat="1" applyFont="1" applyFill="1" applyAlignment="1" applyProtection="1">
      <alignment wrapText="1"/>
      <protection hidden="1"/>
    </xf>
    <xf numFmtId="0" fontId="8" fillId="0" borderId="0" xfId="0" applyFont="1" applyFill="1" applyAlignment="1" applyProtection="1">
      <alignment horizontal="left" vertical="top" wrapText="1"/>
      <protection hidden="1"/>
    </xf>
    <xf numFmtId="4" fontId="7" fillId="0" borderId="0" xfId="0" applyNumberFormat="1" applyFont="1" applyFill="1" applyAlignment="1" applyProtection="1">
      <alignment horizontal="right"/>
      <protection hidden="1"/>
    </xf>
    <xf numFmtId="4" fontId="8" fillId="0" borderId="0" xfId="0" applyNumberFormat="1" applyFont="1" applyFill="1" applyAlignment="1" applyProtection="1">
      <alignment horizontal="right"/>
      <protection hidden="1"/>
    </xf>
    <xf numFmtId="0" fontId="14" fillId="0" borderId="0" xfId="0" applyFont="1" applyFill="1" applyAlignment="1" applyProtection="1">
      <alignment horizontal="left" vertical="top" wrapText="1"/>
      <protection hidden="1"/>
    </xf>
    <xf numFmtId="0" fontId="10" fillId="0" borderId="0" xfId="0" applyFont="1" applyFill="1" applyAlignment="1" applyProtection="1">
      <alignment horizontal="left" vertical="top" wrapText="1"/>
      <protection hidden="1"/>
    </xf>
    <xf numFmtId="4" fontId="2" fillId="0" borderId="0" xfId="0" applyNumberFormat="1" applyFont="1" applyFill="1" applyAlignment="1" applyProtection="1">
      <alignment wrapText="1"/>
      <protection hidden="1"/>
    </xf>
    <xf numFmtId="49" fontId="8" fillId="0" borderId="0" xfId="0" applyNumberFormat="1" applyFont="1" applyFill="1" applyAlignment="1" applyProtection="1">
      <alignment horizontal="left" vertical="top" wrapText="1" indent="1"/>
      <protection hidden="1"/>
    </xf>
    <xf numFmtId="49" fontId="7" fillId="0" borderId="0" xfId="0" applyNumberFormat="1" applyFont="1" applyFill="1" applyAlignment="1" applyProtection="1">
      <alignment horizontal="left" vertical="top" wrapText="1" indent="1"/>
      <protection hidden="1"/>
    </xf>
    <xf numFmtId="4" fontId="2" fillId="0" borderId="0" xfId="0" applyNumberFormat="1" applyFont="1" applyFill="1" applyAlignment="1" applyProtection="1">
      <alignment vertical="top" wrapText="1"/>
      <protection hidden="1"/>
    </xf>
    <xf numFmtId="4" fontId="8" fillId="0" borderId="12" xfId="0" applyNumberFormat="1" applyFont="1" applyFill="1" applyBorder="1" applyAlignment="1" applyProtection="1">
      <alignment horizontal="right" vertical="top" wrapText="1"/>
      <protection hidden="1"/>
    </xf>
    <xf numFmtId="0" fontId="14" fillId="0" borderId="0" xfId="0" applyFont="1" applyFill="1" applyAlignment="1" applyProtection="1">
      <alignment horizontal="right" vertical="top" wrapText="1" indent="1"/>
      <protection hidden="1"/>
    </xf>
    <xf numFmtId="4" fontId="14" fillId="0" borderId="0" xfId="0" applyNumberFormat="1" applyFont="1" applyFill="1" applyAlignment="1" applyProtection="1">
      <alignment horizontal="right" vertical="top" wrapText="1"/>
      <protection hidden="1"/>
    </xf>
    <xf numFmtId="4" fontId="8" fillId="0" borderId="0" xfId="0" applyNumberFormat="1" applyFont="1" applyFill="1" applyAlignment="1" applyProtection="1">
      <alignment horizontal="right" wrapText="1"/>
      <protection hidden="1"/>
    </xf>
    <xf numFmtId="4" fontId="7" fillId="0" borderId="0" xfId="0" applyNumberFormat="1" applyFont="1" applyFill="1" applyAlignment="1" applyProtection="1">
      <alignment vertical="top" wrapText="1"/>
      <protection hidden="1"/>
    </xf>
    <xf numFmtId="4" fontId="8" fillId="0" borderId="0" xfId="0" applyNumberFormat="1" applyFont="1" applyFill="1" applyAlignment="1" applyProtection="1">
      <alignment vertical="top" wrapText="1"/>
      <protection hidden="1"/>
    </xf>
    <xf numFmtId="4" fontId="11" fillId="0" borderId="0" xfId="0" applyNumberFormat="1" applyFont="1" applyFill="1" applyAlignment="1" applyProtection="1">
      <alignment vertical="top" wrapText="1"/>
      <protection hidden="1"/>
    </xf>
    <xf numFmtId="4" fontId="13" fillId="0" borderId="0" xfId="0" applyNumberFormat="1" applyFont="1" applyFill="1" applyAlignment="1" applyProtection="1">
      <alignment vertical="top" wrapText="1"/>
      <protection hidden="1"/>
    </xf>
    <xf numFmtId="0" fontId="16" fillId="0" borderId="0" xfId="0" applyFont="1" applyFill="1" applyAlignment="1" applyProtection="1">
      <alignment vertical="top" wrapText="1"/>
      <protection hidden="1"/>
    </xf>
    <xf numFmtId="4" fontId="16" fillId="0" borderId="0" xfId="0" applyNumberFormat="1" applyFont="1" applyFill="1" applyAlignment="1" applyProtection="1">
      <alignment wrapText="1"/>
      <protection hidden="1"/>
    </xf>
    <xf numFmtId="0" fontId="12" fillId="0" borderId="12" xfId="0" applyFont="1" applyFill="1" applyBorder="1" applyAlignment="1" applyProtection="1">
      <alignment vertical="top"/>
      <protection hidden="1"/>
    </xf>
    <xf numFmtId="0" fontId="16" fillId="0" borderId="0" xfId="0" applyFont="1" applyFill="1" applyAlignment="1" applyProtection="1">
      <alignment wrapText="1"/>
      <protection hidden="1"/>
    </xf>
    <xf numFmtId="0" fontId="7" fillId="0" borderId="0" xfId="0" applyFont="1" applyFill="1" applyAlignment="1" applyProtection="1">
      <alignment vertical="top" wrapText="1"/>
      <protection hidden="1"/>
    </xf>
    <xf numFmtId="4" fontId="7" fillId="0" borderId="0" xfId="0" applyNumberFormat="1" applyFont="1" applyFill="1" applyAlignment="1" applyProtection="1">
      <alignment horizontal="right" wrapText="1"/>
      <protection hidden="1"/>
    </xf>
    <xf numFmtId="49" fontId="3" fillId="0" borderId="0" xfId="0" quotePrefix="1" applyNumberFormat="1" applyFont="1" applyFill="1" applyAlignment="1" applyProtection="1">
      <alignment horizontal="left" vertical="top"/>
      <protection hidden="1"/>
    </xf>
    <xf numFmtId="4" fontId="3" fillId="0" borderId="26" xfId="0" applyNumberFormat="1" applyFont="1" applyFill="1" applyBorder="1" applyAlignment="1" applyProtection="1">
      <alignment vertical="top" wrapText="1"/>
      <protection hidden="1"/>
    </xf>
    <xf numFmtId="49" fontId="11" fillId="0" borderId="0" xfId="0" applyNumberFormat="1" applyFont="1" applyFill="1" applyAlignment="1" applyProtection="1">
      <alignment horizontal="left" wrapText="1"/>
      <protection hidden="1"/>
    </xf>
    <xf numFmtId="0" fontId="3" fillId="0" borderId="0" xfId="0" applyFont="1" applyFill="1" applyAlignment="1" applyProtection="1">
      <alignment horizontal="left" vertical="top" wrapText="1"/>
      <protection hidden="1"/>
    </xf>
    <xf numFmtId="0" fontId="14" fillId="0" borderId="0" xfId="0" applyFont="1" applyFill="1" applyAlignment="1" applyProtection="1">
      <alignment horizontal="left" vertical="top" wrapText="1" indent="1"/>
      <protection hidden="1"/>
    </xf>
    <xf numFmtId="167" fontId="7" fillId="0" borderId="0" xfId="0" applyNumberFormat="1" applyFont="1" applyFill="1" applyAlignment="1" applyProtection="1">
      <alignment horizontal="left" indent="1"/>
      <protection hidden="1"/>
    </xf>
    <xf numFmtId="4" fontId="7" fillId="0" borderId="0" xfId="0" applyNumberFormat="1" applyFont="1" applyFill="1" applyProtection="1">
      <protection hidden="1"/>
    </xf>
    <xf numFmtId="0" fontId="10" fillId="0" borderId="0" xfId="0" applyFont="1" applyFill="1" applyAlignment="1" applyProtection="1">
      <alignment horizontal="left" vertical="top" wrapText="1" indent="1"/>
      <protection hidden="1"/>
    </xf>
    <xf numFmtId="0" fontId="3" fillId="0" borderId="2" xfId="0" applyFont="1" applyFill="1" applyBorder="1" applyAlignment="1" applyProtection="1">
      <alignment horizontal="center" vertical="top"/>
      <protection hidden="1"/>
    </xf>
    <xf numFmtId="0" fontId="2" fillId="0" borderId="12" xfId="0" applyFont="1" applyFill="1" applyBorder="1" applyAlignment="1" applyProtection="1">
      <alignment vertical="top" wrapText="1"/>
      <protection hidden="1"/>
    </xf>
    <xf numFmtId="0" fontId="6" fillId="0" borderId="0" xfId="0" applyFont="1" applyFill="1" applyProtection="1">
      <protection hidden="1"/>
    </xf>
    <xf numFmtId="0" fontId="2" fillId="0" borderId="0" xfId="0" applyFont="1" applyFill="1" applyAlignment="1" applyProtection="1">
      <alignment horizontal="center" vertical="center" wrapText="1"/>
      <protection hidden="1"/>
    </xf>
    <xf numFmtId="0" fontId="2" fillId="0" borderId="1" xfId="0" quotePrefix="1" applyFont="1" applyFill="1" applyBorder="1" applyAlignment="1" applyProtection="1">
      <alignment horizontal="center" vertical="center"/>
      <protection hidden="1"/>
    </xf>
    <xf numFmtId="4" fontId="2" fillId="0" borderId="14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wrapText="1"/>
      <protection hidden="1"/>
    </xf>
    <xf numFmtId="4" fontId="7" fillId="0" borderId="12" xfId="0" applyNumberFormat="1" applyFont="1" applyFill="1" applyBorder="1" applyAlignment="1" applyProtection="1">
      <alignment horizontal="right" wrapText="1"/>
      <protection hidden="1"/>
    </xf>
    <xf numFmtId="3" fontId="2" fillId="0" borderId="14" xfId="0" applyNumberFormat="1" applyFont="1" applyFill="1" applyBorder="1" applyAlignment="1" applyProtection="1">
      <alignment horizontal="center" vertical="top" wrapText="1"/>
      <protection hidden="1"/>
    </xf>
    <xf numFmtId="0" fontId="7" fillId="0" borderId="0" xfId="0" applyFont="1" applyFill="1" applyAlignment="1" applyProtection="1">
      <alignment horizontal="right" vertical="top" wrapText="1" indent="1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6" fillId="0" borderId="11" xfId="0" applyFont="1" applyFill="1" applyBorder="1" applyAlignment="1" applyProtection="1">
      <alignment vertical="top" wrapText="1"/>
      <protection hidden="1"/>
    </xf>
    <xf numFmtId="4" fontId="20" fillId="0" borderId="0" xfId="0" applyNumberFormat="1" applyFont="1" applyFill="1" applyAlignment="1" applyProtection="1">
      <alignment wrapText="1"/>
      <protection hidden="1"/>
    </xf>
    <xf numFmtId="0" fontId="2" fillId="0" borderId="0" xfId="0" applyFont="1" applyFill="1" applyAlignment="1" applyProtection="1">
      <alignment horizontal="left" vertical="top" wrapText="1"/>
      <protection hidden="1"/>
    </xf>
    <xf numFmtId="166" fontId="7" fillId="0" borderId="0" xfId="0" applyNumberFormat="1" applyFont="1" applyFill="1" applyAlignment="1" applyProtection="1">
      <alignment horizontal="right" vertical="top" wrapText="1"/>
      <protection hidden="1"/>
    </xf>
    <xf numFmtId="4" fontId="19" fillId="0" borderId="0" xfId="0" applyNumberFormat="1" applyFont="1" applyFill="1" applyAlignment="1" applyProtection="1">
      <alignment wrapText="1"/>
      <protection hidden="1"/>
    </xf>
    <xf numFmtId="0" fontId="19" fillId="0" borderId="1" xfId="0" applyFont="1" applyFill="1" applyBorder="1" applyAlignment="1" applyProtection="1">
      <alignment horizontal="center" vertical="top"/>
      <protection hidden="1"/>
    </xf>
    <xf numFmtId="4" fontId="2" fillId="0" borderId="12" xfId="0" applyNumberFormat="1" applyFont="1" applyFill="1" applyBorder="1" applyAlignment="1" applyProtection="1">
      <alignment wrapText="1"/>
      <protection hidden="1"/>
    </xf>
    <xf numFmtId="0" fontId="7" fillId="0" borderId="0" xfId="0" applyFont="1" applyFill="1" applyAlignment="1" applyProtection="1">
      <alignment horizontal="right" vertical="top" wrapText="1"/>
      <protection hidden="1"/>
    </xf>
    <xf numFmtId="168" fontId="7" fillId="0" borderId="0" xfId="0" applyNumberFormat="1" applyFont="1" applyFill="1" applyAlignment="1" applyProtection="1">
      <alignment horizontal="right" vertical="top" wrapText="1"/>
      <protection hidden="1"/>
    </xf>
    <xf numFmtId="49" fontId="2" fillId="0" borderId="12" xfId="0" quotePrefix="1" applyNumberFormat="1" applyFont="1" applyFill="1" applyBorder="1" applyAlignment="1" applyProtection="1">
      <alignment horizontal="left" vertical="top"/>
      <protection hidden="1"/>
    </xf>
    <xf numFmtId="4" fontId="2" fillId="0" borderId="26" xfId="0" applyNumberFormat="1" applyFont="1" applyFill="1" applyBorder="1" applyAlignment="1" applyProtection="1">
      <alignment horizontal="right" vertical="top" wrapText="1"/>
      <protection hidden="1"/>
    </xf>
    <xf numFmtId="0" fontId="3" fillId="0" borderId="15" xfId="0" applyFont="1" applyFill="1" applyBorder="1" applyAlignment="1" applyProtection="1">
      <alignment horizontal="center" vertical="top" wrapText="1"/>
      <protection hidden="1"/>
    </xf>
    <xf numFmtId="0" fontId="3" fillId="0" borderId="16" xfId="0" applyFont="1" applyFill="1" applyBorder="1" applyAlignment="1" applyProtection="1">
      <alignment horizontal="center" vertical="top" wrapText="1"/>
      <protection hidden="1"/>
    </xf>
    <xf numFmtId="0" fontId="3" fillId="0" borderId="6" xfId="0" applyFont="1" applyFill="1" applyBorder="1" applyAlignment="1" applyProtection="1">
      <alignment vertical="top" wrapText="1"/>
      <protection hidden="1"/>
    </xf>
    <xf numFmtId="0" fontId="2" fillId="0" borderId="3" xfId="0" applyFont="1" applyFill="1" applyBorder="1" applyAlignment="1" applyProtection="1">
      <alignment horizontal="left" vertical="top" wrapText="1"/>
      <protection hidden="1"/>
    </xf>
    <xf numFmtId="4" fontId="2" fillId="0" borderId="3" xfId="0" applyNumberFormat="1" applyFont="1" applyFill="1" applyBorder="1" applyAlignment="1" applyProtection="1">
      <alignment vertical="top" wrapText="1"/>
      <protection hidden="1"/>
    </xf>
    <xf numFmtId="0" fontId="2" fillId="0" borderId="6" xfId="0" applyFont="1" applyFill="1" applyBorder="1" applyAlignment="1" applyProtection="1">
      <alignment horizontal="center" vertical="top" wrapText="1"/>
      <protection hidden="1"/>
    </xf>
    <xf numFmtId="4" fontId="2" fillId="0" borderId="28" xfId="0" applyNumberFormat="1" applyFont="1" applyFill="1" applyBorder="1" applyAlignment="1" applyProtection="1">
      <alignment vertical="top" wrapText="1"/>
      <protection hidden="1"/>
    </xf>
    <xf numFmtId="4" fontId="7" fillId="0" borderId="12" xfId="0" applyNumberFormat="1" applyFont="1" applyFill="1" applyBorder="1" applyAlignment="1" applyProtection="1">
      <alignment horizontal="right" vertical="center" wrapText="1"/>
      <protection hidden="1"/>
    </xf>
    <xf numFmtId="4" fontId="8" fillId="0" borderId="12" xfId="0" applyNumberFormat="1" applyFont="1" applyFill="1" applyBorder="1" applyAlignment="1" applyProtection="1">
      <alignment horizontal="right" vertical="center" wrapText="1"/>
      <protection hidden="1"/>
    </xf>
    <xf numFmtId="4" fontId="7" fillId="0" borderId="0" xfId="0" applyNumberFormat="1" applyFont="1" applyFill="1" applyAlignment="1" applyProtection="1">
      <alignment horizontal="right" vertical="center" wrapText="1"/>
      <protection hidden="1"/>
    </xf>
    <xf numFmtId="49" fontId="17" fillId="0" borderId="1" xfId="0" applyNumberFormat="1" applyFont="1" applyFill="1" applyBorder="1" applyAlignment="1" applyProtection="1">
      <alignment horizontal="left" vertical="center" wrapText="1"/>
      <protection hidden="1"/>
    </xf>
    <xf numFmtId="49" fontId="17" fillId="0" borderId="1" xfId="0" quotePrefix="1" applyNumberFormat="1" applyFont="1" applyFill="1" applyBorder="1" applyAlignment="1" applyProtection="1">
      <alignment horizontal="left" vertical="center" wrapText="1"/>
      <protection hidden="1"/>
    </xf>
    <xf numFmtId="0" fontId="17" fillId="0" borderId="1" xfId="0" applyFont="1" applyFill="1" applyBorder="1" applyAlignment="1" applyProtection="1">
      <alignment horizontal="right" vertical="center" wrapText="1"/>
      <protection hidden="1"/>
    </xf>
    <xf numFmtId="164" fontId="3" fillId="0" borderId="1" xfId="0" applyNumberFormat="1" applyFont="1" applyFill="1" applyBorder="1" applyAlignment="1" applyProtection="1">
      <alignment horizontal="left" vertical="top"/>
      <protection hidden="1"/>
    </xf>
    <xf numFmtId="165" fontId="3" fillId="0" borderId="1" xfId="0" applyNumberFormat="1" applyFont="1" applyFill="1" applyBorder="1" applyAlignment="1" applyProtection="1">
      <alignment horizontal="left" vertical="top"/>
      <protection hidden="1"/>
    </xf>
    <xf numFmtId="165" fontId="2" fillId="0" borderId="1" xfId="0" applyNumberFormat="1" applyFont="1" applyFill="1" applyBorder="1" applyAlignment="1" applyProtection="1">
      <alignment horizontal="left" vertical="top"/>
      <protection hidden="1"/>
    </xf>
    <xf numFmtId="164" fontId="18" fillId="0" borderId="0" xfId="0" applyNumberFormat="1" applyFont="1" applyFill="1" applyAlignment="1" applyProtection="1">
      <alignment horizontal="left" vertical="top"/>
      <protection hidden="1"/>
    </xf>
    <xf numFmtId="49" fontId="18" fillId="0" borderId="1" xfId="0" applyNumberFormat="1" applyFont="1" applyFill="1" applyBorder="1" applyAlignment="1" applyProtection="1">
      <alignment horizontal="left" vertical="center" wrapText="1"/>
      <protection hidden="1"/>
    </xf>
    <xf numFmtId="0" fontId="6" fillId="0" borderId="15" xfId="0" applyFont="1" applyFill="1" applyBorder="1" applyAlignment="1" applyProtection="1">
      <alignment horizontal="center" vertical="top"/>
      <protection hidden="1"/>
    </xf>
    <xf numFmtId="49" fontId="3" fillId="0" borderId="6" xfId="0" applyNumberFormat="1" applyFont="1" applyFill="1" applyBorder="1" applyAlignment="1" applyProtection="1">
      <alignment vertical="top"/>
      <protection hidden="1"/>
    </xf>
    <xf numFmtId="0" fontId="7" fillId="0" borderId="3" xfId="0" applyFont="1" applyFill="1" applyBorder="1" applyAlignment="1" applyProtection="1">
      <alignment horizontal="left" vertical="top" wrapText="1" indent="1"/>
      <protection hidden="1"/>
    </xf>
    <xf numFmtId="4" fontId="2" fillId="0" borderId="17" xfId="0" applyNumberFormat="1" applyFont="1" applyFill="1" applyBorder="1" applyAlignment="1" applyProtection="1">
      <alignment horizontal="right" vertical="top" wrapText="1"/>
      <protection hidden="1"/>
    </xf>
    <xf numFmtId="0" fontId="3" fillId="0" borderId="29" xfId="0" applyFont="1" applyBorder="1" applyProtection="1">
      <protection hidden="1"/>
    </xf>
    <xf numFmtId="0" fontId="3" fillId="0" borderId="30" xfId="0" applyFont="1" applyBorder="1" applyProtection="1">
      <protection hidden="1"/>
    </xf>
    <xf numFmtId="4" fontId="3" fillId="0" borderId="30" xfId="0" applyNumberFormat="1" applyFont="1" applyBorder="1" applyProtection="1">
      <protection hidden="1"/>
    </xf>
    <xf numFmtId="4" fontId="3" fillId="0" borderId="31" xfId="0" applyNumberFormat="1" applyFont="1" applyBorder="1" applyProtection="1">
      <protection hidden="1"/>
    </xf>
    <xf numFmtId="0" fontId="2" fillId="0" borderId="0" xfId="0" applyFont="1" applyProtection="1">
      <protection hidden="1"/>
    </xf>
    <xf numFmtId="0" fontId="21" fillId="0" borderId="0" xfId="4" applyFont="1" applyProtection="1">
      <protection hidden="1"/>
    </xf>
    <xf numFmtId="0" fontId="23" fillId="0" borderId="37" xfId="4" applyFont="1" applyBorder="1" applyAlignment="1" applyProtection="1">
      <alignment horizontal="center" vertical="top"/>
      <protection hidden="1"/>
    </xf>
    <xf numFmtId="4" fontId="22" fillId="0" borderId="27" xfId="4" applyNumberFormat="1" applyFont="1" applyBorder="1" applyProtection="1">
      <protection hidden="1"/>
    </xf>
    <xf numFmtId="4" fontId="22" fillId="0" borderId="39" xfId="4" applyNumberFormat="1" applyFont="1" applyBorder="1" applyProtection="1">
      <protection hidden="1"/>
    </xf>
    <xf numFmtId="0" fontId="23" fillId="0" borderId="40" xfId="4" applyFont="1" applyBorder="1" applyAlignment="1" applyProtection="1">
      <alignment horizontal="center"/>
      <protection hidden="1"/>
    </xf>
    <xf numFmtId="0" fontId="23" fillId="0" borderId="41" xfId="4" applyFont="1" applyBorder="1" applyProtection="1">
      <protection hidden="1"/>
    </xf>
    <xf numFmtId="4" fontId="22" fillId="0" borderId="40" xfId="4" applyNumberFormat="1" applyFont="1" applyBorder="1" applyProtection="1">
      <protection hidden="1"/>
    </xf>
    <xf numFmtId="4" fontId="22" fillId="0" borderId="44" xfId="4" applyNumberFormat="1" applyFont="1" applyBorder="1" applyProtection="1">
      <protection hidden="1"/>
    </xf>
    <xf numFmtId="0" fontId="22" fillId="0" borderId="35" xfId="4" applyFont="1" applyBorder="1" applyAlignment="1" applyProtection="1">
      <alignment horizontal="center"/>
      <protection hidden="1"/>
    </xf>
    <xf numFmtId="0" fontId="23" fillId="0" borderId="22" xfId="5" applyFont="1" applyBorder="1" applyProtection="1">
      <protection hidden="1"/>
    </xf>
    <xf numFmtId="4" fontId="23" fillId="0" borderId="35" xfId="4" applyNumberFormat="1" applyFont="1" applyBorder="1" applyProtection="1">
      <protection hidden="1"/>
    </xf>
    <xf numFmtId="4" fontId="23" fillId="0" borderId="36" xfId="4" applyNumberFormat="1" applyFont="1" applyBorder="1" applyProtection="1">
      <protection hidden="1"/>
    </xf>
    <xf numFmtId="0" fontId="2" fillId="0" borderId="0" xfId="4" applyProtection="1"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49" fontId="6" fillId="0" borderId="0" xfId="0" applyNumberFormat="1" applyFont="1" applyAlignment="1" applyProtection="1">
      <alignment wrapText="1"/>
      <protection hidden="1"/>
    </xf>
    <xf numFmtId="4" fontId="2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3" fontId="2" fillId="0" borderId="0" xfId="0" applyNumberFormat="1" applyFont="1" applyAlignment="1" applyProtection="1">
      <alignment vertical="top"/>
      <protection hidden="1"/>
    </xf>
    <xf numFmtId="0" fontId="2" fillId="0" borderId="3" xfId="0" applyFont="1" applyBorder="1" applyAlignment="1" applyProtection="1">
      <alignment horizontal="left"/>
      <protection hidden="1"/>
    </xf>
    <xf numFmtId="1" fontId="2" fillId="0" borderId="0" xfId="0" applyNumberFormat="1" applyFont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center"/>
      <protection hidden="1"/>
    </xf>
    <xf numFmtId="3" fontId="2" fillId="0" borderId="0" xfId="0" applyNumberFormat="1" applyFont="1" applyAlignment="1" applyProtection="1">
      <alignment horizontal="right" vertical="top"/>
      <protection hidden="1"/>
    </xf>
    <xf numFmtId="0" fontId="2" fillId="0" borderId="4" xfId="0" applyFont="1" applyBorder="1" applyAlignment="1" applyProtection="1">
      <alignment horizontal="centerContinuous"/>
      <protection hidden="1"/>
    </xf>
    <xf numFmtId="0" fontId="2" fillId="0" borderId="5" xfId="0" applyFont="1" applyBorder="1" applyAlignment="1" applyProtection="1">
      <alignment horizontal="center" vertical="top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 vertical="top" wrapText="1"/>
      <protection hidden="1"/>
    </xf>
    <xf numFmtId="0" fontId="3" fillId="0" borderId="8" xfId="0" applyFont="1" applyBorder="1" applyAlignment="1" applyProtection="1">
      <alignment horizontal="center" vertical="top" wrapText="1"/>
      <protection hidden="1"/>
    </xf>
    <xf numFmtId="0" fontId="2" fillId="0" borderId="8" xfId="0" applyFont="1" applyBorder="1" applyAlignment="1" applyProtection="1">
      <alignment horizontal="center" vertical="top" wrapText="1"/>
      <protection hidden="1"/>
    </xf>
    <xf numFmtId="0" fontId="2" fillId="0" borderId="9" xfId="0" applyFont="1" applyBorder="1" applyAlignment="1" applyProtection="1">
      <alignment horizontal="center" vertical="top" wrapText="1"/>
      <protection hidden="1"/>
    </xf>
    <xf numFmtId="4" fontId="2" fillId="0" borderId="10" xfId="0" applyNumberFormat="1" applyFont="1" applyBorder="1" applyAlignment="1" applyProtection="1">
      <alignment vertical="top" wrapText="1"/>
      <protection hidden="1"/>
    </xf>
    <xf numFmtId="0" fontId="2" fillId="0" borderId="8" xfId="0" quotePrefix="1" applyFont="1" applyBorder="1" applyAlignment="1" applyProtection="1">
      <alignment horizontal="center" vertical="top" wrapText="1"/>
      <protection hidden="1"/>
    </xf>
    <xf numFmtId="3" fontId="2" fillId="0" borderId="13" xfId="0" applyNumberFormat="1" applyFont="1" applyBorder="1" applyAlignment="1" applyProtection="1">
      <alignment horizontal="center" vertical="top" wrapText="1"/>
      <protection hidden="1"/>
    </xf>
    <xf numFmtId="0" fontId="3" fillId="0" borderId="2" xfId="0" applyFont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164" fontId="3" fillId="0" borderId="1" xfId="0" applyNumberFormat="1" applyFont="1" applyBorder="1" applyAlignment="1" applyProtection="1">
      <alignment horizontal="left" vertical="top" wrapText="1"/>
      <protection hidden="1"/>
    </xf>
    <xf numFmtId="165" fontId="3" fillId="0" borderId="1" xfId="0" applyNumberFormat="1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3" fontId="2" fillId="0" borderId="14" xfId="0" applyNumberFormat="1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4" fontId="2" fillId="0" borderId="0" xfId="0" applyNumberFormat="1" applyFont="1" applyAlignment="1" applyProtection="1">
      <alignment vertical="top" wrapText="1"/>
      <protection hidden="1"/>
    </xf>
    <xf numFmtId="0" fontId="2" fillId="0" borderId="1" xfId="0" quotePrefix="1" applyFont="1" applyBorder="1" applyAlignment="1" applyProtection="1">
      <alignment horizontal="center" vertical="top" wrapText="1"/>
      <protection hidden="1"/>
    </xf>
    <xf numFmtId="0" fontId="6" fillId="0" borderId="2" xfId="0" applyFont="1" applyBorder="1" applyAlignment="1" applyProtection="1">
      <alignment horizontal="center" vertical="top"/>
      <protection hidden="1"/>
    </xf>
    <xf numFmtId="49" fontId="3" fillId="0" borderId="1" xfId="0" quotePrefix="1" applyNumberFormat="1" applyFont="1" applyBorder="1" applyAlignment="1" applyProtection="1">
      <alignment horizontal="left" vertical="top"/>
      <protection hidden="1"/>
    </xf>
    <xf numFmtId="49" fontId="3" fillId="0" borderId="1" xfId="0" applyNumberFormat="1" applyFont="1" applyBorder="1" applyAlignment="1" applyProtection="1">
      <alignment horizontal="left" vertical="top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horizontal="center" vertical="top"/>
      <protection hidden="1"/>
    </xf>
    <xf numFmtId="4" fontId="3" fillId="0" borderId="14" xfId="0" applyNumberFormat="1" applyFont="1" applyBorder="1" applyAlignment="1" applyProtection="1">
      <alignment vertical="top" wrapText="1"/>
      <protection hidden="1"/>
    </xf>
    <xf numFmtId="49" fontId="7" fillId="0" borderId="0" xfId="0" applyNumberFormat="1" applyFont="1" applyAlignment="1" applyProtection="1">
      <alignment horizontal="left" vertical="top" wrapText="1" indent="1"/>
      <protection hidden="1"/>
    </xf>
    <xf numFmtId="4" fontId="7" fillId="0" borderId="12" xfId="0" applyNumberFormat="1" applyFont="1" applyBorder="1" applyAlignment="1" applyProtection="1">
      <alignment horizontal="right" wrapText="1"/>
      <protection hidden="1"/>
    </xf>
    <xf numFmtId="4" fontId="7" fillId="0" borderId="0" xfId="0" applyNumberFormat="1" applyFont="1" applyAlignment="1" applyProtection="1">
      <alignment vertical="top" wrapText="1"/>
      <protection hidden="1"/>
    </xf>
    <xf numFmtId="4" fontId="7" fillId="0" borderId="12" xfId="0" applyNumberFormat="1" applyFont="1" applyBorder="1" applyAlignment="1" applyProtection="1">
      <alignment horizontal="right" vertical="top" wrapText="1"/>
      <protection hidden="1"/>
    </xf>
    <xf numFmtId="4" fontId="8" fillId="0" borderId="12" xfId="0" applyNumberFormat="1" applyFont="1" applyBorder="1" applyAlignment="1" applyProtection="1">
      <alignment horizontal="right" vertical="top" wrapText="1"/>
      <protection hidden="1"/>
    </xf>
    <xf numFmtId="4" fontId="8" fillId="0" borderId="0" xfId="0" applyNumberFormat="1" applyFont="1" applyAlignment="1" applyProtection="1">
      <alignment horizontal="right" vertical="top" wrapText="1"/>
      <protection hidden="1"/>
    </xf>
    <xf numFmtId="4" fontId="7" fillId="0" borderId="0" xfId="0" applyNumberFormat="1" applyFont="1" applyAlignment="1" applyProtection="1">
      <alignment horizontal="right" vertical="top" wrapText="1"/>
      <protection hidden="1"/>
    </xf>
    <xf numFmtId="0" fontId="2" fillId="0" borderId="2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49" fontId="3" fillId="0" borderId="1" xfId="0" applyNumberFormat="1" applyFont="1" applyBorder="1" applyAlignment="1" applyProtection="1">
      <alignment horizontal="left" vertical="top" wrapText="1"/>
      <protection hidden="1"/>
    </xf>
    <xf numFmtId="49" fontId="2" fillId="0" borderId="1" xfId="0" applyNumberFormat="1" applyFont="1" applyBorder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166" fontId="7" fillId="0" borderId="0" xfId="0" applyNumberFormat="1" applyFont="1" applyAlignment="1" applyProtection="1">
      <alignment horizontal="right" vertical="top" wrapText="1"/>
      <protection hidden="1"/>
    </xf>
    <xf numFmtId="3" fontId="2" fillId="0" borderId="14" xfId="0" applyNumberFormat="1" applyFont="1" applyBorder="1" applyAlignment="1" applyProtection="1">
      <alignment horizontal="right" vertical="top" wrapText="1"/>
      <protection hidden="1"/>
    </xf>
    <xf numFmtId="49" fontId="3" fillId="0" borderId="1" xfId="0" applyNumberFormat="1" applyFont="1" applyBorder="1" applyAlignment="1" applyProtection="1">
      <alignment vertical="top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center" vertical="top"/>
      <protection hidden="1"/>
    </xf>
    <xf numFmtId="49" fontId="16" fillId="0" borderId="1" xfId="0" quotePrefix="1" applyNumberFormat="1" applyFont="1" applyBorder="1" applyAlignment="1" applyProtection="1">
      <alignment horizontal="left" vertical="top"/>
      <protection hidden="1"/>
    </xf>
    <xf numFmtId="0" fontId="16" fillId="0" borderId="0" xfId="0" applyFont="1" applyAlignment="1" applyProtection="1">
      <alignment wrapText="1"/>
      <protection hidden="1"/>
    </xf>
    <xf numFmtId="4" fontId="2" fillId="0" borderId="14" xfId="0" applyNumberFormat="1" applyFont="1" applyBorder="1" applyAlignment="1" applyProtection="1">
      <alignment vertical="top" wrapText="1"/>
      <protection hidden="1"/>
    </xf>
    <xf numFmtId="4" fontId="7" fillId="0" borderId="12" xfId="0" applyNumberFormat="1" applyFont="1" applyBorder="1" applyAlignment="1" applyProtection="1">
      <alignment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0" borderId="11" xfId="0" applyFont="1" applyBorder="1" applyAlignment="1" applyProtection="1">
      <alignment horizontal="left" vertical="top" wrapText="1"/>
      <protection hidden="1"/>
    </xf>
    <xf numFmtId="3" fontId="2" fillId="0" borderId="14" xfId="0" applyNumberFormat="1" applyFont="1" applyBorder="1" applyAlignment="1" applyProtection="1">
      <alignment vertical="top" wrapText="1"/>
      <protection hidden="1"/>
    </xf>
    <xf numFmtId="0" fontId="3" fillId="0" borderId="15" xfId="0" applyFont="1" applyBorder="1" applyAlignment="1" applyProtection="1">
      <alignment horizontal="center" vertical="top" wrapText="1"/>
      <protection hidden="1"/>
    </xf>
    <xf numFmtId="0" fontId="3" fillId="0" borderId="16" xfId="0" applyFont="1" applyBorder="1" applyAlignment="1" applyProtection="1">
      <alignment horizontal="center" vertical="top" wrapText="1"/>
      <protection hidden="1"/>
    </xf>
    <xf numFmtId="0" fontId="3" fillId="0" borderId="6" xfId="0" applyFont="1" applyBorder="1" applyAlignment="1" applyProtection="1">
      <alignment vertical="top" wrapText="1"/>
      <protection hidden="1"/>
    </xf>
    <xf numFmtId="0" fontId="2" fillId="0" borderId="16" xfId="0" applyFont="1" applyBorder="1" applyAlignment="1" applyProtection="1">
      <alignment horizontal="left" vertical="top" wrapText="1"/>
      <protection hidden="1"/>
    </xf>
    <xf numFmtId="0" fontId="2" fillId="0" borderId="3" xfId="0" applyFont="1" applyBorder="1" applyAlignment="1" applyProtection="1">
      <alignment horizontal="left" vertical="top" wrapText="1"/>
      <protection hidden="1"/>
    </xf>
    <xf numFmtId="4" fontId="2" fillId="0" borderId="3" xfId="0" applyNumberFormat="1" applyFont="1" applyBorder="1" applyAlignment="1" applyProtection="1">
      <alignment vertical="top" wrapText="1"/>
      <protection hidden="1"/>
    </xf>
    <xf numFmtId="0" fontId="2" fillId="0" borderId="6" xfId="0" applyFont="1" applyBorder="1" applyAlignment="1" applyProtection="1">
      <alignment horizontal="center" vertical="top" wrapText="1"/>
      <protection hidden="1"/>
    </xf>
    <xf numFmtId="3" fontId="2" fillId="0" borderId="28" xfId="0" applyNumberFormat="1" applyFont="1" applyBorder="1" applyAlignment="1" applyProtection="1">
      <alignment vertical="top" wrapText="1"/>
      <protection hidden="1"/>
    </xf>
    <xf numFmtId="3" fontId="2" fillId="0" borderId="0" xfId="0" applyNumberFormat="1" applyFont="1" applyProtection="1">
      <protection hidden="1"/>
    </xf>
    <xf numFmtId="0" fontId="3" fillId="0" borderId="12" xfId="0" applyFont="1" applyBorder="1" applyAlignment="1" applyProtection="1">
      <alignment horizontal="center" vertical="top" wrapText="1"/>
      <protection hidden="1"/>
    </xf>
    <xf numFmtId="0" fontId="2" fillId="0" borderId="12" xfId="0" applyFont="1" applyBorder="1" applyAlignment="1" applyProtection="1">
      <alignment horizontal="left" vertical="top" wrapText="1"/>
      <protection hidden="1"/>
    </xf>
    <xf numFmtId="0" fontId="2" fillId="0" borderId="0" xfId="0" applyFont="1" applyBorder="1" applyAlignment="1" applyProtection="1">
      <alignment horizontal="left" vertical="top" wrapText="1"/>
      <protection hidden="1"/>
    </xf>
    <xf numFmtId="3" fontId="2" fillId="0" borderId="26" xfId="0" applyNumberFormat="1" applyFont="1" applyBorder="1" applyAlignment="1" applyProtection="1">
      <alignment vertical="top" wrapText="1"/>
      <protection hidden="1"/>
    </xf>
    <xf numFmtId="0" fontId="23" fillId="0" borderId="0" xfId="4" applyFont="1" applyAlignment="1" applyProtection="1">
      <alignment horizontal="left" vertical="top" wrapText="1"/>
      <protection hidden="1"/>
    </xf>
    <xf numFmtId="0" fontId="1" fillId="0" borderId="0" xfId="6" applyProtection="1">
      <protection hidden="1"/>
    </xf>
    <xf numFmtId="0" fontId="24" fillId="3" borderId="45" xfId="7" applyBorder="1" applyProtection="1">
      <protection hidden="1"/>
    </xf>
    <xf numFmtId="0" fontId="24" fillId="3" borderId="19" xfId="7" applyBorder="1" applyProtection="1">
      <protection hidden="1"/>
    </xf>
    <xf numFmtId="0" fontId="24" fillId="3" borderId="46" xfId="7" applyBorder="1" applyProtection="1">
      <protection hidden="1"/>
    </xf>
    <xf numFmtId="0" fontId="24" fillId="3" borderId="47" xfId="7" applyBorder="1" applyAlignment="1" applyProtection="1">
      <alignment horizontal="center"/>
      <protection hidden="1"/>
    </xf>
    <xf numFmtId="0" fontId="25" fillId="0" borderId="48" xfId="8" quotePrefix="1" applyBorder="1" applyProtection="1">
      <protection hidden="1"/>
    </xf>
    <xf numFmtId="0" fontId="25" fillId="0" borderId="49" xfId="8" applyBorder="1" applyProtection="1">
      <protection hidden="1"/>
    </xf>
    <xf numFmtId="0" fontId="25" fillId="0" borderId="50" xfId="8" applyBorder="1" applyProtection="1">
      <protection hidden="1"/>
    </xf>
    <xf numFmtId="169" fontId="25" fillId="0" borderId="51" xfId="8" applyNumberFormat="1" applyBorder="1" applyProtection="1">
      <protection hidden="1"/>
    </xf>
    <xf numFmtId="0" fontId="25" fillId="0" borderId="52" xfId="8" quotePrefix="1" applyBorder="1" applyProtection="1">
      <protection hidden="1"/>
    </xf>
    <xf numFmtId="0" fontId="25" fillId="0" borderId="53" xfId="8" applyBorder="1" applyProtection="1">
      <protection hidden="1"/>
    </xf>
    <xf numFmtId="169" fontId="25" fillId="0" borderId="54" xfId="8" applyNumberFormat="1" applyBorder="1" applyProtection="1">
      <protection hidden="1"/>
    </xf>
    <xf numFmtId="0" fontId="25" fillId="0" borderId="55" xfId="8" quotePrefix="1" applyBorder="1" applyProtection="1">
      <protection hidden="1"/>
    </xf>
    <xf numFmtId="0" fontId="25" fillId="0" borderId="56" xfId="8" applyBorder="1" applyProtection="1">
      <protection hidden="1"/>
    </xf>
    <xf numFmtId="169" fontId="25" fillId="0" borderId="57" xfId="8" applyNumberFormat="1" applyBorder="1" applyProtection="1">
      <protection hidden="1"/>
    </xf>
    <xf numFmtId="169" fontId="24" fillId="0" borderId="47" xfId="9" applyNumberFormat="1" applyBorder="1" applyProtection="1">
      <protection hidden="1"/>
    </xf>
    <xf numFmtId="0" fontId="22" fillId="0" borderId="42" xfId="4" applyFont="1" applyBorder="1" applyAlignment="1" applyProtection="1">
      <alignment horizontal="center"/>
      <protection hidden="1"/>
    </xf>
    <xf numFmtId="0" fontId="22" fillId="0" borderId="43" xfId="4" applyFont="1" applyBorder="1" applyAlignment="1" applyProtection="1">
      <alignment horizontal="center"/>
      <protection hidden="1"/>
    </xf>
    <xf numFmtId="0" fontId="22" fillId="0" borderId="3" xfId="4" applyFont="1" applyBorder="1" applyAlignment="1" applyProtection="1">
      <alignment horizontal="center"/>
      <protection hidden="1"/>
    </xf>
    <xf numFmtId="0" fontId="22" fillId="0" borderId="28" xfId="4" applyFont="1" applyBorder="1" applyAlignment="1" applyProtection="1">
      <alignment horizontal="center"/>
      <protection hidden="1"/>
    </xf>
    <xf numFmtId="0" fontId="21" fillId="0" borderId="0" xfId="4" applyFont="1" applyAlignment="1" applyProtection="1">
      <alignment horizontal="center"/>
      <protection hidden="1"/>
    </xf>
    <xf numFmtId="0" fontId="22" fillId="2" borderId="32" xfId="4" applyFont="1" applyFill="1" applyBorder="1" applyAlignment="1" applyProtection="1">
      <alignment horizontal="center"/>
      <protection hidden="1"/>
    </xf>
    <xf numFmtId="0" fontId="22" fillId="2" borderId="10" xfId="4" applyFont="1" applyFill="1" applyBorder="1" applyAlignment="1" applyProtection="1">
      <alignment horizontal="center"/>
      <protection hidden="1"/>
    </xf>
    <xf numFmtId="0" fontId="22" fillId="2" borderId="33" xfId="4" applyFont="1" applyFill="1" applyBorder="1" applyAlignment="1" applyProtection="1">
      <alignment horizontal="center"/>
      <protection hidden="1"/>
    </xf>
    <xf numFmtId="0" fontId="22" fillId="2" borderId="35" xfId="4" applyFont="1" applyFill="1" applyBorder="1" applyAlignment="1" applyProtection="1">
      <alignment horizontal="center"/>
      <protection hidden="1"/>
    </xf>
    <xf numFmtId="0" fontId="22" fillId="2" borderId="3" xfId="4" applyFont="1" applyFill="1" applyBorder="1" applyAlignment="1" applyProtection="1">
      <alignment horizontal="center"/>
      <protection hidden="1"/>
    </xf>
    <xf numFmtId="0" fontId="22" fillId="2" borderId="28" xfId="4" applyFont="1" applyFill="1" applyBorder="1" applyAlignment="1" applyProtection="1">
      <alignment horizontal="center"/>
      <protection hidden="1"/>
    </xf>
    <xf numFmtId="4" fontId="23" fillId="3" borderId="34" xfId="5" applyNumberFormat="1" applyFont="1" applyFill="1" applyBorder="1" applyAlignment="1" applyProtection="1">
      <alignment horizontal="center" vertical="center" wrapText="1"/>
      <protection hidden="1"/>
    </xf>
    <xf numFmtId="4" fontId="23" fillId="3" borderId="36" xfId="5" applyNumberFormat="1" applyFont="1" applyFill="1" applyBorder="1" applyAlignment="1" applyProtection="1">
      <alignment horizontal="center" vertical="center" wrapText="1"/>
      <protection hidden="1"/>
    </xf>
    <xf numFmtId="4" fontId="23" fillId="3" borderId="10" xfId="5" quotePrefix="1" applyNumberFormat="1" applyFont="1" applyFill="1" applyBorder="1" applyAlignment="1" applyProtection="1">
      <alignment horizontal="center" vertical="center" wrapText="1"/>
      <protection hidden="1"/>
    </xf>
    <xf numFmtId="4" fontId="23" fillId="3" borderId="3" xfId="5" applyNumberFormat="1" applyFont="1" applyFill="1" applyBorder="1" applyAlignment="1" applyProtection="1">
      <alignment horizontal="center" vertical="center" wrapText="1"/>
      <protection hidden="1"/>
    </xf>
    <xf numFmtId="0" fontId="22" fillId="0" borderId="19" xfId="4" applyFont="1" applyBorder="1" applyAlignment="1" applyProtection="1">
      <alignment horizontal="center"/>
      <protection hidden="1"/>
    </xf>
    <xf numFmtId="0" fontId="22" fillId="0" borderId="38" xfId="4" applyFont="1" applyBorder="1" applyAlignment="1" applyProtection="1">
      <alignment horizontal="center"/>
      <protection hidden="1"/>
    </xf>
    <xf numFmtId="0" fontId="24" fillId="0" borderId="29" xfId="9" applyBorder="1" applyProtection="1">
      <protection hidden="1"/>
    </xf>
    <xf numFmtId="0" fontId="24" fillId="0" borderId="30" xfId="9" applyBorder="1" applyProtection="1">
      <protection hidden="1"/>
    </xf>
    <xf numFmtId="0" fontId="24" fillId="0" borderId="58" xfId="9" applyBorder="1" applyProtection="1">
      <protection hidden="1"/>
    </xf>
    <xf numFmtId="0" fontId="26" fillId="0" borderId="0" xfId="6" applyFont="1" applyAlignment="1" applyProtection="1">
      <alignment horizontal="center"/>
      <protection hidden="1"/>
    </xf>
    <xf numFmtId="4" fontId="2" fillId="0" borderId="24" xfId="0" applyNumberFormat="1" applyFont="1" applyBorder="1" applyAlignment="1" applyProtection="1">
      <alignment horizontal="center" vertical="center" wrapText="1"/>
      <protection hidden="1"/>
    </xf>
    <xf numFmtId="4" fontId="2" fillId="0" borderId="25" xfId="0" applyNumberFormat="1" applyFont="1" applyBorder="1" applyAlignment="1" applyProtection="1">
      <alignment horizontal="center" vertical="center" wrapText="1"/>
      <protection hidden="1"/>
    </xf>
    <xf numFmtId="0" fontId="2" fillId="0" borderId="27" xfId="0" applyFont="1" applyBorder="1" applyAlignment="1" applyProtection="1">
      <alignment horizontal="center" vertical="top"/>
      <protection hidden="1"/>
    </xf>
    <xf numFmtId="0" fontId="2" fillId="0" borderId="4" xfId="0" applyFont="1" applyBorder="1" applyAlignment="1" applyProtection="1">
      <alignment horizontal="center" vertical="top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4" xfId="0" quotePrefix="1" applyFont="1" applyBorder="1" applyAlignment="1" applyProtection="1">
      <alignment horizontal="center" vertical="center"/>
      <protection hidden="1"/>
    </xf>
    <xf numFmtId="0" fontId="2" fillId="0" borderId="23" xfId="0" quotePrefix="1" applyFont="1" applyBorder="1" applyAlignment="1" applyProtection="1">
      <alignment horizontal="center" vertical="center"/>
      <protection hidden="1"/>
    </xf>
    <xf numFmtId="3" fontId="2" fillId="0" borderId="24" xfId="0" applyNumberFormat="1" applyFont="1" applyBorder="1" applyAlignment="1" applyProtection="1">
      <alignment horizontal="center" vertical="center"/>
      <protection hidden="1"/>
    </xf>
    <xf numFmtId="3" fontId="2" fillId="0" borderId="25" xfId="0" applyNumberFormat="1" applyFont="1" applyBorder="1" applyAlignment="1" applyProtection="1">
      <alignment horizontal="center" vertical="center"/>
      <protection hidden="1"/>
    </xf>
    <xf numFmtId="0" fontId="2" fillId="0" borderId="18" xfId="0" applyFont="1" applyFill="1" applyBorder="1" applyAlignment="1" applyProtection="1">
      <alignment horizontal="center" vertical="top"/>
      <protection hidden="1"/>
    </xf>
    <xf numFmtId="0" fontId="2" fillId="0" borderId="19" xfId="0" applyFont="1" applyFill="1" applyBorder="1" applyAlignment="1" applyProtection="1">
      <alignment horizontal="center" vertical="top"/>
      <protection hidden="1"/>
    </xf>
    <xf numFmtId="0" fontId="2" fillId="0" borderId="20" xfId="0" applyFont="1" applyFill="1" applyBorder="1" applyAlignment="1" applyProtection="1">
      <alignment horizontal="center" vertical="top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21" xfId="0" applyFont="1" applyFill="1" applyBorder="1" applyAlignment="1" applyProtection="1">
      <alignment horizontal="center" vertical="center" wrapText="1"/>
      <protection hidden="1"/>
    </xf>
    <xf numFmtId="0" fontId="2" fillId="0" borderId="22" xfId="0" applyFont="1" applyFill="1" applyBorder="1" applyAlignment="1" applyProtection="1">
      <alignment horizontal="center" vertical="center" wrapText="1"/>
      <protection hidden="1"/>
    </xf>
    <xf numFmtId="0" fontId="2" fillId="0" borderId="16" xfId="0" applyFont="1" applyFill="1" applyBorder="1" applyAlignment="1" applyProtection="1">
      <alignment horizontal="center" vertical="center" wrapText="1"/>
      <protection hidden="1"/>
    </xf>
    <xf numFmtId="0" fontId="2" fillId="0" borderId="4" xfId="0" quotePrefix="1" applyFont="1" applyFill="1" applyBorder="1" applyAlignment="1" applyProtection="1">
      <alignment horizontal="center" vertical="center"/>
      <protection hidden="1"/>
    </xf>
    <xf numFmtId="0" fontId="2" fillId="0" borderId="23" xfId="0" quotePrefix="1" applyFont="1" applyFill="1" applyBorder="1" applyAlignment="1" applyProtection="1">
      <alignment horizontal="center" vertical="center"/>
      <protection hidden="1"/>
    </xf>
    <xf numFmtId="4" fontId="2" fillId="0" borderId="24" xfId="0" applyNumberFormat="1" applyFont="1" applyFill="1" applyBorder="1" applyAlignment="1" applyProtection="1">
      <alignment horizontal="center" vertical="center"/>
      <protection hidden="1"/>
    </xf>
    <xf numFmtId="4" fontId="2" fillId="0" borderId="25" xfId="0" applyNumberFormat="1" applyFont="1" applyFill="1" applyBorder="1" applyAlignment="1" applyProtection="1">
      <alignment horizontal="center" vertical="center"/>
      <protection hidden="1"/>
    </xf>
    <xf numFmtId="0" fontId="2" fillId="0" borderId="27" xfId="0" applyFont="1" applyFill="1" applyBorder="1" applyAlignment="1" applyProtection="1">
      <alignment horizontal="center" vertical="top"/>
      <protection hidden="1"/>
    </xf>
    <xf numFmtId="0" fontId="2" fillId="0" borderId="4" xfId="0" applyFont="1" applyFill="1" applyBorder="1" applyAlignment="1" applyProtection="1">
      <alignment horizontal="center" vertical="top"/>
      <protection hidden="1"/>
    </xf>
    <xf numFmtId="4" fontId="3" fillId="4" borderId="14" xfId="0" applyNumberFormat="1" applyFont="1" applyFill="1" applyBorder="1" applyAlignment="1" applyProtection="1">
      <alignment vertical="top" wrapText="1"/>
      <protection locked="0"/>
    </xf>
    <xf numFmtId="4" fontId="3" fillId="4" borderId="14" xfId="0" applyNumberFormat="1" applyFont="1" applyFill="1" applyBorder="1" applyAlignment="1" applyProtection="1">
      <alignment vertical="top"/>
      <protection locked="0"/>
    </xf>
    <xf numFmtId="4" fontId="3" fillId="4" borderId="14" xfId="0" applyNumberFormat="1" applyFont="1" applyFill="1" applyBorder="1" applyAlignment="1" applyProtection="1">
      <alignment horizontal="right" vertical="top" wrapText="1"/>
      <protection locked="0"/>
    </xf>
    <xf numFmtId="4" fontId="3" fillId="4" borderId="26" xfId="0" applyNumberFormat="1" applyFont="1" applyFill="1" applyBorder="1" applyAlignment="1" applyProtection="1">
      <alignment vertical="top" wrapText="1"/>
      <protection locked="0"/>
    </xf>
  </cellXfs>
  <cellStyles count="10">
    <cellStyle name="Font_Ariel_Normal" xfId="8" xr:uid="{8E219016-7C81-4784-A985-B49DBE97CD95}"/>
    <cellStyle name="Font_Ariel_Normal_Bold" xfId="9" xr:uid="{10C2B8C6-3C92-4E5C-A1B4-7C316E5235D4}"/>
    <cellStyle name="Font_Ariel_Normal_Bold_BG_Gray" xfId="7" xr:uid="{956381B8-0D1F-4205-A389-BD2F83758431}"/>
    <cellStyle name="Normal_035-00, 036-00, 037-00" xfId="1" xr:uid="{00000000-0005-0000-0000-000000000000}"/>
    <cellStyle name="Normálna" xfId="0" builtinId="0"/>
    <cellStyle name="Normálna 2" xfId="6" xr:uid="{9E4FF6AA-555B-4DCE-BF94-2445E38AB963}"/>
    <cellStyle name="Normálna 3" xfId="5" xr:uid="{62CBF03A-4847-4CE5-9053-9A3FA1163FB1}"/>
    <cellStyle name="normálne 10" xfId="2" xr:uid="{00000000-0005-0000-0000-000002000000}"/>
    <cellStyle name="normálne_popisovnik_ ŠAŠOV_17.01.08" xfId="3" xr:uid="{00000000-0005-0000-0000-000003000000}"/>
    <cellStyle name="normální_vseobecne_pol_u2 " xfId="4" xr:uid="{6AB54B46-96D0-4AF9-80D5-CF39AF251E9B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theme" Target="theme/theme1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calcChain" Target="calcChain.xml"></Relationship><Relationship Id="rId5" Type="http://schemas.openxmlformats.org/officeDocument/2006/relationships/worksheet" Target="worksheets/sheet5.xml"></Relationship><Relationship Id="rId10" Type="http://schemas.openxmlformats.org/officeDocument/2006/relationships/sharedStrings" Target="sharedStrings.xml"></Relationship><Relationship Id="rId4" Type="http://schemas.openxmlformats.org/officeDocument/2006/relationships/worksheet" Target="worksheets/sheet4.xml"></Relationship><Relationship Id="rId9" Type="http://schemas.openxmlformats.org/officeDocument/2006/relationships/styles" Target="styles.xml"></Relationship><Relationship Id="rId12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44418-F860-4997-A870-CC03382E7B3F}">
  <dimension ref="A1:I7"/>
  <sheetViews>
    <sheetView showGridLines="0" tabSelected="1" zoomScaleNormal="100" workbookViewId="0">
      <selection sqref="A1:H1"/>
    </sheetView>
  </sheetViews>
  <sheetFormatPr defaultRowHeight="12.75"/>
  <cols>
    <col min="1" max="1" width="10.85546875" style="239" customWidth="1"/>
    <col min="2" max="2" width="55.85546875" style="239" customWidth="1"/>
    <col min="3" max="3" width="5.42578125" style="239" customWidth="1"/>
    <col min="4" max="4" width="10" style="239" customWidth="1"/>
    <col min="5" max="5" width="9.28515625" style="239" customWidth="1"/>
    <col min="6" max="6" width="15.140625" style="239" customWidth="1"/>
    <col min="7" max="7" width="13" style="239" customWidth="1"/>
    <col min="8" max="8" width="15" style="239" customWidth="1"/>
    <col min="9" max="16384" width="9.140625" style="239"/>
  </cols>
  <sheetData>
    <row r="1" spans="1:9" ht="15">
      <c r="A1" s="337" t="s">
        <v>742</v>
      </c>
      <c r="B1" s="337"/>
      <c r="C1" s="337"/>
      <c r="D1" s="337"/>
      <c r="E1" s="337"/>
      <c r="F1" s="337"/>
      <c r="G1" s="337"/>
      <c r="H1" s="337"/>
      <c r="I1" s="227"/>
    </row>
    <row r="2" spans="1:9" ht="13.5" thickBot="1"/>
    <row r="3" spans="1:9" ht="18.75" customHeight="1">
      <c r="A3" s="338"/>
      <c r="B3" s="339"/>
      <c r="C3" s="339"/>
      <c r="D3" s="339"/>
      <c r="E3" s="340"/>
      <c r="F3" s="344" t="s">
        <v>743</v>
      </c>
      <c r="G3" s="346" t="s">
        <v>744</v>
      </c>
      <c r="H3" s="344" t="s">
        <v>745</v>
      </c>
    </row>
    <row r="4" spans="1:9" ht="18.75" customHeight="1" thickBot="1">
      <c r="A4" s="341"/>
      <c r="B4" s="342"/>
      <c r="C4" s="342"/>
      <c r="D4" s="342"/>
      <c r="E4" s="343"/>
      <c r="F4" s="345"/>
      <c r="G4" s="347"/>
      <c r="H4" s="345"/>
    </row>
    <row r="5" spans="1:9">
      <c r="A5" s="228" t="s">
        <v>18</v>
      </c>
      <c r="B5" s="316" t="s">
        <v>20</v>
      </c>
      <c r="C5" s="348"/>
      <c r="D5" s="348"/>
      <c r="E5" s="349"/>
      <c r="F5" s="229">
        <f>'001-00'!$J$38</f>
        <v>0</v>
      </c>
      <c r="G5" s="229">
        <f>F5*0.2</f>
        <v>0</v>
      </c>
      <c r="H5" s="230">
        <f>G5+F5</f>
        <v>0</v>
      </c>
    </row>
    <row r="6" spans="1:9" ht="13.5" thickBot="1">
      <c r="A6" s="231">
        <v>45</v>
      </c>
      <c r="B6" s="232" t="s">
        <v>746</v>
      </c>
      <c r="C6" s="333"/>
      <c r="D6" s="333"/>
      <c r="E6" s="334"/>
      <c r="F6" s="233">
        <f>'Rekapitulácia objektov'!$E$8</f>
        <v>0</v>
      </c>
      <c r="G6" s="233">
        <f>F6*0.2</f>
        <v>0</v>
      </c>
      <c r="H6" s="234">
        <f>G6+F6</f>
        <v>0</v>
      </c>
    </row>
    <row r="7" spans="1:9" ht="14.25" thickTop="1" thickBot="1">
      <c r="A7" s="235"/>
      <c r="B7" s="236" t="s">
        <v>747</v>
      </c>
      <c r="C7" s="335"/>
      <c r="D7" s="335"/>
      <c r="E7" s="336"/>
      <c r="F7" s="237">
        <f>SUM(F5:F6)</f>
        <v>0</v>
      </c>
      <c r="G7" s="237">
        <f>SUM(G5:G6)</f>
        <v>0</v>
      </c>
      <c r="H7" s="238">
        <f>SUM(H5:H6)</f>
        <v>0</v>
      </c>
    </row>
  </sheetData>
  <sheetProtection algorithmName="SHA-512" hashValue="equz9m6Q4Hc1G7BnfSKYgOuP5o/9B3NKTSOZl0MLyvX1R0RNXOsoqLdG7G+sMqlyv8H44cQBeWnHzhegZq0WXQ==" saltValue="j8Jk7344Ub/425Ng70jVIA==" spinCount="100000" sheet="1" objects="1" scenarios="1"/>
  <mergeCells count="8">
    <mergeCell ref="C6:E6"/>
    <mergeCell ref="C7:E7"/>
    <mergeCell ref="A1:H1"/>
    <mergeCell ref="A3:E4"/>
    <mergeCell ref="F3:F4"/>
    <mergeCell ref="G3:G4"/>
    <mergeCell ref="H3:H4"/>
    <mergeCell ref="C5:E5"/>
  </mergeCells>
  <printOptions horizontalCentered="1"/>
  <pageMargins left="0.39370078740157483" right="0.39370078740157483" top="0.98425196850393704" bottom="0.59055118110236227" header="0.59055118110236227" footer="0.27559055118110237"/>
  <pageSetup paperSize="9" scale="95" orientation="landscape" r:id="rId1"/>
  <headerFooter>
    <oddHeader>&amp;LNÁZOV STAVIEB : Rekonštrukcia a obnova mostov na cestách III. triedy BBSK, oblasť JUH
STAVBA : Most ev.č.2610-12,C III/2610 v km 12,678 – Čeláre&amp;RO. Výkaz výmer a rozpočet
Rekapitulácia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605DE-BCD7-4EC7-8556-E76B7E7D566C}">
  <sheetPr>
    <pageSetUpPr fitToPage="1"/>
  </sheetPr>
  <dimension ref="B1:E8"/>
  <sheetViews>
    <sheetView showGridLines="0" workbookViewId="0">
      <pane xSplit="1" ySplit="3" topLeftCell="B4" activePane="bottomRight" state="frozen"/>
      <selection activeCell="I14" sqref="I14"/>
      <selection pane="topRight" activeCell="I14" sqref="I14"/>
      <selection pane="bottomLeft" activeCell="I14" sqref="I14"/>
      <selection pane="bottomRight" activeCell="D34" sqref="D34"/>
    </sheetView>
  </sheetViews>
  <sheetFormatPr defaultRowHeight="15"/>
  <cols>
    <col min="1" max="1" width="2.28515625" style="317" customWidth="1"/>
    <col min="2" max="2" width="15.28515625" style="317" bestFit="1" customWidth="1"/>
    <col min="3" max="3" width="16.85546875" style="317" hidden="1" customWidth="1"/>
    <col min="4" max="4" width="66.140625" style="317" bestFit="1" customWidth="1"/>
    <col min="5" max="5" width="17.28515625" style="317" customWidth="1"/>
    <col min="6" max="16384" width="9.140625" style="317"/>
  </cols>
  <sheetData>
    <row r="1" spans="2:5">
      <c r="B1" s="353" t="s">
        <v>783</v>
      </c>
      <c r="C1" s="353"/>
      <c r="D1" s="353"/>
      <c r="E1" s="353"/>
    </row>
    <row r="2" spans="2:5" ht="15.75" thickBot="1"/>
    <row r="3" spans="2:5" ht="15.75" thickBot="1">
      <c r="B3" s="318" t="s">
        <v>748</v>
      </c>
      <c r="C3" s="319" t="s">
        <v>749</v>
      </c>
      <c r="D3" s="320" t="s">
        <v>750</v>
      </c>
      <c r="E3" s="321" t="s">
        <v>782</v>
      </c>
    </row>
    <row r="4" spans="2:5">
      <c r="B4" s="322" t="s">
        <v>751</v>
      </c>
      <c r="C4" s="323" t="s">
        <v>752</v>
      </c>
      <c r="D4" s="324" t="s">
        <v>771</v>
      </c>
      <c r="E4" s="325">
        <f>'120-00'!$J$237</f>
        <v>0</v>
      </c>
    </row>
    <row r="5" spans="2:5">
      <c r="B5" s="326" t="s">
        <v>772</v>
      </c>
      <c r="C5" s="327" t="s">
        <v>752</v>
      </c>
      <c r="D5" s="327" t="s">
        <v>773</v>
      </c>
      <c r="E5" s="328">
        <f>'121-00'!$J$341</f>
        <v>0</v>
      </c>
    </row>
    <row r="6" spans="2:5">
      <c r="B6" s="326" t="s">
        <v>774</v>
      </c>
      <c r="C6" s="327" t="s">
        <v>752</v>
      </c>
      <c r="D6" s="327" t="s">
        <v>775</v>
      </c>
      <c r="E6" s="328">
        <f>'204-00'!$J$363</f>
        <v>0</v>
      </c>
    </row>
    <row r="7" spans="2:5" ht="15.75" thickBot="1">
      <c r="B7" s="329" t="s">
        <v>776</v>
      </c>
      <c r="C7" s="330" t="s">
        <v>752</v>
      </c>
      <c r="D7" s="330" t="s">
        <v>777</v>
      </c>
      <c r="E7" s="331">
        <f>'651-00'!$J$88</f>
        <v>0</v>
      </c>
    </row>
    <row r="8" spans="2:5" ht="15.75" thickBot="1">
      <c r="B8" s="350" t="s">
        <v>753</v>
      </c>
      <c r="C8" s="351"/>
      <c r="D8" s="352"/>
      <c r="E8" s="332">
        <f>SUM(E4:E7)</f>
        <v>0</v>
      </c>
    </row>
  </sheetData>
  <sheetProtection algorithmName="SHA-512" hashValue="NwEt9xneFOwDJULVYzXr/b4QJ5EtA/SPjv2wFEVuS2iKwh0Sl4gOE9jqhDsMP2y43D5ubQLEpAdWfIHUd2cvmA==" saltValue="NBnVB7BcP+wy4oL1h/1SAA==" spinCount="100000" sheet="1" objects="1" scenarios="1"/>
  <mergeCells count="2">
    <mergeCell ref="B8:D8"/>
    <mergeCell ref="B1:E1"/>
  </mergeCells>
  <printOptions horizontalCentered="1"/>
  <pageMargins left="0.39370078740157483" right="0.39370078740157483" top="0.98425196850393704" bottom="0.59055118110236227" header="0.59055118110236227" footer="0.27559055118110237"/>
  <pageSetup paperSize="9" fitToHeight="0" orientation="landscape" r:id="rId1"/>
  <headerFooter>
    <oddHeader>&amp;LNÁZOV STAVIEB : Rekonštrukcia a obnova mostov na cestách III. triedy BBSK, oblasť JUH
STAVBA : Most ev.č.2610-12,C III/2610 v km 12,678 – Čeláre&amp;RO. Výkaz výmer a rozpočet
Rekapitulácia objektov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880A-F511-48A2-935F-787FE88A7B20}">
  <dimension ref="A1:J38"/>
  <sheetViews>
    <sheetView showGridLines="0" zoomScaleNormal="100" workbookViewId="0">
      <pane ySplit="4" topLeftCell="A5" activePane="bottomLeft" state="frozen"/>
      <selection activeCell="I14" sqref="I14"/>
      <selection pane="bottomLeft"/>
    </sheetView>
  </sheetViews>
  <sheetFormatPr defaultRowHeight="12.75"/>
  <cols>
    <col min="1" max="1" width="4.7109375" style="226" customWidth="1"/>
    <col min="2" max="2" width="9.28515625" style="226" customWidth="1"/>
    <col min="3" max="3" width="9" style="226" customWidth="1"/>
    <col min="4" max="4" width="10.85546875" style="226" customWidth="1"/>
    <col min="5" max="5" width="52.7109375" style="226" customWidth="1"/>
    <col min="6" max="6" width="9.85546875" style="244" customWidth="1"/>
    <col min="7" max="7" width="5.7109375" style="226" customWidth="1"/>
    <col min="8" max="9" width="10.140625" style="311" customWidth="1"/>
    <col min="10" max="10" width="14.85546875" style="311" customWidth="1"/>
    <col min="11" max="16384" width="9.140625" style="226"/>
  </cols>
  <sheetData>
    <row r="1" spans="1:10">
      <c r="A1" s="240" t="s">
        <v>8</v>
      </c>
      <c r="B1" s="240"/>
      <c r="C1" s="241"/>
      <c r="D1" s="242"/>
      <c r="E1" s="243" t="s">
        <v>754</v>
      </c>
      <c r="G1" s="245"/>
      <c r="H1" s="246"/>
      <c r="I1" s="246"/>
      <c r="J1" s="246"/>
    </row>
    <row r="2" spans="1:10" ht="13.5" thickBot="1">
      <c r="A2" s="247"/>
      <c r="B2" s="240"/>
      <c r="C2" s="241"/>
      <c r="D2" s="242"/>
      <c r="E2" s="248"/>
      <c r="G2" s="249"/>
      <c r="H2" s="250"/>
      <c r="I2" s="250"/>
      <c r="J2" s="250"/>
    </row>
    <row r="3" spans="1:10">
      <c r="A3" s="356" t="s">
        <v>10</v>
      </c>
      <c r="B3" s="357"/>
      <c r="C3" s="357"/>
      <c r="D3" s="251"/>
      <c r="E3" s="358" t="s">
        <v>11</v>
      </c>
      <c r="F3" s="359"/>
      <c r="G3" s="362" t="s">
        <v>12</v>
      </c>
      <c r="H3" s="364" t="s">
        <v>13</v>
      </c>
      <c r="I3" s="354" t="s">
        <v>736</v>
      </c>
      <c r="J3" s="354" t="s">
        <v>737</v>
      </c>
    </row>
    <row r="4" spans="1:10" ht="13.5" thickBot="1">
      <c r="A4" s="252" t="s">
        <v>14</v>
      </c>
      <c r="B4" s="253" t="s">
        <v>17</v>
      </c>
      <c r="C4" s="253" t="s">
        <v>15</v>
      </c>
      <c r="D4" s="253" t="s">
        <v>16</v>
      </c>
      <c r="E4" s="360"/>
      <c r="F4" s="361"/>
      <c r="G4" s="363"/>
      <c r="H4" s="365"/>
      <c r="I4" s="355"/>
      <c r="J4" s="355"/>
    </row>
    <row r="5" spans="1:10">
      <c r="A5" s="254"/>
      <c r="B5" s="255"/>
      <c r="C5" s="255"/>
      <c r="D5" s="256"/>
      <c r="E5" s="257"/>
      <c r="F5" s="258"/>
      <c r="G5" s="259"/>
      <c r="H5" s="260"/>
      <c r="I5" s="260"/>
      <c r="J5" s="260"/>
    </row>
    <row r="6" spans="1:10">
      <c r="A6" s="261"/>
      <c r="B6" s="262" t="s">
        <v>18</v>
      </c>
      <c r="C6" s="263"/>
      <c r="D6" s="264"/>
      <c r="E6" s="265" t="s">
        <v>20</v>
      </c>
      <c r="F6" s="265"/>
      <c r="G6" s="266"/>
      <c r="H6" s="267"/>
      <c r="I6" s="267"/>
      <c r="J6" s="267"/>
    </row>
    <row r="7" spans="1:10">
      <c r="A7" s="261"/>
      <c r="B7" s="266"/>
      <c r="C7" s="266"/>
      <c r="D7" s="268"/>
      <c r="E7" s="269"/>
      <c r="F7" s="270"/>
      <c r="G7" s="271"/>
      <c r="H7" s="267"/>
      <c r="I7" s="267"/>
      <c r="J7" s="267"/>
    </row>
    <row r="8" spans="1:10">
      <c r="A8" s="272">
        <f>MAX(A$1:A7)+1</f>
        <v>1</v>
      </c>
      <c r="B8" s="266"/>
      <c r="C8" s="273" t="s">
        <v>755</v>
      </c>
      <c r="D8" s="274"/>
      <c r="E8" s="275" t="s">
        <v>756</v>
      </c>
      <c r="F8" s="276"/>
      <c r="G8" s="277" t="s">
        <v>413</v>
      </c>
      <c r="H8" s="278">
        <v>1</v>
      </c>
      <c r="I8" s="379"/>
      <c r="J8" s="278">
        <f t="shared" ref="J8:J25" si="0">I8*H8</f>
        <v>0</v>
      </c>
    </row>
    <row r="9" spans="1:10">
      <c r="A9" s="261"/>
      <c r="B9" s="266"/>
      <c r="C9" s="266"/>
      <c r="D9" s="268"/>
      <c r="E9" s="279" t="s">
        <v>757</v>
      </c>
      <c r="F9" s="280"/>
      <c r="G9" s="271"/>
      <c r="H9" s="267"/>
      <c r="I9" s="267"/>
      <c r="J9" s="267"/>
    </row>
    <row r="10" spans="1:10">
      <c r="A10" s="261"/>
      <c r="B10" s="266"/>
      <c r="C10" s="266"/>
      <c r="D10" s="268"/>
      <c r="E10" s="279" t="s">
        <v>758</v>
      </c>
      <c r="F10" s="280"/>
      <c r="G10" s="271"/>
      <c r="H10" s="267"/>
      <c r="I10" s="267"/>
      <c r="J10" s="267"/>
    </row>
    <row r="11" spans="1:10">
      <c r="A11" s="261"/>
      <c r="B11" s="266"/>
      <c r="C11" s="266"/>
      <c r="D11" s="268"/>
      <c r="E11" s="279" t="s">
        <v>759</v>
      </c>
      <c r="F11" s="280"/>
      <c r="G11" s="271"/>
      <c r="H11" s="267"/>
      <c r="I11" s="267"/>
      <c r="J11" s="267"/>
    </row>
    <row r="12" spans="1:10">
      <c r="A12" s="261"/>
      <c r="B12" s="266"/>
      <c r="C12" s="266"/>
      <c r="D12" s="268"/>
      <c r="E12" s="279"/>
      <c r="F12" s="280"/>
      <c r="G12" s="271"/>
      <c r="H12" s="267"/>
      <c r="I12" s="267"/>
      <c r="J12" s="267"/>
    </row>
    <row r="13" spans="1:10">
      <c r="A13" s="272">
        <f>MAX(A$1:A12)+1</f>
        <v>2</v>
      </c>
      <c r="B13" s="266"/>
      <c r="C13" s="273" t="s">
        <v>760</v>
      </c>
      <c r="D13" s="274"/>
      <c r="E13" s="275" t="s">
        <v>761</v>
      </c>
      <c r="F13" s="276"/>
      <c r="G13" s="277" t="s">
        <v>413</v>
      </c>
      <c r="H13" s="278">
        <v>1</v>
      </c>
      <c r="I13" s="379"/>
      <c r="J13" s="278">
        <f t="shared" si="0"/>
        <v>0</v>
      </c>
    </row>
    <row r="14" spans="1:10" ht="25.5">
      <c r="A14" s="261"/>
      <c r="B14" s="266"/>
      <c r="C14" s="266"/>
      <c r="D14" s="268"/>
      <c r="E14" s="279" t="s">
        <v>778</v>
      </c>
      <c r="F14" s="281"/>
      <c r="G14" s="271"/>
      <c r="H14" s="267"/>
      <c r="I14" s="267"/>
      <c r="J14" s="267"/>
    </row>
    <row r="15" spans="1:10" ht="25.5">
      <c r="A15" s="261"/>
      <c r="B15" s="266"/>
      <c r="C15" s="266"/>
      <c r="D15" s="268"/>
      <c r="E15" s="279" t="s">
        <v>779</v>
      </c>
      <c r="F15" s="270"/>
      <c r="G15" s="271"/>
      <c r="H15" s="267"/>
      <c r="I15" s="267"/>
      <c r="J15" s="267"/>
    </row>
    <row r="16" spans="1:10">
      <c r="A16" s="272"/>
      <c r="B16" s="266"/>
      <c r="C16" s="273"/>
      <c r="D16" s="274"/>
      <c r="E16" s="279" t="s">
        <v>780</v>
      </c>
      <c r="F16" s="276"/>
      <c r="G16" s="277"/>
      <c r="H16" s="278"/>
      <c r="I16" s="278"/>
      <c r="J16" s="278"/>
    </row>
    <row r="17" spans="1:10" ht="25.5">
      <c r="A17" s="272"/>
      <c r="B17" s="266"/>
      <c r="C17" s="273"/>
      <c r="D17" s="274"/>
      <c r="E17" s="279" t="s">
        <v>781</v>
      </c>
      <c r="F17" s="276"/>
      <c r="G17" s="277"/>
      <c r="H17" s="278"/>
      <c r="I17" s="278"/>
      <c r="J17" s="278"/>
    </row>
    <row r="18" spans="1:10">
      <c r="A18" s="272"/>
      <c r="B18" s="266"/>
      <c r="C18" s="273"/>
      <c r="D18" s="274"/>
      <c r="E18" s="275"/>
      <c r="F18" s="276"/>
      <c r="G18" s="277"/>
      <c r="H18" s="278"/>
      <c r="I18" s="278"/>
      <c r="J18" s="278"/>
    </row>
    <row r="19" spans="1:10">
      <c r="A19" s="272">
        <f>MAX(A$1:A18)+1</f>
        <v>3</v>
      </c>
      <c r="B19" s="266"/>
      <c r="C19" s="273" t="s">
        <v>762</v>
      </c>
      <c r="D19" s="274"/>
      <c r="E19" s="275" t="s">
        <v>763</v>
      </c>
      <c r="F19" s="276"/>
      <c r="G19" s="277" t="s">
        <v>413</v>
      </c>
      <c r="H19" s="278">
        <v>1</v>
      </c>
      <c r="I19" s="379"/>
      <c r="J19" s="278">
        <f t="shared" si="0"/>
        <v>0</v>
      </c>
    </row>
    <row r="20" spans="1:10" ht="25.5">
      <c r="A20" s="261"/>
      <c r="B20" s="266"/>
      <c r="C20" s="266"/>
      <c r="D20" s="268"/>
      <c r="E20" s="279" t="s">
        <v>778</v>
      </c>
      <c r="F20" s="282"/>
      <c r="G20" s="271"/>
      <c r="H20" s="267"/>
      <c r="I20" s="267"/>
      <c r="J20" s="267"/>
    </row>
    <row r="21" spans="1:10" ht="25.5">
      <c r="A21" s="261"/>
      <c r="B21" s="266"/>
      <c r="C21" s="266"/>
      <c r="D21" s="268"/>
      <c r="E21" s="279" t="s">
        <v>779</v>
      </c>
      <c r="F21" s="283"/>
      <c r="G21" s="271"/>
      <c r="H21" s="267"/>
      <c r="I21" s="267"/>
      <c r="J21" s="267"/>
    </row>
    <row r="22" spans="1:10">
      <c r="A22" s="261"/>
      <c r="B22" s="266"/>
      <c r="C22" s="266"/>
      <c r="D22" s="268"/>
      <c r="E22" s="279" t="s">
        <v>780</v>
      </c>
      <c r="F22" s="284"/>
      <c r="G22" s="271"/>
      <c r="H22" s="267"/>
      <c r="I22" s="267"/>
      <c r="J22" s="267"/>
    </row>
    <row r="23" spans="1:10" ht="25.5">
      <c r="A23" s="261"/>
      <c r="B23" s="266"/>
      <c r="C23" s="266"/>
      <c r="D23" s="268"/>
      <c r="E23" s="279" t="s">
        <v>781</v>
      </c>
      <c r="F23" s="284"/>
      <c r="G23" s="271"/>
      <c r="H23" s="267"/>
      <c r="I23" s="267"/>
      <c r="J23" s="267"/>
    </row>
    <row r="24" spans="1:10">
      <c r="A24" s="261"/>
      <c r="B24" s="266"/>
      <c r="C24" s="266"/>
      <c r="D24" s="268"/>
      <c r="E24" s="279"/>
      <c r="F24" s="285"/>
      <c r="G24" s="271"/>
      <c r="H24" s="267"/>
      <c r="I24" s="267"/>
      <c r="J24" s="267"/>
    </row>
    <row r="25" spans="1:10">
      <c r="A25" s="272">
        <f>MAX(A$1:A24)+1</f>
        <v>4</v>
      </c>
      <c r="B25" s="266"/>
      <c r="C25" s="273" t="s">
        <v>764</v>
      </c>
      <c r="D25" s="274"/>
      <c r="E25" s="275" t="s">
        <v>765</v>
      </c>
      <c r="F25" s="276"/>
      <c r="G25" s="277" t="s">
        <v>413</v>
      </c>
      <c r="H25" s="278">
        <v>1</v>
      </c>
      <c r="I25" s="379"/>
      <c r="J25" s="278">
        <f t="shared" si="0"/>
        <v>0</v>
      </c>
    </row>
    <row r="26" spans="1:10">
      <c r="A26" s="272"/>
      <c r="B26" s="266"/>
      <c r="C26" s="273"/>
      <c r="D26" s="274"/>
      <c r="E26" s="279" t="s">
        <v>766</v>
      </c>
      <c r="F26" s="276"/>
      <c r="G26" s="277"/>
      <c r="H26" s="278"/>
      <c r="I26" s="278"/>
      <c r="J26" s="278"/>
    </row>
    <row r="27" spans="1:10">
      <c r="A27" s="286"/>
      <c r="B27" s="287"/>
      <c r="C27" s="288"/>
      <c r="D27" s="289"/>
      <c r="E27" s="290"/>
      <c r="F27" s="291"/>
      <c r="G27" s="268"/>
      <c r="H27" s="292"/>
      <c r="I27" s="292"/>
      <c r="J27" s="292"/>
    </row>
    <row r="28" spans="1:10">
      <c r="A28" s="272">
        <f>MAX(A$1:A27)+1</f>
        <v>5</v>
      </c>
      <c r="B28" s="266"/>
      <c r="C28" s="273" t="s">
        <v>767</v>
      </c>
      <c r="D28" s="274"/>
      <c r="E28" s="275" t="s">
        <v>768</v>
      </c>
      <c r="F28" s="276"/>
      <c r="G28" s="277" t="s">
        <v>595</v>
      </c>
      <c r="H28" s="278">
        <v>1</v>
      </c>
      <c r="I28" s="379"/>
      <c r="J28" s="278">
        <f t="shared" ref="J28" si="1">I28*H28</f>
        <v>0</v>
      </c>
    </row>
    <row r="29" spans="1:10" ht="25.5">
      <c r="A29" s="286"/>
      <c r="B29" s="293"/>
      <c r="C29" s="293"/>
      <c r="D29" s="274"/>
      <c r="E29" s="279" t="s">
        <v>769</v>
      </c>
      <c r="F29" s="294"/>
      <c r="G29" s="295"/>
      <c r="H29" s="292"/>
      <c r="I29" s="292"/>
      <c r="J29" s="292"/>
    </row>
    <row r="30" spans="1:10">
      <c r="A30" s="261"/>
      <c r="B30" s="266"/>
      <c r="C30" s="300"/>
      <c r="D30" s="300"/>
      <c r="E30" s="301"/>
      <c r="F30" s="281"/>
      <c r="G30" s="268"/>
      <c r="H30" s="302"/>
      <c r="I30" s="302"/>
      <c r="J30" s="302"/>
    </row>
    <row r="31" spans="1:10">
      <c r="A31" s="272">
        <f>MAX(A$1:A30)+1</f>
        <v>6</v>
      </c>
      <c r="B31" s="287"/>
      <c r="C31" s="273" t="s">
        <v>784</v>
      </c>
      <c r="D31" s="274"/>
      <c r="E31" s="275" t="s">
        <v>785</v>
      </c>
      <c r="F31" s="276"/>
      <c r="G31" s="277" t="s">
        <v>1</v>
      </c>
      <c r="H31" s="278">
        <v>1300</v>
      </c>
      <c r="I31" s="379"/>
      <c r="J31" s="278">
        <f t="shared" ref="J31" si="2">I31*H31</f>
        <v>0</v>
      </c>
    </row>
    <row r="32" spans="1:10">
      <c r="A32" s="272"/>
      <c r="B32" s="287"/>
      <c r="C32" s="273"/>
      <c r="D32" s="274"/>
      <c r="E32" s="279" t="s">
        <v>786</v>
      </c>
      <c r="F32" s="276"/>
      <c r="G32" s="277"/>
      <c r="H32" s="278"/>
      <c r="I32" s="278"/>
      <c r="J32" s="278"/>
    </row>
    <row r="33" spans="1:10">
      <c r="A33" s="286"/>
      <c r="B33" s="287"/>
      <c r="C33" s="288"/>
      <c r="D33" s="296"/>
      <c r="E33" s="279" t="s">
        <v>787</v>
      </c>
      <c r="F33" s="297"/>
      <c r="G33" s="268"/>
      <c r="H33" s="298"/>
      <c r="I33" s="298"/>
      <c r="J33" s="298"/>
    </row>
    <row r="34" spans="1:10" ht="25.5">
      <c r="A34" s="286"/>
      <c r="B34" s="287"/>
      <c r="C34" s="288"/>
      <c r="D34" s="296"/>
      <c r="E34" s="279" t="s">
        <v>788</v>
      </c>
      <c r="F34" s="297"/>
      <c r="G34" s="268"/>
      <c r="H34" s="298"/>
      <c r="I34" s="298"/>
      <c r="J34" s="298"/>
    </row>
    <row r="35" spans="1:10">
      <c r="A35" s="286"/>
      <c r="B35" s="287"/>
      <c r="C35" s="288"/>
      <c r="D35" s="289"/>
      <c r="E35" s="279" t="s">
        <v>789</v>
      </c>
      <c r="F35" s="299"/>
      <c r="G35" s="268"/>
      <c r="H35" s="292"/>
      <c r="I35" s="292"/>
      <c r="J35" s="292"/>
    </row>
    <row r="36" spans="1:10">
      <c r="A36" s="261"/>
      <c r="B36" s="312"/>
      <c r="C36" s="300"/>
      <c r="D36" s="313"/>
      <c r="E36" s="314"/>
      <c r="F36" s="281"/>
      <c r="G36" s="268"/>
      <c r="H36" s="315"/>
      <c r="I36" s="315"/>
      <c r="J36" s="315"/>
    </row>
    <row r="37" spans="1:10" ht="13.5" thickBot="1">
      <c r="A37" s="303"/>
      <c r="B37" s="304"/>
      <c r="C37" s="305"/>
      <c r="D37" s="306"/>
      <c r="E37" s="307"/>
      <c r="F37" s="308"/>
      <c r="G37" s="309"/>
      <c r="H37" s="310"/>
      <c r="I37" s="310"/>
      <c r="J37" s="310"/>
    </row>
    <row r="38" spans="1:10" ht="13.5" thickBot="1">
      <c r="A38" s="222"/>
      <c r="B38" s="223"/>
      <c r="C38" s="223"/>
      <c r="D38" s="223"/>
      <c r="E38" s="223" t="s">
        <v>770</v>
      </c>
      <c r="F38" s="224"/>
      <c r="G38" s="223"/>
      <c r="H38" s="224"/>
      <c r="I38" s="224"/>
      <c r="J38" s="225">
        <f>SUM(J5:J37)</f>
        <v>0</v>
      </c>
    </row>
  </sheetData>
  <sheetProtection algorithmName="SHA-512" hashValue="zE/w+p5U3L7A/+elRVJ97LdsNnwo8Zjv9lvu6M0NlY+CXqQA9lsxuOpEYVqW9L1iUnOIXCnOut+i5V5rsxha+Q==" saltValue="jKd3nB96PDVqus1Lyn7zsQ==" spinCount="100000" sheet="1" objects="1" scenarios="1"/>
  <mergeCells count="6">
    <mergeCell ref="J3:J4"/>
    <mergeCell ref="A3:C3"/>
    <mergeCell ref="E3:F4"/>
    <mergeCell ref="G3:G4"/>
    <mergeCell ref="H3:H4"/>
    <mergeCell ref="I3:I4"/>
  </mergeCells>
  <pageMargins left="0.39370078740157483" right="0.19685039370078741" top="0.98425196850393704" bottom="0.98425196850393704" header="0.51181102362204722" footer="0.51181102362204722"/>
  <pageSetup paperSize="9" scale="72" orientation="portrait" r:id="rId1"/>
  <headerFooter>
    <oddHeader>&amp;LNÁZOV STAVIEB : Rekonštrukcia a obnova mostov na cestách III. triedy BBSK, oblasť JUH
STAVBA : Most ev.č.2610-12,C III/2610 v km 12,678 – Čeláre&amp;RO. Výkaz výmer a rozpočet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AM237"/>
  <sheetViews>
    <sheetView showGridLines="0" zoomScale="98" zoomScaleNormal="98" workbookViewId="0">
      <pane ySplit="4" topLeftCell="A5" activePane="bottomLeft" state="frozen"/>
      <selection pane="bottomLeft"/>
    </sheetView>
  </sheetViews>
  <sheetFormatPr defaultRowHeight="12.75"/>
  <cols>
    <col min="1" max="1" width="4.7109375" style="108" customWidth="1"/>
    <col min="2" max="2" width="9.28515625" style="108" customWidth="1"/>
    <col min="3" max="3" width="9" style="108" customWidth="1"/>
    <col min="4" max="4" width="10.85546875" style="108" customWidth="1"/>
    <col min="5" max="5" width="52.7109375" style="108" customWidth="1"/>
    <col min="6" max="6" width="9.85546875" style="113" customWidth="1"/>
    <col min="7" max="7" width="5.7109375" style="108" customWidth="1"/>
    <col min="8" max="9" width="10.140625" style="113" customWidth="1"/>
    <col min="10" max="10" width="14.85546875" style="113" customWidth="1"/>
    <col min="11" max="16384" width="9.140625" style="108"/>
  </cols>
  <sheetData>
    <row r="1" spans="1:39" ht="25.5">
      <c r="A1" s="1" t="s">
        <v>8</v>
      </c>
      <c r="B1" s="1"/>
      <c r="C1" s="2"/>
      <c r="D1" s="3"/>
      <c r="E1" s="4" t="s">
        <v>239</v>
      </c>
      <c r="F1" s="5"/>
      <c r="G1" s="6"/>
      <c r="H1" s="7"/>
      <c r="I1" s="7"/>
      <c r="J1" s="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</row>
    <row r="2" spans="1:39" ht="13.5" thickBot="1">
      <c r="A2" s="8" t="s">
        <v>9</v>
      </c>
      <c r="B2" s="1"/>
      <c r="C2" s="2"/>
      <c r="D2" s="3"/>
      <c r="E2" s="9">
        <v>2112</v>
      </c>
      <c r="F2" s="5"/>
      <c r="G2" s="10"/>
      <c r="H2" s="11"/>
      <c r="I2" s="11"/>
      <c r="J2" s="11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</row>
    <row r="3" spans="1:39">
      <c r="A3" s="366" t="s">
        <v>10</v>
      </c>
      <c r="B3" s="367"/>
      <c r="C3" s="368"/>
      <c r="D3" s="12"/>
      <c r="E3" s="369" t="s">
        <v>11</v>
      </c>
      <c r="F3" s="370"/>
      <c r="G3" s="373" t="s">
        <v>12</v>
      </c>
      <c r="H3" s="375" t="s">
        <v>13</v>
      </c>
      <c r="I3" s="354" t="s">
        <v>736</v>
      </c>
      <c r="J3" s="354" t="s">
        <v>737</v>
      </c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</row>
    <row r="4" spans="1:39" ht="13.5" thickBot="1">
      <c r="A4" s="13" t="s">
        <v>14</v>
      </c>
      <c r="B4" s="14" t="s">
        <v>17</v>
      </c>
      <c r="C4" s="14" t="s">
        <v>15</v>
      </c>
      <c r="D4" s="14" t="s">
        <v>16</v>
      </c>
      <c r="E4" s="371"/>
      <c r="F4" s="372"/>
      <c r="G4" s="374"/>
      <c r="H4" s="376"/>
      <c r="I4" s="355"/>
      <c r="J4" s="355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</row>
    <row r="5" spans="1:39">
      <c r="A5" s="15"/>
      <c r="B5" s="16"/>
      <c r="C5" s="16"/>
      <c r="D5" s="17"/>
      <c r="E5" s="18"/>
      <c r="F5" s="19"/>
      <c r="G5" s="20"/>
      <c r="H5" s="21"/>
      <c r="I5" s="21"/>
      <c r="J5" s="21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</row>
    <row r="6" spans="1:39">
      <c r="A6" s="22"/>
      <c r="B6" s="102" t="s">
        <v>18</v>
      </c>
      <c r="C6" s="114"/>
      <c r="D6" s="115"/>
      <c r="E6" s="116" t="s">
        <v>20</v>
      </c>
      <c r="F6" s="23"/>
      <c r="G6" s="24"/>
      <c r="H6" s="25"/>
      <c r="I6" s="25"/>
      <c r="J6" s="25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</row>
    <row r="7" spans="1:39">
      <c r="A7" s="26"/>
      <c r="B7" s="27"/>
      <c r="C7" s="27"/>
      <c r="D7" s="27"/>
      <c r="E7" s="28"/>
      <c r="F7" s="29"/>
      <c r="G7" s="27"/>
      <c r="H7" s="30"/>
      <c r="I7" s="30"/>
      <c r="J7" s="30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</row>
    <row r="8" spans="1:39" ht="25.5">
      <c r="A8" s="31">
        <f>MAX(A$1:A6)+1</f>
        <v>1</v>
      </c>
      <c r="B8" s="27"/>
      <c r="C8" s="32" t="s">
        <v>21</v>
      </c>
      <c r="D8" s="33"/>
      <c r="E8" s="34" t="s">
        <v>22</v>
      </c>
      <c r="F8" s="35"/>
      <c r="G8" s="24" t="s">
        <v>0</v>
      </c>
      <c r="H8" s="36">
        <v>131.32</v>
      </c>
      <c r="I8" s="380"/>
      <c r="J8" s="36">
        <f>I8*H8</f>
        <v>0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</row>
    <row r="9" spans="1:39">
      <c r="A9" s="31"/>
      <c r="B9" s="27"/>
      <c r="C9" s="32"/>
      <c r="D9" s="33"/>
      <c r="E9" s="37" t="s">
        <v>220</v>
      </c>
      <c r="F9" s="38">
        <f>392*0.127</f>
        <v>49.78</v>
      </c>
      <c r="G9" s="24"/>
      <c r="H9" s="36"/>
      <c r="I9" s="36"/>
      <c r="J9" s="36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</row>
    <row r="10" spans="1:39">
      <c r="A10" s="31"/>
      <c r="B10" s="27"/>
      <c r="C10" s="32"/>
      <c r="D10" s="33"/>
      <c r="E10" s="37" t="s">
        <v>221</v>
      </c>
      <c r="F10" s="38">
        <f>196*0.181</f>
        <v>35.479999999999997</v>
      </c>
      <c r="G10" s="24"/>
      <c r="H10" s="36"/>
      <c r="I10" s="36"/>
      <c r="J10" s="36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</row>
    <row r="11" spans="1:39">
      <c r="A11" s="31"/>
      <c r="B11" s="27"/>
      <c r="C11" s="32"/>
      <c r="D11" s="33"/>
      <c r="E11" s="37" t="s">
        <v>222</v>
      </c>
      <c r="F11" s="39">
        <f>196*0.235</f>
        <v>46.06</v>
      </c>
      <c r="G11" s="24"/>
      <c r="H11" s="36"/>
      <c r="I11" s="36"/>
      <c r="J11" s="36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</row>
    <row r="12" spans="1:39">
      <c r="A12" s="31"/>
      <c r="B12" s="27"/>
      <c r="C12" s="32"/>
      <c r="D12" s="33"/>
      <c r="E12" s="37"/>
      <c r="F12" s="38">
        <f>SUM(F9:F11)</f>
        <v>131.32</v>
      </c>
      <c r="G12" s="24"/>
      <c r="H12" s="36"/>
      <c r="I12" s="36"/>
      <c r="J12" s="36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</row>
    <row r="13" spans="1:39">
      <c r="A13" s="31"/>
      <c r="B13" s="27"/>
      <c r="C13" s="32"/>
      <c r="D13" s="33"/>
      <c r="E13" s="34"/>
      <c r="F13" s="35"/>
      <c r="G13" s="24"/>
      <c r="H13" s="36"/>
      <c r="I13" s="36"/>
      <c r="J13" s="36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</row>
    <row r="14" spans="1:39">
      <c r="A14" s="31">
        <f>MAX(A$1:A13)+1</f>
        <v>2</v>
      </c>
      <c r="B14" s="40"/>
      <c r="C14" s="32" t="s">
        <v>23</v>
      </c>
      <c r="D14" s="33"/>
      <c r="E14" s="34" t="s">
        <v>24</v>
      </c>
      <c r="F14" s="35"/>
      <c r="G14" s="24" t="s">
        <v>7</v>
      </c>
      <c r="H14" s="36">
        <v>330.6</v>
      </c>
      <c r="I14" s="380"/>
      <c r="J14" s="36">
        <f t="shared" ref="J14:J71" si="0">I14*H14</f>
        <v>0</v>
      </c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</row>
    <row r="15" spans="1:39">
      <c r="A15" s="31"/>
      <c r="B15" s="40"/>
      <c r="C15" s="32"/>
      <c r="D15" s="33"/>
      <c r="E15" s="41" t="s">
        <v>230</v>
      </c>
      <c r="F15" s="35"/>
      <c r="G15" s="24"/>
      <c r="H15" s="36"/>
      <c r="I15" s="36"/>
      <c r="J15" s="36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</row>
    <row r="16" spans="1:39">
      <c r="A16" s="31"/>
      <c r="B16" s="40"/>
      <c r="C16" s="32"/>
      <c r="D16" s="33"/>
      <c r="E16" s="41" t="s">
        <v>231</v>
      </c>
      <c r="F16" s="38">
        <f>6.8+79.7+218</f>
        <v>304.5</v>
      </c>
      <c r="G16" s="24"/>
      <c r="H16" s="36"/>
      <c r="I16" s="36"/>
      <c r="J16" s="36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</row>
    <row r="17" spans="1:39">
      <c r="A17" s="42"/>
      <c r="B17" s="40"/>
      <c r="C17" s="43"/>
      <c r="D17" s="44"/>
      <c r="E17" s="41" t="s">
        <v>225</v>
      </c>
      <c r="F17" s="39">
        <v>26.1</v>
      </c>
      <c r="G17" s="45"/>
      <c r="H17" s="46"/>
      <c r="I17" s="46"/>
      <c r="J17" s="46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</row>
    <row r="18" spans="1:39">
      <c r="A18" s="42"/>
      <c r="B18" s="40"/>
      <c r="C18" s="43"/>
      <c r="D18" s="44"/>
      <c r="E18" s="41"/>
      <c r="F18" s="38">
        <f>SUM(F16:F17)</f>
        <v>330.6</v>
      </c>
      <c r="G18" s="45"/>
      <c r="H18" s="46"/>
      <c r="I18" s="46"/>
      <c r="J18" s="46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</row>
    <row r="19" spans="1:39">
      <c r="A19" s="31"/>
      <c r="B19" s="50"/>
      <c r="C19" s="117"/>
      <c r="D19" s="117"/>
      <c r="E19" s="118"/>
      <c r="F19" s="38"/>
      <c r="G19" s="27"/>
      <c r="H19" s="51"/>
      <c r="I19" s="51"/>
      <c r="J19" s="51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</row>
    <row r="20" spans="1:39">
      <c r="A20" s="31">
        <f>MAX(A$1:A17)+1</f>
        <v>3</v>
      </c>
      <c r="B20" s="27"/>
      <c r="C20" s="32" t="s">
        <v>25</v>
      </c>
      <c r="D20" s="33"/>
      <c r="E20" s="34" t="s">
        <v>26</v>
      </c>
      <c r="F20" s="35"/>
      <c r="G20" s="24" t="s">
        <v>7</v>
      </c>
      <c r="H20" s="36">
        <v>266.8</v>
      </c>
      <c r="I20" s="380"/>
      <c r="J20" s="36">
        <f t="shared" si="0"/>
        <v>0</v>
      </c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</row>
    <row r="21" spans="1:39">
      <c r="A21" s="26"/>
      <c r="B21" s="27"/>
      <c r="C21" s="27"/>
      <c r="D21" s="45"/>
      <c r="E21" s="37" t="s">
        <v>224</v>
      </c>
      <c r="F21" s="47">
        <v>266.8</v>
      </c>
      <c r="G21" s="48"/>
      <c r="H21" s="49"/>
      <c r="I21" s="49"/>
      <c r="J21" s="49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</row>
    <row r="22" spans="1:39">
      <c r="A22" s="31"/>
      <c r="B22" s="50"/>
      <c r="C22" s="117"/>
      <c r="D22" s="117"/>
      <c r="E22" s="118"/>
      <c r="F22" s="38"/>
      <c r="G22" s="27"/>
      <c r="H22" s="51"/>
      <c r="I22" s="51"/>
      <c r="J22" s="51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</row>
    <row r="23" spans="1:39">
      <c r="A23" s="31"/>
      <c r="B23" s="50"/>
      <c r="C23" s="117"/>
      <c r="D23" s="117"/>
      <c r="E23" s="118"/>
      <c r="F23" s="38"/>
      <c r="G23" s="27"/>
      <c r="H23" s="51"/>
      <c r="I23" s="51"/>
      <c r="J23" s="51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</row>
    <row r="24" spans="1:39" ht="15.75">
      <c r="A24" s="26"/>
      <c r="B24" s="102" t="s">
        <v>19</v>
      </c>
      <c r="C24" s="119"/>
      <c r="D24" s="120"/>
      <c r="E24" s="34" t="s">
        <v>27</v>
      </c>
      <c r="F24" s="38"/>
      <c r="G24" s="48"/>
      <c r="H24" s="49"/>
      <c r="I24" s="49"/>
      <c r="J24" s="49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</row>
    <row r="25" spans="1:39">
      <c r="A25" s="26"/>
      <c r="B25" s="27"/>
      <c r="C25" s="27"/>
      <c r="D25" s="45"/>
      <c r="E25" s="37"/>
      <c r="F25" s="38"/>
      <c r="G25" s="48"/>
      <c r="H25" s="49"/>
      <c r="I25" s="49"/>
      <c r="J25" s="49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</row>
    <row r="26" spans="1:39" ht="25.5">
      <c r="A26" s="31">
        <f>MAX(A$1:A24)+1</f>
        <v>4</v>
      </c>
      <c r="B26" s="27"/>
      <c r="C26" s="32" t="s">
        <v>213</v>
      </c>
      <c r="D26" s="33"/>
      <c r="E26" s="52" t="s">
        <v>214</v>
      </c>
      <c r="F26" s="53"/>
      <c r="G26" s="24" t="s">
        <v>1</v>
      </c>
      <c r="H26" s="36">
        <v>196</v>
      </c>
      <c r="I26" s="380"/>
      <c r="J26" s="36">
        <f t="shared" si="0"/>
        <v>0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</row>
    <row r="27" spans="1:39" ht="25.5">
      <c r="A27" s="26"/>
      <c r="B27" s="27"/>
      <c r="C27" s="54"/>
      <c r="D27" s="55" t="s">
        <v>215</v>
      </c>
      <c r="E27" s="56" t="s">
        <v>216</v>
      </c>
      <c r="F27" s="57"/>
      <c r="G27" s="58" t="s">
        <v>1</v>
      </c>
      <c r="H27" s="59">
        <v>196</v>
      </c>
      <c r="I27" s="59"/>
      <c r="J27" s="59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</row>
    <row r="28" spans="1:39">
      <c r="A28" s="26"/>
      <c r="B28" s="27"/>
      <c r="C28" s="27"/>
      <c r="D28" s="45"/>
      <c r="E28" s="37" t="s">
        <v>217</v>
      </c>
      <c r="F28" s="38">
        <v>196</v>
      </c>
      <c r="G28" s="48"/>
      <c r="H28" s="49"/>
      <c r="I28" s="49"/>
      <c r="J28" s="49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</row>
    <row r="29" spans="1:39">
      <c r="A29" s="26"/>
      <c r="B29" s="27"/>
      <c r="C29" s="27"/>
      <c r="D29" s="45"/>
      <c r="E29" s="37"/>
      <c r="F29" s="38"/>
      <c r="G29" s="48"/>
      <c r="H29" s="49"/>
      <c r="I29" s="49"/>
      <c r="J29" s="49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</row>
    <row r="30" spans="1:39" ht="38.25">
      <c r="A30" s="31">
        <f>MAX(A$1:A29)+1</f>
        <v>5</v>
      </c>
      <c r="B30" s="27"/>
      <c r="C30" s="32" t="s">
        <v>28</v>
      </c>
      <c r="D30" s="33"/>
      <c r="E30" s="34" t="s">
        <v>29</v>
      </c>
      <c r="F30" s="35"/>
      <c r="G30" s="24" t="s">
        <v>1</v>
      </c>
      <c r="H30" s="36">
        <v>196</v>
      </c>
      <c r="I30" s="380"/>
      <c r="J30" s="36">
        <f t="shared" si="0"/>
        <v>0</v>
      </c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</row>
    <row r="31" spans="1:39" ht="38.25">
      <c r="A31" s="26"/>
      <c r="B31" s="27"/>
      <c r="C31" s="27"/>
      <c r="D31" s="55" t="s">
        <v>30</v>
      </c>
      <c r="E31" s="60" t="s">
        <v>31</v>
      </c>
      <c r="F31" s="61"/>
      <c r="G31" s="58" t="s">
        <v>1</v>
      </c>
      <c r="H31" s="59">
        <v>196</v>
      </c>
      <c r="I31" s="59"/>
      <c r="J31" s="59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</row>
    <row r="32" spans="1:39">
      <c r="A32" s="26"/>
      <c r="B32" s="27"/>
      <c r="C32" s="27"/>
      <c r="D32" s="45"/>
      <c r="E32" s="37" t="s">
        <v>218</v>
      </c>
      <c r="F32" s="38">
        <v>196</v>
      </c>
      <c r="G32" s="48"/>
      <c r="H32" s="49"/>
      <c r="I32" s="49"/>
      <c r="J32" s="49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</row>
    <row r="33" spans="1:39">
      <c r="A33" s="26"/>
      <c r="B33" s="27"/>
      <c r="C33" s="27"/>
      <c r="D33" s="45"/>
      <c r="E33" s="37" t="s">
        <v>219</v>
      </c>
      <c r="F33" s="38"/>
      <c r="G33" s="48"/>
      <c r="H33" s="49"/>
      <c r="I33" s="49"/>
      <c r="J33" s="49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</row>
    <row r="34" spans="1:39" ht="38.25">
      <c r="A34" s="31">
        <f>MAX(A$1:A33)+1</f>
        <v>6</v>
      </c>
      <c r="B34" s="27"/>
      <c r="C34" s="32" t="s">
        <v>32</v>
      </c>
      <c r="D34" s="33"/>
      <c r="E34" s="34" t="s">
        <v>33</v>
      </c>
      <c r="F34" s="35"/>
      <c r="G34" s="24" t="s">
        <v>5</v>
      </c>
      <c r="H34" s="36">
        <v>16</v>
      </c>
      <c r="I34" s="380"/>
      <c r="J34" s="36">
        <f t="shared" si="0"/>
        <v>0</v>
      </c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</row>
    <row r="35" spans="1:39">
      <c r="A35" s="31"/>
      <c r="B35" s="27"/>
      <c r="C35" s="32"/>
      <c r="D35" s="33"/>
      <c r="E35" s="62" t="s">
        <v>108</v>
      </c>
      <c r="F35" s="63">
        <v>16</v>
      </c>
      <c r="G35" s="24"/>
      <c r="H35" s="49"/>
      <c r="I35" s="49"/>
      <c r="J35" s="49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</row>
    <row r="36" spans="1:39">
      <c r="A36" s="31"/>
      <c r="B36" s="27"/>
      <c r="C36" s="32"/>
      <c r="D36" s="33"/>
      <c r="E36" s="64"/>
      <c r="F36" s="63"/>
      <c r="G36" s="24"/>
      <c r="H36" s="49"/>
      <c r="I36" s="49"/>
      <c r="J36" s="49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</row>
    <row r="37" spans="1:39">
      <c r="A37" s="31">
        <f>MAX(A$1:A36)+1</f>
        <v>7</v>
      </c>
      <c r="B37" s="27"/>
      <c r="C37" s="32" t="s">
        <v>34</v>
      </c>
      <c r="D37" s="33"/>
      <c r="E37" s="34" t="s">
        <v>35</v>
      </c>
      <c r="F37" s="35"/>
      <c r="G37" s="24" t="s">
        <v>0</v>
      </c>
      <c r="H37" s="36">
        <v>131.99</v>
      </c>
      <c r="I37" s="380"/>
      <c r="J37" s="36">
        <f t="shared" si="0"/>
        <v>0</v>
      </c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</row>
    <row r="38" spans="1:39">
      <c r="A38" s="26"/>
      <c r="B38" s="27"/>
      <c r="C38" s="27"/>
      <c r="D38" s="55" t="s">
        <v>36</v>
      </c>
      <c r="E38" s="60" t="s">
        <v>37</v>
      </c>
      <c r="F38" s="61"/>
      <c r="G38" s="58" t="s">
        <v>0</v>
      </c>
      <c r="H38" s="59">
        <v>131.99</v>
      </c>
      <c r="I38" s="59"/>
      <c r="J38" s="59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</row>
    <row r="39" spans="1:39">
      <c r="A39" s="26"/>
      <c r="B39" s="27"/>
      <c r="C39" s="27"/>
      <c r="D39" s="55"/>
      <c r="E39" s="65" t="s">
        <v>240</v>
      </c>
      <c r="F39" s="61"/>
      <c r="G39" s="58"/>
      <c r="H39" s="49"/>
      <c r="I39" s="49"/>
      <c r="J39" s="49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</row>
    <row r="40" spans="1:39">
      <c r="A40" s="26"/>
      <c r="B40" s="27"/>
      <c r="C40" s="27"/>
      <c r="D40" s="55"/>
      <c r="E40" s="37" t="s">
        <v>220</v>
      </c>
      <c r="F40" s="38">
        <f>392*0.127</f>
        <v>49.78</v>
      </c>
      <c r="G40" s="58"/>
      <c r="H40" s="49"/>
      <c r="I40" s="49"/>
      <c r="J40" s="49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</row>
    <row r="41" spans="1:39">
      <c r="A41" s="26"/>
      <c r="B41" s="27"/>
      <c r="C41" s="27"/>
      <c r="D41" s="55"/>
      <c r="E41" s="37" t="s">
        <v>221</v>
      </c>
      <c r="F41" s="38">
        <f>196*0.181</f>
        <v>35.479999999999997</v>
      </c>
      <c r="G41" s="58"/>
      <c r="H41" s="49"/>
      <c r="I41" s="49"/>
      <c r="J41" s="49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</row>
    <row r="42" spans="1:39">
      <c r="A42" s="26"/>
      <c r="B42" s="27"/>
      <c r="C42" s="27"/>
      <c r="D42" s="55"/>
      <c r="E42" s="37" t="s">
        <v>222</v>
      </c>
      <c r="F42" s="38">
        <f>196*0.235</f>
        <v>46.06</v>
      </c>
      <c r="G42" s="58"/>
      <c r="H42" s="49"/>
      <c r="I42" s="49"/>
      <c r="J42" s="49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</row>
    <row r="43" spans="1:39">
      <c r="A43" s="26"/>
      <c r="B43" s="27"/>
      <c r="C43" s="27"/>
      <c r="D43" s="45"/>
      <c r="E43" s="37" t="s">
        <v>223</v>
      </c>
      <c r="F43" s="39">
        <f>16*0.042</f>
        <v>0.67</v>
      </c>
      <c r="G43" s="48"/>
      <c r="H43" s="49"/>
      <c r="I43" s="49"/>
      <c r="J43" s="49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</row>
    <row r="44" spans="1:39">
      <c r="A44" s="26"/>
      <c r="B44" s="27"/>
      <c r="C44" s="27"/>
      <c r="D44" s="45"/>
      <c r="E44" s="37"/>
      <c r="F44" s="38">
        <f>SUM(F40:F43)</f>
        <v>131.99</v>
      </c>
      <c r="G44" s="48"/>
      <c r="H44" s="49"/>
      <c r="I44" s="49"/>
      <c r="J44" s="49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</row>
    <row r="45" spans="1:39">
      <c r="A45" s="31"/>
      <c r="B45" s="27"/>
      <c r="C45" s="32"/>
      <c r="D45" s="33"/>
      <c r="E45" s="65"/>
      <c r="F45" s="35"/>
      <c r="G45" s="24"/>
      <c r="H45" s="36"/>
      <c r="I45" s="36"/>
      <c r="J45" s="36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</row>
    <row r="46" spans="1:39" ht="25.5">
      <c r="A46" s="31">
        <f>MAX(A$1:A45)+1</f>
        <v>8</v>
      </c>
      <c r="B46" s="27"/>
      <c r="C46" s="32" t="s">
        <v>38</v>
      </c>
      <c r="D46" s="33"/>
      <c r="E46" s="34" t="s">
        <v>39</v>
      </c>
      <c r="F46" s="35"/>
      <c r="G46" s="24" t="s">
        <v>1</v>
      </c>
      <c r="H46" s="36">
        <v>392</v>
      </c>
      <c r="I46" s="380"/>
      <c r="J46" s="36">
        <f t="shared" si="0"/>
        <v>0</v>
      </c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</row>
    <row r="47" spans="1:39" ht="25.5">
      <c r="A47" s="26"/>
      <c r="B47" s="27"/>
      <c r="C47" s="27"/>
      <c r="D47" s="55" t="s">
        <v>139</v>
      </c>
      <c r="E47" s="56" t="s">
        <v>140</v>
      </c>
      <c r="F47" s="57"/>
      <c r="G47" s="58" t="s">
        <v>1</v>
      </c>
      <c r="H47" s="59">
        <v>392</v>
      </c>
      <c r="I47" s="59"/>
      <c r="J47" s="59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</row>
    <row r="48" spans="1:39">
      <c r="A48" s="26"/>
      <c r="B48" s="27"/>
      <c r="C48" s="27"/>
      <c r="D48" s="55"/>
      <c r="E48" s="37" t="s">
        <v>141</v>
      </c>
      <c r="F48" s="57"/>
      <c r="G48" s="58"/>
      <c r="H48" s="59"/>
      <c r="I48" s="59"/>
      <c r="J48" s="59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</row>
    <row r="49" spans="1:39">
      <c r="A49" s="26"/>
      <c r="B49" s="27"/>
      <c r="C49" s="27"/>
      <c r="D49" s="55"/>
      <c r="E49" s="37" t="s">
        <v>212</v>
      </c>
      <c r="F49" s="38">
        <f>196+196</f>
        <v>392</v>
      </c>
      <c r="G49" s="58"/>
      <c r="H49" s="59"/>
      <c r="I49" s="59"/>
      <c r="J49" s="59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</row>
    <row r="50" spans="1:39">
      <c r="A50" s="26"/>
      <c r="B50" s="27"/>
      <c r="C50" s="32"/>
      <c r="D50" s="33"/>
      <c r="E50" s="34"/>
      <c r="F50" s="35"/>
      <c r="G50" s="24"/>
      <c r="H50" s="49"/>
      <c r="I50" s="49"/>
      <c r="J50" s="49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</row>
    <row r="51" spans="1:39" ht="25.5">
      <c r="A51" s="31">
        <f>MAX(A$1:A50)+1</f>
        <v>9</v>
      </c>
      <c r="B51" s="27"/>
      <c r="C51" s="32" t="s">
        <v>40</v>
      </c>
      <c r="D51" s="33"/>
      <c r="E51" s="34" t="s">
        <v>41</v>
      </c>
      <c r="F51" s="35"/>
      <c r="G51" s="24" t="s">
        <v>5</v>
      </c>
      <c r="H51" s="36">
        <v>10.1</v>
      </c>
      <c r="I51" s="380"/>
      <c r="J51" s="36">
        <f t="shared" si="0"/>
        <v>0</v>
      </c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</row>
    <row r="52" spans="1:39" ht="25.5">
      <c r="A52" s="26"/>
      <c r="B52" s="27"/>
      <c r="C52" s="32"/>
      <c r="D52" s="55" t="s">
        <v>42</v>
      </c>
      <c r="E52" s="60" t="s">
        <v>43</v>
      </c>
      <c r="F52" s="61"/>
      <c r="G52" s="58" t="s">
        <v>5</v>
      </c>
      <c r="H52" s="59">
        <v>10.1</v>
      </c>
      <c r="I52" s="59"/>
      <c r="J52" s="59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</row>
    <row r="53" spans="1:39">
      <c r="A53" s="26"/>
      <c r="B53" s="27"/>
      <c r="C53" s="32"/>
      <c r="D53" s="55"/>
      <c r="E53" s="66" t="s">
        <v>142</v>
      </c>
      <c r="F53" s="61"/>
      <c r="G53" s="58"/>
      <c r="H53" s="59"/>
      <c r="I53" s="59"/>
      <c r="J53" s="59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</row>
    <row r="54" spans="1:39">
      <c r="A54" s="26"/>
      <c r="B54" s="27"/>
      <c r="C54" s="32"/>
      <c r="D54" s="55"/>
      <c r="E54" s="62" t="s">
        <v>143</v>
      </c>
      <c r="F54" s="38"/>
      <c r="G54" s="58"/>
      <c r="H54" s="59"/>
      <c r="I54" s="59"/>
      <c r="J54" s="59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</row>
    <row r="55" spans="1:39">
      <c r="A55" s="26"/>
      <c r="B55" s="27"/>
      <c r="C55" s="32"/>
      <c r="D55" s="55"/>
      <c r="E55" s="62" t="s">
        <v>211</v>
      </c>
      <c r="F55" s="38">
        <v>10.1</v>
      </c>
      <c r="G55" s="58"/>
      <c r="H55" s="59"/>
      <c r="I55" s="59"/>
      <c r="J55" s="59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</row>
    <row r="56" spans="1:39">
      <c r="A56" s="26"/>
      <c r="B56" s="27"/>
      <c r="C56" s="32"/>
      <c r="D56" s="33"/>
      <c r="E56" s="37"/>
      <c r="F56" s="38"/>
      <c r="G56" s="24"/>
      <c r="H56" s="49"/>
      <c r="I56" s="49"/>
      <c r="J56" s="49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</row>
    <row r="57" spans="1:39">
      <c r="A57" s="26"/>
      <c r="B57" s="27"/>
      <c r="C57" s="32"/>
      <c r="D57" s="33"/>
      <c r="E57" s="34"/>
      <c r="F57" s="38"/>
      <c r="G57" s="24"/>
      <c r="H57" s="49"/>
      <c r="I57" s="49"/>
      <c r="J57" s="49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</row>
    <row r="58" spans="1:39">
      <c r="A58" s="26"/>
      <c r="B58" s="121" t="s">
        <v>44</v>
      </c>
      <c r="C58" s="75"/>
      <c r="D58" s="33"/>
      <c r="E58" s="122" t="s">
        <v>45</v>
      </c>
      <c r="F58" s="86"/>
      <c r="G58" s="48"/>
      <c r="H58" s="49"/>
      <c r="I58" s="49"/>
      <c r="J58" s="49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</row>
    <row r="59" spans="1:39">
      <c r="A59" s="26"/>
      <c r="B59" s="27"/>
      <c r="C59" s="27"/>
      <c r="D59" s="45"/>
      <c r="E59" s="68"/>
      <c r="F59" s="38"/>
      <c r="G59" s="48"/>
      <c r="H59" s="49"/>
      <c r="I59" s="49"/>
      <c r="J59" s="49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</row>
    <row r="60" spans="1:39">
      <c r="A60" s="31">
        <f>MAX(A$1:A59)+1</f>
        <v>10</v>
      </c>
      <c r="B60" s="27"/>
      <c r="C60" s="32" t="s">
        <v>46</v>
      </c>
      <c r="D60" s="33"/>
      <c r="E60" s="34" t="s">
        <v>47</v>
      </c>
      <c r="F60" s="35"/>
      <c r="G60" s="24" t="s">
        <v>1</v>
      </c>
      <c r="H60" s="36">
        <v>322.67</v>
      </c>
      <c r="I60" s="380"/>
      <c r="J60" s="36">
        <f t="shared" si="0"/>
        <v>0</v>
      </c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</row>
    <row r="61" spans="1:39">
      <c r="A61" s="26"/>
      <c r="B61" s="27"/>
      <c r="C61" s="54"/>
      <c r="D61" s="55" t="s">
        <v>48</v>
      </c>
      <c r="E61" s="60" t="s">
        <v>49</v>
      </c>
      <c r="F61" s="61"/>
      <c r="G61" s="58" t="s">
        <v>1</v>
      </c>
      <c r="H61" s="59">
        <v>322.67</v>
      </c>
      <c r="I61" s="59"/>
      <c r="J61" s="59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</row>
    <row r="62" spans="1:39">
      <c r="A62" s="26"/>
      <c r="B62" s="27"/>
      <c r="C62" s="27"/>
      <c r="D62" s="45"/>
      <c r="E62" s="67" t="s">
        <v>109</v>
      </c>
      <c r="F62" s="38"/>
      <c r="G62" s="48"/>
      <c r="H62" s="49"/>
      <c r="I62" s="49"/>
      <c r="J62" s="49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</row>
    <row r="63" spans="1:39">
      <c r="A63" s="26"/>
      <c r="B63" s="27"/>
      <c r="C63" s="27"/>
      <c r="D63" s="45"/>
      <c r="E63" s="68" t="s">
        <v>110</v>
      </c>
      <c r="F63" s="38"/>
      <c r="G63" s="48"/>
      <c r="H63" s="49"/>
      <c r="I63" s="49"/>
      <c r="J63" s="49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</row>
    <row r="64" spans="1:39">
      <c r="A64" s="26"/>
      <c r="B64" s="27"/>
      <c r="C64" s="27"/>
      <c r="D64" s="45"/>
      <c r="E64" s="68" t="s">
        <v>148</v>
      </c>
      <c r="F64" s="38">
        <f>24.2/0.15*2</f>
        <v>322.67</v>
      </c>
      <c r="G64" s="48"/>
      <c r="H64" s="49"/>
      <c r="I64" s="49"/>
      <c r="J64" s="49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</row>
    <row r="65" spans="1:39">
      <c r="A65" s="26"/>
      <c r="B65" s="27"/>
      <c r="C65" s="27"/>
      <c r="D65" s="45"/>
      <c r="E65" s="68"/>
      <c r="F65" s="38"/>
      <c r="G65" s="48"/>
      <c r="H65" s="49"/>
      <c r="I65" s="49"/>
      <c r="J65" s="49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</row>
    <row r="66" spans="1:39">
      <c r="A66" s="31">
        <f>MAX(A$1:A65)+1</f>
        <v>11</v>
      </c>
      <c r="B66" s="27"/>
      <c r="C66" s="32" t="s">
        <v>50</v>
      </c>
      <c r="D66" s="33"/>
      <c r="E66" s="34" t="s">
        <v>51</v>
      </c>
      <c r="F66" s="35"/>
      <c r="G66" s="24" t="s">
        <v>7</v>
      </c>
      <c r="H66" s="36">
        <v>24.2</v>
      </c>
      <c r="I66" s="380"/>
      <c r="J66" s="36">
        <f t="shared" si="0"/>
        <v>0</v>
      </c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</row>
    <row r="67" spans="1:39">
      <c r="A67" s="26"/>
      <c r="B67" s="27"/>
      <c r="C67" s="54"/>
      <c r="D67" s="55" t="s">
        <v>52</v>
      </c>
      <c r="E67" s="60" t="s">
        <v>53</v>
      </c>
      <c r="F67" s="61"/>
      <c r="G67" s="58" t="s">
        <v>7</v>
      </c>
      <c r="H67" s="59">
        <v>24.2</v>
      </c>
      <c r="I67" s="59"/>
      <c r="J67" s="59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</row>
    <row r="68" spans="1:39">
      <c r="A68" s="26"/>
      <c r="B68" s="27"/>
      <c r="C68" s="27"/>
      <c r="D68" s="45"/>
      <c r="E68" s="67" t="s">
        <v>111</v>
      </c>
      <c r="F68" s="38"/>
      <c r="G68" s="48"/>
      <c r="H68" s="49"/>
      <c r="I68" s="49"/>
      <c r="J68" s="49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</row>
    <row r="69" spans="1:39">
      <c r="A69" s="26"/>
      <c r="B69" s="27"/>
      <c r="C69" s="27"/>
      <c r="D69" s="45"/>
      <c r="E69" s="68" t="s">
        <v>149</v>
      </c>
      <c r="F69" s="38">
        <f>161.333*0.15</f>
        <v>24.2</v>
      </c>
      <c r="G69" s="48"/>
      <c r="H69" s="49"/>
      <c r="I69" s="49"/>
      <c r="J69" s="49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</row>
    <row r="70" spans="1:39">
      <c r="A70" s="26"/>
      <c r="B70" s="27"/>
      <c r="C70" s="27"/>
      <c r="D70" s="45"/>
      <c r="E70" s="68"/>
      <c r="F70" s="38"/>
      <c r="G70" s="48"/>
      <c r="H70" s="49"/>
      <c r="I70" s="49"/>
      <c r="J70" s="49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</row>
    <row r="71" spans="1:39">
      <c r="A71" s="31">
        <f>MAX(A$1:A70)+1</f>
        <v>12</v>
      </c>
      <c r="B71" s="27"/>
      <c r="C71" s="32" t="s">
        <v>54</v>
      </c>
      <c r="D71" s="33"/>
      <c r="E71" s="34" t="s">
        <v>55</v>
      </c>
      <c r="F71" s="35"/>
      <c r="G71" s="24" t="s">
        <v>7</v>
      </c>
      <c r="H71" s="36">
        <v>24.2</v>
      </c>
      <c r="I71" s="380"/>
      <c r="J71" s="36">
        <f t="shared" si="0"/>
        <v>0</v>
      </c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</row>
    <row r="72" spans="1:39" ht="25.5">
      <c r="A72" s="26"/>
      <c r="B72" s="27"/>
      <c r="C72" s="27"/>
      <c r="D72" s="55" t="s">
        <v>56</v>
      </c>
      <c r="E72" s="60" t="s">
        <v>57</v>
      </c>
      <c r="F72" s="61"/>
      <c r="G72" s="58" t="s">
        <v>7</v>
      </c>
      <c r="H72" s="59">
        <v>24.2</v>
      </c>
      <c r="I72" s="59"/>
      <c r="J72" s="59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</row>
    <row r="73" spans="1:39">
      <c r="A73" s="26"/>
      <c r="B73" s="27"/>
      <c r="C73" s="27"/>
      <c r="D73" s="45"/>
      <c r="E73" s="67" t="s">
        <v>124</v>
      </c>
      <c r="F73" s="38"/>
      <c r="G73" s="48"/>
      <c r="H73" s="49"/>
      <c r="I73" s="49"/>
      <c r="J73" s="49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</row>
    <row r="74" spans="1:39">
      <c r="A74" s="26"/>
      <c r="B74" s="27"/>
      <c r="C74" s="27"/>
      <c r="D74" s="45"/>
      <c r="E74" s="68" t="s">
        <v>149</v>
      </c>
      <c r="F74" s="38">
        <f>161.333*0.15</f>
        <v>24.2</v>
      </c>
      <c r="G74" s="48"/>
      <c r="H74" s="49"/>
      <c r="I74" s="49"/>
      <c r="J74" s="49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</row>
    <row r="75" spans="1:39">
      <c r="A75" s="26"/>
      <c r="B75" s="27"/>
      <c r="C75" s="27"/>
      <c r="D75" s="45"/>
      <c r="E75" s="68"/>
      <c r="F75" s="38"/>
      <c r="G75" s="48"/>
      <c r="H75" s="49"/>
      <c r="I75" s="49"/>
      <c r="J75" s="49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</row>
    <row r="76" spans="1:39">
      <c r="A76" s="31">
        <f>MAX(A$1:A75)+1</f>
        <v>13</v>
      </c>
      <c r="B76" s="27"/>
      <c r="C76" s="32" t="s">
        <v>58</v>
      </c>
      <c r="D76" s="33"/>
      <c r="E76" s="34" t="s">
        <v>59</v>
      </c>
      <c r="F76" s="35"/>
      <c r="G76" s="24" t="s">
        <v>7</v>
      </c>
      <c r="H76" s="36">
        <v>24.2</v>
      </c>
      <c r="I76" s="380"/>
      <c r="J76" s="36">
        <f t="shared" ref="J76:J133" si="1">I76*H76</f>
        <v>0</v>
      </c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</row>
    <row r="77" spans="1:39" ht="25.5">
      <c r="A77" s="26"/>
      <c r="B77" s="27"/>
      <c r="C77" s="54"/>
      <c r="D77" s="55" t="s">
        <v>60</v>
      </c>
      <c r="E77" s="60" t="s">
        <v>61</v>
      </c>
      <c r="F77" s="61"/>
      <c r="G77" s="58" t="s">
        <v>7</v>
      </c>
      <c r="H77" s="59">
        <v>24.2</v>
      </c>
      <c r="I77" s="59"/>
      <c r="J77" s="59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</row>
    <row r="78" spans="1:39">
      <c r="A78" s="26"/>
      <c r="B78" s="27"/>
      <c r="C78" s="27"/>
      <c r="D78" s="45"/>
      <c r="E78" s="68" t="s">
        <v>131</v>
      </c>
      <c r="F78" s="38"/>
      <c r="G78" s="48"/>
      <c r="H78" s="49"/>
      <c r="I78" s="49"/>
      <c r="J78" s="49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</row>
    <row r="79" spans="1:39">
      <c r="A79" s="26"/>
      <c r="B79" s="27"/>
      <c r="C79" s="27"/>
      <c r="D79" s="45"/>
      <c r="E79" s="68" t="s">
        <v>150</v>
      </c>
      <c r="F79" s="38">
        <v>24.2</v>
      </c>
      <c r="G79" s="48"/>
      <c r="H79" s="49"/>
      <c r="I79" s="49"/>
      <c r="J79" s="49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</row>
    <row r="80" spans="1:39">
      <c r="A80" s="26"/>
      <c r="B80" s="27"/>
      <c r="C80" s="27"/>
      <c r="D80" s="45"/>
      <c r="E80" s="68"/>
      <c r="F80" s="38"/>
      <c r="G80" s="48"/>
      <c r="H80" s="49"/>
      <c r="I80" s="49"/>
      <c r="J80" s="49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</row>
    <row r="81" spans="1:39">
      <c r="A81" s="69"/>
      <c r="B81" s="70"/>
      <c r="C81" s="71"/>
      <c r="D81" s="72"/>
      <c r="E81" s="37"/>
      <c r="F81" s="38"/>
      <c r="G81" s="45"/>
      <c r="H81" s="46"/>
      <c r="I81" s="46"/>
      <c r="J81" s="46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</row>
    <row r="82" spans="1:39">
      <c r="A82" s="73"/>
      <c r="B82" s="121" t="s">
        <v>82</v>
      </c>
      <c r="C82" s="75"/>
      <c r="D82" s="33"/>
      <c r="E82" s="34" t="s">
        <v>83</v>
      </c>
      <c r="F82" s="29"/>
      <c r="G82" s="24"/>
      <c r="H82" s="76"/>
      <c r="I82" s="76"/>
      <c r="J82" s="76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</row>
    <row r="83" spans="1:39">
      <c r="A83" s="73"/>
      <c r="B83" s="74"/>
      <c r="C83" s="75"/>
      <c r="D83" s="33"/>
      <c r="E83" s="34"/>
      <c r="F83" s="29"/>
      <c r="G83" s="24"/>
      <c r="H83" s="76"/>
      <c r="I83" s="76"/>
      <c r="J83" s="76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</row>
    <row r="84" spans="1:39">
      <c r="A84" s="31">
        <f>MAX(A$1:A83)+1</f>
        <v>14</v>
      </c>
      <c r="B84" s="78"/>
      <c r="C84" s="32" t="s">
        <v>74</v>
      </c>
      <c r="D84" s="54"/>
      <c r="E84" s="34" t="s">
        <v>75</v>
      </c>
      <c r="F84" s="35"/>
      <c r="G84" s="24" t="s">
        <v>7</v>
      </c>
      <c r="H84" s="30">
        <v>266.8</v>
      </c>
      <c r="I84" s="379"/>
      <c r="J84" s="30">
        <f t="shared" si="1"/>
        <v>0</v>
      </c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</row>
    <row r="85" spans="1:39" ht="25.5">
      <c r="A85" s="26"/>
      <c r="B85" s="78"/>
      <c r="C85" s="54"/>
      <c r="D85" s="54" t="s">
        <v>76</v>
      </c>
      <c r="E85" s="60" t="s">
        <v>77</v>
      </c>
      <c r="F85" s="61"/>
      <c r="G85" s="58" t="s">
        <v>7</v>
      </c>
      <c r="H85" s="79">
        <v>266.8</v>
      </c>
      <c r="I85" s="79"/>
      <c r="J85" s="79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</row>
    <row r="86" spans="1:39">
      <c r="A86" s="31"/>
      <c r="B86" s="27"/>
      <c r="C86" s="54"/>
      <c r="D86" s="55"/>
      <c r="E86" s="37" t="s">
        <v>112</v>
      </c>
      <c r="F86" s="80"/>
      <c r="G86" s="58"/>
      <c r="H86" s="49"/>
      <c r="I86" s="49"/>
      <c r="J86" s="49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</row>
    <row r="87" spans="1:39">
      <c r="A87" s="73"/>
      <c r="B87" s="74"/>
      <c r="C87" s="75"/>
      <c r="D87" s="33"/>
      <c r="E87" s="41" t="s">
        <v>179</v>
      </c>
      <c r="F87" s="47">
        <v>266.8</v>
      </c>
      <c r="G87" s="24"/>
      <c r="H87" s="76"/>
      <c r="I87" s="76"/>
      <c r="J87" s="76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</row>
    <row r="88" spans="1:39">
      <c r="A88" s="73"/>
      <c r="B88" s="74"/>
      <c r="C88" s="75"/>
      <c r="D88" s="33"/>
      <c r="E88" s="41"/>
      <c r="F88" s="38"/>
      <c r="G88" s="24"/>
      <c r="H88" s="76"/>
      <c r="I88" s="76"/>
      <c r="J88" s="76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</row>
    <row r="89" spans="1:39">
      <c r="A89" s="31">
        <f>MAX(A$1:A88)+1</f>
        <v>15</v>
      </c>
      <c r="B89" s="27"/>
      <c r="C89" s="32" t="s">
        <v>6</v>
      </c>
      <c r="D89" s="33"/>
      <c r="E89" s="34" t="s">
        <v>4</v>
      </c>
      <c r="F89" s="35"/>
      <c r="G89" s="24" t="s">
        <v>7</v>
      </c>
      <c r="H89" s="30">
        <v>304.5</v>
      </c>
      <c r="I89" s="379"/>
      <c r="J89" s="30">
        <f t="shared" si="1"/>
        <v>0</v>
      </c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</row>
    <row r="90" spans="1:39" ht="25.5">
      <c r="A90" s="31"/>
      <c r="B90" s="78"/>
      <c r="C90" s="27"/>
      <c r="D90" s="55" t="s">
        <v>3</v>
      </c>
      <c r="E90" s="60" t="s">
        <v>2</v>
      </c>
      <c r="F90" s="61"/>
      <c r="G90" s="58" t="s">
        <v>7</v>
      </c>
      <c r="H90" s="79">
        <v>304.5</v>
      </c>
      <c r="I90" s="79"/>
      <c r="J90" s="79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</row>
    <row r="91" spans="1:39">
      <c r="A91" s="31"/>
      <c r="B91" s="78"/>
      <c r="C91" s="27"/>
      <c r="D91" s="55"/>
      <c r="E91" s="81" t="s">
        <v>228</v>
      </c>
      <c r="F91" s="61"/>
      <c r="G91" s="58"/>
      <c r="H91" s="79"/>
      <c r="I91" s="79"/>
      <c r="J91" s="79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</row>
    <row r="92" spans="1:39">
      <c r="A92" s="31"/>
      <c r="B92" s="78"/>
      <c r="C92" s="27"/>
      <c r="D92" s="55"/>
      <c r="E92" s="37" t="s">
        <v>226</v>
      </c>
      <c r="F92" s="61">
        <v>6.8</v>
      </c>
      <c r="G92" s="58"/>
      <c r="H92" s="79"/>
      <c r="I92" s="79"/>
      <c r="J92" s="79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</row>
    <row r="93" spans="1:39">
      <c r="A93" s="31"/>
      <c r="B93" s="78"/>
      <c r="C93" s="27"/>
      <c r="D93" s="55"/>
      <c r="E93" s="37" t="s">
        <v>227</v>
      </c>
      <c r="F93" s="82">
        <v>79.7</v>
      </c>
      <c r="G93" s="58"/>
      <c r="H93" s="79"/>
      <c r="I93" s="79"/>
      <c r="J93" s="79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</row>
    <row r="94" spans="1:39">
      <c r="A94" s="31"/>
      <c r="B94" s="78"/>
      <c r="C94" s="27"/>
      <c r="D94" s="55"/>
      <c r="E94" s="60"/>
      <c r="F94" s="61">
        <f>SUM(F92:F93)</f>
        <v>86.5</v>
      </c>
      <c r="G94" s="58"/>
      <c r="H94" s="79"/>
      <c r="I94" s="79"/>
      <c r="J94" s="79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</row>
    <row r="95" spans="1:39">
      <c r="A95" s="31"/>
      <c r="B95" s="78"/>
      <c r="C95" s="27"/>
      <c r="D95" s="45"/>
      <c r="E95" s="83" t="s">
        <v>178</v>
      </c>
      <c r="F95" s="84">
        <f>436*0.5</f>
        <v>218</v>
      </c>
      <c r="G95" s="48"/>
      <c r="H95" s="49"/>
      <c r="I95" s="49"/>
      <c r="J95" s="49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</row>
    <row r="96" spans="1:39">
      <c r="A96" s="31"/>
      <c r="B96" s="78"/>
      <c r="C96" s="27"/>
      <c r="D96" s="45"/>
      <c r="E96" s="85" t="s">
        <v>229</v>
      </c>
      <c r="F96" s="86">
        <f>F94+F95</f>
        <v>304.5</v>
      </c>
      <c r="G96" s="48"/>
      <c r="H96" s="49"/>
      <c r="I96" s="49"/>
      <c r="J96" s="49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</row>
    <row r="97" spans="1:39">
      <c r="A97" s="26"/>
      <c r="B97" s="78"/>
      <c r="C97" s="95"/>
      <c r="D97" s="95"/>
      <c r="E97" s="41"/>
      <c r="F97" s="80"/>
      <c r="G97" s="96"/>
      <c r="H97" s="79"/>
      <c r="I97" s="79"/>
      <c r="J97" s="79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</row>
    <row r="98" spans="1:39" ht="25.5">
      <c r="A98" s="31">
        <f>MAX(A$1:A97)+1</f>
        <v>16</v>
      </c>
      <c r="B98" s="87"/>
      <c r="C98" s="32" t="s">
        <v>66</v>
      </c>
      <c r="D98" s="33"/>
      <c r="E98" s="34" t="s">
        <v>67</v>
      </c>
      <c r="F98" s="35"/>
      <c r="G98" s="24" t="s">
        <v>1</v>
      </c>
      <c r="H98" s="51">
        <v>761.1</v>
      </c>
      <c r="I98" s="381"/>
      <c r="J98" s="51">
        <f t="shared" si="1"/>
        <v>0</v>
      </c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</row>
    <row r="99" spans="1:39" ht="25.5">
      <c r="A99" s="88"/>
      <c r="B99" s="89"/>
      <c r="C99" s="54"/>
      <c r="D99" s="55" t="s">
        <v>68</v>
      </c>
      <c r="E99" s="60" t="s">
        <v>69</v>
      </c>
      <c r="F99" s="61"/>
      <c r="G99" s="58" t="s">
        <v>1</v>
      </c>
      <c r="H99" s="46">
        <v>761.1</v>
      </c>
      <c r="I99" s="46"/>
      <c r="J99" s="46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</row>
    <row r="100" spans="1:39">
      <c r="A100" s="88"/>
      <c r="B100" s="89"/>
      <c r="C100" s="54"/>
      <c r="D100" s="55"/>
      <c r="E100" s="37" t="s">
        <v>112</v>
      </c>
      <c r="F100" s="80"/>
      <c r="G100" s="58"/>
      <c r="H100" s="46"/>
      <c r="I100" s="46"/>
      <c r="J100" s="46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</row>
    <row r="101" spans="1:39">
      <c r="A101" s="88"/>
      <c r="B101" s="89"/>
      <c r="C101" s="54"/>
      <c r="D101" s="55"/>
      <c r="E101" s="65" t="s">
        <v>132</v>
      </c>
      <c r="F101" s="80"/>
      <c r="G101" s="58"/>
      <c r="H101" s="46"/>
      <c r="I101" s="46"/>
      <c r="J101" s="46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</row>
    <row r="102" spans="1:39">
      <c r="A102" s="88"/>
      <c r="B102" s="89"/>
      <c r="C102" s="54"/>
      <c r="D102" s="55"/>
      <c r="E102" s="41" t="s">
        <v>175</v>
      </c>
      <c r="F102" s="80">
        <v>355.5</v>
      </c>
      <c r="G102" s="58"/>
      <c r="H102" s="46"/>
      <c r="I102" s="46"/>
      <c r="J102" s="46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</row>
    <row r="103" spans="1:39">
      <c r="A103" s="88"/>
      <c r="B103" s="89"/>
      <c r="C103" s="54"/>
      <c r="D103" s="55"/>
      <c r="E103" s="65" t="s">
        <v>113</v>
      </c>
      <c r="F103" s="80"/>
      <c r="G103" s="58"/>
      <c r="H103" s="46"/>
      <c r="I103" s="46"/>
      <c r="J103" s="46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</row>
    <row r="104" spans="1:39">
      <c r="A104" s="26"/>
      <c r="B104" s="27"/>
      <c r="C104" s="95"/>
      <c r="D104" s="95"/>
      <c r="E104" s="41" t="s">
        <v>176</v>
      </c>
      <c r="F104" s="90">
        <v>405.6</v>
      </c>
      <c r="G104" s="96"/>
      <c r="H104" s="79"/>
      <c r="I104" s="79"/>
      <c r="J104" s="79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</row>
    <row r="105" spans="1:39">
      <c r="A105" s="26"/>
      <c r="B105" s="27"/>
      <c r="C105" s="95"/>
      <c r="D105" s="95"/>
      <c r="E105" s="41"/>
      <c r="F105" s="80">
        <f>SUM(F102:F104)</f>
        <v>761.1</v>
      </c>
      <c r="G105" s="96"/>
      <c r="H105" s="79"/>
      <c r="I105" s="79"/>
      <c r="J105" s="79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</row>
    <row r="106" spans="1:39">
      <c r="A106" s="26"/>
      <c r="B106" s="27"/>
      <c r="C106" s="95"/>
      <c r="D106" s="95"/>
      <c r="E106" s="123"/>
      <c r="F106" s="38"/>
      <c r="G106" s="96"/>
      <c r="H106" s="79"/>
      <c r="I106" s="79"/>
      <c r="J106" s="79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</row>
    <row r="107" spans="1:39">
      <c r="A107" s="31">
        <f>MAX(A$1:A106)+1</f>
        <v>17</v>
      </c>
      <c r="B107" s="87"/>
      <c r="C107" s="32" t="s">
        <v>70</v>
      </c>
      <c r="D107" s="33"/>
      <c r="E107" s="34" t="s">
        <v>71</v>
      </c>
      <c r="F107" s="35"/>
      <c r="G107" s="24" t="s">
        <v>1</v>
      </c>
      <c r="H107" s="51">
        <v>478.4</v>
      </c>
      <c r="I107" s="381"/>
      <c r="J107" s="51">
        <f t="shared" si="1"/>
        <v>0</v>
      </c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</row>
    <row r="108" spans="1:39">
      <c r="A108" s="88"/>
      <c r="B108" s="89"/>
      <c r="C108" s="54"/>
      <c r="D108" s="55" t="s">
        <v>72</v>
      </c>
      <c r="E108" s="60" t="s">
        <v>73</v>
      </c>
      <c r="F108" s="61"/>
      <c r="G108" s="58" t="s">
        <v>1</v>
      </c>
      <c r="H108" s="46">
        <v>478.4</v>
      </c>
      <c r="I108" s="46"/>
      <c r="J108" s="46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</row>
    <row r="109" spans="1:39">
      <c r="A109" s="88"/>
      <c r="B109" s="89"/>
      <c r="C109" s="54"/>
      <c r="D109" s="55"/>
      <c r="E109" s="41" t="s">
        <v>114</v>
      </c>
      <c r="F109" s="61">
        <v>478.4</v>
      </c>
      <c r="G109" s="58"/>
      <c r="H109" s="46"/>
      <c r="I109" s="46"/>
      <c r="J109" s="46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</row>
    <row r="110" spans="1:39">
      <c r="A110" s="31"/>
      <c r="B110" s="78"/>
      <c r="C110" s="54"/>
      <c r="D110" s="55"/>
      <c r="E110" s="37"/>
      <c r="F110" s="38"/>
      <c r="G110" s="58"/>
      <c r="H110" s="49"/>
      <c r="I110" s="49"/>
      <c r="J110" s="49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</row>
    <row r="111" spans="1:39">
      <c r="A111" s="31">
        <f>MAX(A$1:A110)+1</f>
        <v>18</v>
      </c>
      <c r="B111" s="78"/>
      <c r="C111" s="32" t="s">
        <v>78</v>
      </c>
      <c r="D111" s="33"/>
      <c r="E111" s="34" t="s">
        <v>79</v>
      </c>
      <c r="F111" s="35"/>
      <c r="G111" s="24" t="s">
        <v>1</v>
      </c>
      <c r="H111" s="51">
        <v>270.39999999999998</v>
      </c>
      <c r="I111" s="381"/>
      <c r="J111" s="51">
        <f t="shared" si="1"/>
        <v>0</v>
      </c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</row>
    <row r="112" spans="1:39" ht="25.5">
      <c r="A112" s="26"/>
      <c r="B112" s="78"/>
      <c r="C112" s="54"/>
      <c r="D112" s="55" t="s">
        <v>80</v>
      </c>
      <c r="E112" s="60" t="s">
        <v>81</v>
      </c>
      <c r="F112" s="61"/>
      <c r="G112" s="58" t="s">
        <v>1</v>
      </c>
      <c r="H112" s="46">
        <v>270.39999999999998</v>
      </c>
      <c r="I112" s="46"/>
      <c r="J112" s="46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</row>
    <row r="113" spans="1:39">
      <c r="A113" s="26"/>
      <c r="B113" s="78"/>
      <c r="C113" s="54"/>
      <c r="D113" s="55"/>
      <c r="E113" s="37" t="s">
        <v>112</v>
      </c>
      <c r="F113" s="80"/>
      <c r="G113" s="58"/>
      <c r="H113" s="46"/>
      <c r="I113" s="46"/>
      <c r="J113" s="46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</row>
    <row r="114" spans="1:39">
      <c r="A114" s="26"/>
      <c r="B114" s="78"/>
      <c r="C114" s="54"/>
      <c r="D114" s="55"/>
      <c r="E114" s="41" t="s">
        <v>115</v>
      </c>
      <c r="F114" s="80"/>
      <c r="G114" s="58"/>
      <c r="H114" s="46"/>
      <c r="I114" s="46"/>
      <c r="J114" s="46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</row>
    <row r="115" spans="1:39">
      <c r="A115" s="26"/>
      <c r="B115" s="78"/>
      <c r="C115" s="54"/>
      <c r="D115" s="55"/>
      <c r="E115" s="41" t="s">
        <v>174</v>
      </c>
      <c r="F115" s="80"/>
      <c r="G115" s="58"/>
      <c r="H115" s="46"/>
      <c r="I115" s="46"/>
      <c r="J115" s="46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</row>
    <row r="116" spans="1:39">
      <c r="A116" s="26"/>
      <c r="B116" s="78"/>
      <c r="C116" s="54"/>
      <c r="D116" s="55"/>
      <c r="E116" s="41" t="s">
        <v>168</v>
      </c>
      <c r="F116" s="80">
        <v>270.39999999999998</v>
      </c>
      <c r="G116" s="58"/>
      <c r="H116" s="46"/>
      <c r="I116" s="46"/>
      <c r="J116" s="46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</row>
    <row r="117" spans="1:39">
      <c r="A117" s="26"/>
      <c r="B117" s="78"/>
      <c r="C117" s="54"/>
      <c r="D117" s="55"/>
      <c r="E117" s="41"/>
      <c r="F117" s="80"/>
      <c r="G117" s="58"/>
      <c r="H117" s="46"/>
      <c r="I117" s="46"/>
      <c r="J117" s="46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</row>
    <row r="118" spans="1:39">
      <c r="A118" s="26"/>
      <c r="B118" s="78"/>
      <c r="C118" s="54"/>
      <c r="D118" s="55"/>
      <c r="E118" s="41"/>
      <c r="F118" s="80"/>
      <c r="G118" s="58"/>
      <c r="H118" s="46"/>
      <c r="I118" s="46"/>
      <c r="J118" s="46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</row>
    <row r="119" spans="1:39">
      <c r="A119" s="26"/>
      <c r="B119" s="121" t="s">
        <v>84</v>
      </c>
      <c r="C119" s="75"/>
      <c r="D119" s="33"/>
      <c r="E119" s="122" t="s">
        <v>85</v>
      </c>
      <c r="F119" s="80"/>
      <c r="G119" s="58"/>
      <c r="H119" s="59"/>
      <c r="I119" s="59"/>
      <c r="J119" s="59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</row>
    <row r="120" spans="1:39">
      <c r="A120" s="26"/>
      <c r="B120" s="27"/>
      <c r="C120" s="54"/>
      <c r="D120" s="55"/>
      <c r="E120" s="124"/>
      <c r="F120" s="80"/>
      <c r="G120" s="58"/>
      <c r="H120" s="59"/>
      <c r="I120" s="59"/>
      <c r="J120" s="59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</row>
    <row r="121" spans="1:39">
      <c r="A121" s="31">
        <f>MAX(A$1:A120)+1</f>
        <v>19</v>
      </c>
      <c r="B121" s="125"/>
      <c r="C121" s="32" t="s">
        <v>144</v>
      </c>
      <c r="D121" s="33"/>
      <c r="E121" s="52" t="s">
        <v>145</v>
      </c>
      <c r="F121" s="53"/>
      <c r="G121" s="24" t="s">
        <v>7</v>
      </c>
      <c r="H121" s="51">
        <v>160.72999999999999</v>
      </c>
      <c r="I121" s="381"/>
      <c r="J121" s="51">
        <f t="shared" si="1"/>
        <v>0</v>
      </c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</row>
    <row r="122" spans="1:39" ht="25.5">
      <c r="A122" s="88"/>
      <c r="B122" s="126"/>
      <c r="C122" s="54"/>
      <c r="D122" s="55" t="s">
        <v>146</v>
      </c>
      <c r="E122" s="56" t="s">
        <v>147</v>
      </c>
      <c r="F122" s="57"/>
      <c r="G122" s="58" t="s">
        <v>7</v>
      </c>
      <c r="H122" s="46">
        <v>160.72999999999999</v>
      </c>
      <c r="I122" s="46"/>
      <c r="J122" s="46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</row>
    <row r="123" spans="1:39">
      <c r="A123" s="88"/>
      <c r="B123" s="126"/>
      <c r="C123" s="54"/>
      <c r="D123" s="55"/>
      <c r="E123" s="41" t="s">
        <v>172</v>
      </c>
      <c r="F123" s="38">
        <v>160.72999999999999</v>
      </c>
      <c r="G123" s="58"/>
      <c r="H123" s="46"/>
      <c r="I123" s="46"/>
      <c r="J123" s="46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</row>
    <row r="124" spans="1:39" ht="25.5">
      <c r="A124" s="88"/>
      <c r="B124" s="126"/>
      <c r="C124" s="54"/>
      <c r="D124" s="55"/>
      <c r="E124" s="41" t="s">
        <v>173</v>
      </c>
      <c r="F124" s="57"/>
      <c r="G124" s="58"/>
      <c r="H124" s="46"/>
      <c r="I124" s="46"/>
      <c r="J124" s="46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</row>
    <row r="125" spans="1:39">
      <c r="A125" s="26"/>
      <c r="B125" s="27"/>
      <c r="C125" s="95"/>
      <c r="D125" s="95"/>
      <c r="E125" s="124"/>
      <c r="F125" s="47"/>
      <c r="G125" s="96"/>
      <c r="H125" s="79"/>
      <c r="I125" s="79"/>
      <c r="J125" s="79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</row>
    <row r="126" spans="1:39">
      <c r="A126" s="31">
        <f>MAX(A$1:A125)+1</f>
        <v>20</v>
      </c>
      <c r="B126" s="27"/>
      <c r="C126" s="32" t="s">
        <v>54</v>
      </c>
      <c r="D126" s="33"/>
      <c r="E126" s="34" t="s">
        <v>55</v>
      </c>
      <c r="F126" s="35"/>
      <c r="G126" s="24" t="s">
        <v>7</v>
      </c>
      <c r="H126" s="51">
        <v>379.4</v>
      </c>
      <c r="I126" s="381"/>
      <c r="J126" s="51">
        <f t="shared" si="1"/>
        <v>0</v>
      </c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</row>
    <row r="127" spans="1:39" ht="25.5">
      <c r="A127" s="26"/>
      <c r="B127" s="27"/>
      <c r="C127" s="54"/>
      <c r="D127" s="55" t="s">
        <v>56</v>
      </c>
      <c r="E127" s="60" t="s">
        <v>57</v>
      </c>
      <c r="F127" s="61"/>
      <c r="G127" s="58" t="s">
        <v>7</v>
      </c>
      <c r="H127" s="46">
        <v>379.4</v>
      </c>
      <c r="I127" s="46"/>
      <c r="J127" s="46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</row>
    <row r="128" spans="1:39">
      <c r="A128" s="26"/>
      <c r="B128" s="27"/>
      <c r="C128" s="54"/>
      <c r="D128" s="55"/>
      <c r="E128" s="41" t="s">
        <v>241</v>
      </c>
      <c r="F128" s="38">
        <v>266.8</v>
      </c>
      <c r="G128" s="58"/>
      <c r="H128" s="46"/>
      <c r="I128" s="46"/>
      <c r="J128" s="46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</row>
    <row r="129" spans="1:39">
      <c r="A129" s="26"/>
      <c r="B129" s="27"/>
      <c r="C129" s="54"/>
      <c r="D129" s="55"/>
      <c r="E129" s="41" t="s">
        <v>242</v>
      </c>
      <c r="F129" s="91">
        <v>86.5</v>
      </c>
      <c r="G129" s="58"/>
      <c r="H129" s="46"/>
      <c r="I129" s="46"/>
      <c r="J129" s="46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</row>
    <row r="130" spans="1:39" ht="13.5" customHeight="1">
      <c r="A130" s="26"/>
      <c r="B130" s="27"/>
      <c r="C130" s="54"/>
      <c r="D130" s="55"/>
      <c r="E130" s="41" t="s">
        <v>243</v>
      </c>
      <c r="F130" s="82">
        <v>26.1</v>
      </c>
      <c r="G130" s="58"/>
      <c r="H130" s="46"/>
      <c r="I130" s="46"/>
      <c r="J130" s="46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</row>
    <row r="131" spans="1:39">
      <c r="A131" s="26"/>
      <c r="B131" s="27"/>
      <c r="C131" s="95"/>
      <c r="D131" s="95"/>
      <c r="E131" s="41"/>
      <c r="F131" s="38">
        <f>SUM(F128:F130)</f>
        <v>379.4</v>
      </c>
      <c r="G131" s="96"/>
      <c r="H131" s="79"/>
      <c r="I131" s="79"/>
      <c r="J131" s="79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</row>
    <row r="132" spans="1:39" ht="15.95" customHeight="1">
      <c r="A132" s="26"/>
      <c r="B132" s="27"/>
      <c r="C132" s="95"/>
      <c r="D132" s="95"/>
      <c r="E132" s="41"/>
      <c r="F132" s="38"/>
      <c r="G132" s="96"/>
      <c r="H132" s="79"/>
      <c r="I132" s="79"/>
      <c r="J132" s="79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</row>
    <row r="133" spans="1:39">
      <c r="A133" s="31">
        <f>MAX(A$1:A132)+1</f>
        <v>21</v>
      </c>
      <c r="B133" s="78"/>
      <c r="C133" s="32" t="s">
        <v>62</v>
      </c>
      <c r="D133" s="33"/>
      <c r="E133" s="34" t="s">
        <v>63</v>
      </c>
      <c r="F133" s="35"/>
      <c r="G133" s="24" t="s">
        <v>7</v>
      </c>
      <c r="H133" s="51">
        <v>160.72999999999999</v>
      </c>
      <c r="I133" s="381"/>
      <c r="J133" s="51">
        <f t="shared" si="1"/>
        <v>0</v>
      </c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</row>
    <row r="134" spans="1:39" ht="25.5">
      <c r="A134" s="26"/>
      <c r="B134" s="78"/>
      <c r="C134" s="54"/>
      <c r="D134" s="55" t="s">
        <v>64</v>
      </c>
      <c r="E134" s="60" t="s">
        <v>65</v>
      </c>
      <c r="F134" s="61"/>
      <c r="G134" s="58" t="s">
        <v>7</v>
      </c>
      <c r="H134" s="46">
        <v>160.72999999999999</v>
      </c>
      <c r="I134" s="46"/>
      <c r="J134" s="46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</row>
    <row r="135" spans="1:39" ht="25.5">
      <c r="A135" s="26"/>
      <c r="B135" s="27"/>
      <c r="C135" s="95"/>
      <c r="D135" s="95"/>
      <c r="E135" s="41" t="s">
        <v>170</v>
      </c>
      <c r="F135" s="80"/>
      <c r="G135" s="96"/>
      <c r="H135" s="79"/>
      <c r="I135" s="79"/>
      <c r="J135" s="79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</row>
    <row r="136" spans="1:39">
      <c r="A136" s="26"/>
      <c r="B136" s="27"/>
      <c r="C136" s="95"/>
      <c r="D136" s="95"/>
      <c r="E136" s="41" t="s">
        <v>171</v>
      </c>
      <c r="F136" s="80">
        <f>270.4*0.2+355.5*0.3</f>
        <v>160.72999999999999</v>
      </c>
      <c r="G136" s="96"/>
      <c r="H136" s="79"/>
      <c r="I136" s="79"/>
      <c r="J136" s="79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</row>
    <row r="137" spans="1:39" ht="25.5">
      <c r="A137" s="26"/>
      <c r="B137" s="27"/>
      <c r="C137" s="95"/>
      <c r="D137" s="95"/>
      <c r="E137" s="41" t="s">
        <v>173</v>
      </c>
      <c r="F137" s="80"/>
      <c r="G137" s="96"/>
      <c r="H137" s="79"/>
      <c r="I137" s="79"/>
      <c r="J137" s="79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</row>
    <row r="138" spans="1:39">
      <c r="A138" s="26"/>
      <c r="B138" s="27"/>
      <c r="C138" s="95"/>
      <c r="D138" s="95"/>
      <c r="E138" s="127"/>
      <c r="F138" s="86"/>
      <c r="G138" s="96"/>
      <c r="H138" s="79"/>
      <c r="I138" s="79"/>
      <c r="J138" s="79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</row>
    <row r="139" spans="1:39">
      <c r="A139" s="26"/>
      <c r="B139" s="27"/>
      <c r="C139" s="95"/>
      <c r="D139" s="95"/>
      <c r="E139" s="127"/>
      <c r="F139" s="86"/>
      <c r="G139" s="96"/>
      <c r="H139" s="79"/>
      <c r="I139" s="79"/>
      <c r="J139" s="79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</row>
    <row r="140" spans="1:39">
      <c r="A140" s="26"/>
      <c r="B140" s="121" t="s">
        <v>161</v>
      </c>
      <c r="C140" s="75"/>
      <c r="D140" s="33"/>
      <c r="E140" s="128" t="s">
        <v>162</v>
      </c>
      <c r="F140" s="86"/>
      <c r="G140" s="96"/>
      <c r="H140" s="79"/>
      <c r="I140" s="79"/>
      <c r="J140" s="79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</row>
    <row r="141" spans="1:39">
      <c r="A141" s="26"/>
      <c r="B141" s="27"/>
      <c r="C141" s="95"/>
      <c r="D141" s="95"/>
      <c r="E141" s="127"/>
      <c r="F141" s="86"/>
      <c r="G141" s="96"/>
      <c r="H141" s="79"/>
      <c r="I141" s="79"/>
      <c r="J141" s="79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</row>
    <row r="142" spans="1:39" ht="25.5">
      <c r="A142" s="31">
        <f>MAX(A$1:A141)+1</f>
        <v>22</v>
      </c>
      <c r="B142" s="27"/>
      <c r="C142" s="32" t="s">
        <v>151</v>
      </c>
      <c r="D142" s="33"/>
      <c r="E142" s="52" t="s">
        <v>152</v>
      </c>
      <c r="F142" s="53"/>
      <c r="G142" s="24" t="s">
        <v>1</v>
      </c>
      <c r="H142" s="51">
        <v>625.9</v>
      </c>
      <c r="I142" s="381"/>
      <c r="J142" s="51">
        <f t="shared" ref="J142:J200" si="2">I142*H142</f>
        <v>0</v>
      </c>
    </row>
    <row r="143" spans="1:39" ht="25.5">
      <c r="A143" s="26"/>
      <c r="B143" s="27"/>
      <c r="C143" s="54"/>
      <c r="D143" s="55" t="s">
        <v>153</v>
      </c>
      <c r="E143" s="56" t="s">
        <v>154</v>
      </c>
      <c r="F143" s="57"/>
      <c r="G143" s="58" t="s">
        <v>1</v>
      </c>
      <c r="H143" s="46">
        <v>355.5</v>
      </c>
      <c r="I143" s="46"/>
      <c r="J143" s="46"/>
    </row>
    <row r="144" spans="1:39">
      <c r="A144" s="26"/>
      <c r="B144" s="27"/>
      <c r="C144" s="54"/>
      <c r="D144" s="55"/>
      <c r="E144" s="92" t="s">
        <v>167</v>
      </c>
      <c r="F144" s="84">
        <v>355.5</v>
      </c>
      <c r="G144" s="58"/>
      <c r="H144" s="79"/>
      <c r="I144" s="79"/>
      <c r="J144" s="79"/>
    </row>
    <row r="145" spans="1:39" ht="25.5">
      <c r="A145" s="26"/>
      <c r="B145" s="27"/>
      <c r="C145" s="54"/>
      <c r="D145" s="55" t="s">
        <v>155</v>
      </c>
      <c r="E145" s="56" t="s">
        <v>156</v>
      </c>
      <c r="F145" s="57"/>
      <c r="G145" s="58" t="s">
        <v>1</v>
      </c>
      <c r="H145" s="46">
        <v>270.39999999999998</v>
      </c>
      <c r="I145" s="46"/>
      <c r="J145" s="46"/>
    </row>
    <row r="146" spans="1:39">
      <c r="A146" s="26"/>
      <c r="B146" s="27"/>
      <c r="C146" s="54"/>
      <c r="D146" s="55"/>
      <c r="E146" s="92" t="s">
        <v>169</v>
      </c>
      <c r="F146" s="84">
        <v>270.39999999999998</v>
      </c>
      <c r="G146" s="58"/>
      <c r="H146" s="79"/>
      <c r="I146" s="79"/>
      <c r="J146" s="79"/>
    </row>
    <row r="147" spans="1:39">
      <c r="A147" s="26"/>
      <c r="B147" s="27"/>
      <c r="C147" s="126"/>
      <c r="D147" s="126"/>
      <c r="E147" s="129"/>
      <c r="F147" s="84"/>
      <c r="G147" s="45"/>
      <c r="H147" s="79"/>
      <c r="I147" s="79"/>
      <c r="J147" s="79"/>
    </row>
    <row r="148" spans="1:39" ht="25.5">
      <c r="A148" s="31">
        <f>MAX(A$1:A147)+1</f>
        <v>23</v>
      </c>
      <c r="B148" s="27"/>
      <c r="C148" s="32" t="s">
        <v>157</v>
      </c>
      <c r="D148" s="33"/>
      <c r="E148" s="52" t="s">
        <v>158</v>
      </c>
      <c r="F148" s="53"/>
      <c r="G148" s="24" t="s">
        <v>1</v>
      </c>
      <c r="H148" s="51">
        <v>270.39999999999998</v>
      </c>
      <c r="I148" s="381"/>
      <c r="J148" s="51">
        <f t="shared" si="2"/>
        <v>0</v>
      </c>
    </row>
    <row r="149" spans="1:39" ht="25.5">
      <c r="A149" s="26"/>
      <c r="B149" s="27"/>
      <c r="C149" s="54"/>
      <c r="D149" s="55" t="s">
        <v>159</v>
      </c>
      <c r="E149" s="56" t="s">
        <v>160</v>
      </c>
      <c r="F149" s="57"/>
      <c r="G149" s="58" t="s">
        <v>1</v>
      </c>
      <c r="H149" s="46">
        <v>270.39999999999998</v>
      </c>
      <c r="I149" s="46"/>
      <c r="J149" s="46"/>
    </row>
    <row r="150" spans="1:39">
      <c r="A150" s="26"/>
      <c r="B150" s="27"/>
      <c r="C150" s="54"/>
      <c r="D150" s="55"/>
      <c r="E150" s="92" t="s">
        <v>168</v>
      </c>
      <c r="F150" s="84">
        <v>270.39999999999998</v>
      </c>
      <c r="G150" s="58"/>
      <c r="H150" s="79"/>
      <c r="I150" s="79"/>
      <c r="J150" s="79"/>
    </row>
    <row r="151" spans="1:39">
      <c r="A151" s="26"/>
      <c r="B151" s="27"/>
      <c r="C151" s="54"/>
      <c r="D151" s="55"/>
      <c r="E151" s="56"/>
      <c r="F151" s="57"/>
      <c r="G151" s="58"/>
      <c r="H151" s="79"/>
      <c r="I151" s="79"/>
      <c r="J151" s="79"/>
    </row>
    <row r="152" spans="1:39" ht="25.5">
      <c r="A152" s="31">
        <f>MAX(A$1:A151)+1</f>
        <v>24</v>
      </c>
      <c r="B152" s="27"/>
      <c r="C152" s="32" t="s">
        <v>163</v>
      </c>
      <c r="D152" s="33"/>
      <c r="E152" s="52" t="s">
        <v>164</v>
      </c>
      <c r="F152" s="53"/>
      <c r="G152" s="24" t="s">
        <v>1</v>
      </c>
      <c r="H152" s="51">
        <v>270.39999999999998</v>
      </c>
      <c r="I152" s="381"/>
      <c r="J152" s="51">
        <f t="shared" si="2"/>
        <v>0</v>
      </c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  <c r="AM152" s="77"/>
    </row>
    <row r="153" spans="1:39" ht="25.5">
      <c r="A153" s="26"/>
      <c r="B153" s="27"/>
      <c r="C153" s="54"/>
      <c r="D153" s="55" t="s">
        <v>165</v>
      </c>
      <c r="E153" s="56" t="s">
        <v>166</v>
      </c>
      <c r="F153" s="57"/>
      <c r="G153" s="58" t="s">
        <v>1</v>
      </c>
      <c r="H153" s="46">
        <v>270.39999999999998</v>
      </c>
      <c r="I153" s="46"/>
      <c r="J153" s="46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</row>
    <row r="154" spans="1:39">
      <c r="A154" s="26"/>
      <c r="B154" s="27"/>
      <c r="C154" s="126"/>
      <c r="D154" s="126"/>
      <c r="E154" s="92" t="s">
        <v>168</v>
      </c>
      <c r="F154" s="84">
        <v>270.39999999999998</v>
      </c>
      <c r="G154" s="45"/>
      <c r="H154" s="79"/>
      <c r="I154" s="79"/>
      <c r="J154" s="79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</row>
    <row r="155" spans="1:39">
      <c r="A155" s="26"/>
      <c r="B155" s="27"/>
      <c r="C155" s="95"/>
      <c r="D155" s="95"/>
      <c r="E155" s="127"/>
      <c r="F155" s="86"/>
      <c r="G155" s="96"/>
      <c r="H155" s="79"/>
      <c r="I155" s="79"/>
      <c r="J155" s="79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</row>
    <row r="156" spans="1:39">
      <c r="A156" s="26"/>
      <c r="B156" s="78"/>
      <c r="C156" s="54"/>
      <c r="D156" s="55"/>
      <c r="E156" s="60"/>
      <c r="F156" s="61"/>
      <c r="G156" s="58"/>
      <c r="H156" s="46"/>
      <c r="I156" s="46"/>
      <c r="J156" s="46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</row>
    <row r="157" spans="1:39" ht="25.5">
      <c r="A157" s="26"/>
      <c r="B157" s="121" t="s">
        <v>102</v>
      </c>
      <c r="C157" s="121"/>
      <c r="D157" s="33"/>
      <c r="E157" s="34" t="s">
        <v>103</v>
      </c>
      <c r="F157" s="80"/>
      <c r="G157" s="58"/>
      <c r="H157" s="46"/>
      <c r="I157" s="46"/>
      <c r="J157" s="46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  <c r="AM157" s="77"/>
    </row>
    <row r="158" spans="1:39">
      <c r="A158" s="26"/>
      <c r="B158" s="93"/>
      <c r="C158" s="102"/>
      <c r="D158" s="71"/>
      <c r="E158" s="34"/>
      <c r="F158" s="38"/>
      <c r="G158" s="96"/>
      <c r="H158" s="79"/>
      <c r="I158" s="79"/>
      <c r="J158" s="79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  <c r="AM158" s="77"/>
    </row>
    <row r="159" spans="1:39" ht="25.5">
      <c r="A159" s="31">
        <f>MAX(A$1:A158)+1</f>
        <v>25</v>
      </c>
      <c r="B159" s="93"/>
      <c r="C159" s="32" t="s">
        <v>95</v>
      </c>
      <c r="D159" s="33"/>
      <c r="E159" s="34" t="s">
        <v>96</v>
      </c>
      <c r="F159" s="35"/>
      <c r="G159" s="24" t="s">
        <v>1</v>
      </c>
      <c r="H159" s="30">
        <v>204.75</v>
      </c>
      <c r="I159" s="379"/>
      <c r="J159" s="30">
        <f t="shared" si="2"/>
        <v>0</v>
      </c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</row>
    <row r="160" spans="1:39" ht="25.5">
      <c r="A160" s="31"/>
      <c r="B160" s="93"/>
      <c r="C160" s="32"/>
      <c r="D160" s="55" t="s">
        <v>129</v>
      </c>
      <c r="E160" s="56" t="s">
        <v>130</v>
      </c>
      <c r="F160" s="57"/>
      <c r="G160" s="58" t="s">
        <v>1</v>
      </c>
      <c r="H160" s="79">
        <v>204.75</v>
      </c>
      <c r="I160" s="79"/>
      <c r="J160" s="79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</row>
    <row r="161" spans="1:39">
      <c r="A161" s="31"/>
      <c r="B161" s="93"/>
      <c r="C161" s="32"/>
      <c r="D161" s="33"/>
      <c r="E161" s="94" t="s">
        <v>125</v>
      </c>
      <c r="F161" s="38"/>
      <c r="G161" s="24"/>
      <c r="H161" s="30"/>
      <c r="I161" s="30"/>
      <c r="J161" s="30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</row>
    <row r="162" spans="1:39">
      <c r="A162" s="31"/>
      <c r="B162" s="93"/>
      <c r="C162" s="32"/>
      <c r="D162" s="33"/>
      <c r="E162" s="41" t="s">
        <v>135</v>
      </c>
      <c r="F162" s="38"/>
      <c r="G162" s="24"/>
      <c r="H162" s="30"/>
      <c r="I162" s="30"/>
      <c r="J162" s="30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</row>
    <row r="163" spans="1:39">
      <c r="A163" s="31"/>
      <c r="B163" s="93"/>
      <c r="C163" s="32"/>
      <c r="D163" s="33"/>
      <c r="E163" s="41" t="s">
        <v>126</v>
      </c>
      <c r="F163" s="38"/>
      <c r="G163" s="24"/>
      <c r="H163" s="30"/>
      <c r="I163" s="30"/>
      <c r="J163" s="30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</row>
    <row r="164" spans="1:39">
      <c r="A164" s="31"/>
      <c r="B164" s="93"/>
      <c r="C164" s="32"/>
      <c r="D164" s="33"/>
      <c r="E164" s="41" t="s">
        <v>232</v>
      </c>
      <c r="F164" s="38">
        <f>237.9-(6.5*5.1)</f>
        <v>204.75</v>
      </c>
      <c r="G164" s="24"/>
      <c r="H164" s="30"/>
      <c r="I164" s="30"/>
      <c r="J164" s="30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</row>
    <row r="165" spans="1:39">
      <c r="A165" s="31"/>
      <c r="B165" s="93"/>
      <c r="C165" s="32"/>
      <c r="D165" s="33"/>
      <c r="E165" s="41"/>
      <c r="F165" s="38"/>
      <c r="G165" s="24"/>
      <c r="H165" s="30"/>
      <c r="I165" s="30"/>
      <c r="J165" s="30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</row>
    <row r="166" spans="1:39" ht="25.5">
      <c r="A166" s="31">
        <f>MAX(A$1:A165)+1</f>
        <v>26</v>
      </c>
      <c r="B166" s="27"/>
      <c r="C166" s="32" t="s">
        <v>97</v>
      </c>
      <c r="D166" s="33"/>
      <c r="E166" s="34" t="s">
        <v>98</v>
      </c>
      <c r="F166" s="35"/>
      <c r="G166" s="24" t="s">
        <v>7</v>
      </c>
      <c r="H166" s="30">
        <v>9.89</v>
      </c>
      <c r="I166" s="379"/>
      <c r="J166" s="30">
        <f t="shared" si="2"/>
        <v>0</v>
      </c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  <c r="AM166" s="77"/>
    </row>
    <row r="167" spans="1:39" ht="25.5">
      <c r="A167" s="31"/>
      <c r="B167" s="27"/>
      <c r="C167" s="32"/>
      <c r="D167" s="55" t="s">
        <v>127</v>
      </c>
      <c r="E167" s="60" t="s">
        <v>128</v>
      </c>
      <c r="F167" s="61"/>
      <c r="G167" s="58" t="s">
        <v>7</v>
      </c>
      <c r="H167" s="79">
        <v>9.89</v>
      </c>
      <c r="I167" s="79"/>
      <c r="J167" s="79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</row>
    <row r="168" spans="1:39">
      <c r="A168" s="31"/>
      <c r="B168" s="27"/>
      <c r="C168" s="32"/>
      <c r="D168" s="55"/>
      <c r="E168" s="94" t="s">
        <v>136</v>
      </c>
      <c r="F168" s="61"/>
      <c r="G168" s="58"/>
      <c r="H168" s="30"/>
      <c r="I168" s="30"/>
      <c r="J168" s="30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</row>
    <row r="169" spans="1:39">
      <c r="A169" s="31"/>
      <c r="B169" s="27"/>
      <c r="C169" s="32"/>
      <c r="D169" s="55"/>
      <c r="E169" s="94" t="s">
        <v>138</v>
      </c>
      <c r="F169" s="61"/>
      <c r="G169" s="58"/>
      <c r="H169" s="30"/>
      <c r="I169" s="30"/>
      <c r="J169" s="30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  <c r="AL169" s="77"/>
      <c r="AM169" s="77"/>
    </row>
    <row r="170" spans="1:39">
      <c r="A170" s="31"/>
      <c r="B170" s="27"/>
      <c r="C170" s="32"/>
      <c r="D170" s="33"/>
      <c r="E170" s="94" t="s">
        <v>137</v>
      </c>
      <c r="F170" s="38"/>
      <c r="G170" s="24"/>
      <c r="H170" s="30"/>
      <c r="I170" s="30"/>
      <c r="J170" s="30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77"/>
      <c r="AL170" s="77"/>
      <c r="AM170" s="77"/>
    </row>
    <row r="171" spans="1:39" ht="25.5">
      <c r="A171" s="31"/>
      <c r="B171" s="27"/>
      <c r="C171" s="32"/>
      <c r="D171" s="33"/>
      <c r="E171" s="41" t="s">
        <v>233</v>
      </c>
      <c r="F171" s="38">
        <f>231*0.05-(33.15*0.05)</f>
        <v>9.89</v>
      </c>
      <c r="G171" s="24"/>
      <c r="H171" s="30"/>
      <c r="I171" s="30"/>
      <c r="J171" s="30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</row>
    <row r="172" spans="1:39">
      <c r="A172" s="31"/>
      <c r="B172" s="27"/>
      <c r="C172" s="32"/>
      <c r="D172" s="33"/>
      <c r="E172" s="41"/>
      <c r="F172" s="38"/>
      <c r="G172" s="24"/>
      <c r="H172" s="30"/>
      <c r="I172" s="30"/>
      <c r="J172" s="30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L172" s="77"/>
      <c r="AM172" s="77"/>
    </row>
    <row r="173" spans="1:39" ht="25.5">
      <c r="A173" s="31">
        <f>MAX(A$1:A172)+1</f>
        <v>27</v>
      </c>
      <c r="B173" s="27"/>
      <c r="C173" s="32" t="s">
        <v>236</v>
      </c>
      <c r="D173" s="33"/>
      <c r="E173" s="52" t="s">
        <v>244</v>
      </c>
      <c r="F173" s="53"/>
      <c r="G173" s="24" t="s">
        <v>5</v>
      </c>
      <c r="H173" s="36">
        <v>10.1</v>
      </c>
      <c r="I173" s="380"/>
      <c r="J173" s="36">
        <f t="shared" si="2"/>
        <v>0</v>
      </c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</row>
    <row r="174" spans="1:39" ht="38.25">
      <c r="A174" s="26"/>
      <c r="B174" s="27"/>
      <c r="C174" s="33"/>
      <c r="D174" s="55" t="s">
        <v>237</v>
      </c>
      <c r="E174" s="56" t="s">
        <v>245</v>
      </c>
      <c r="F174" s="57"/>
      <c r="G174" s="58" t="s">
        <v>5</v>
      </c>
      <c r="H174" s="36">
        <v>10.1</v>
      </c>
      <c r="I174" s="36"/>
      <c r="J174" s="36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  <c r="AM174" s="77"/>
    </row>
    <row r="175" spans="1:39">
      <c r="A175" s="26"/>
      <c r="B175" s="27"/>
      <c r="C175" s="32"/>
      <c r="D175" s="33"/>
      <c r="E175" s="41" t="s">
        <v>238</v>
      </c>
      <c r="F175" s="38">
        <v>10.1</v>
      </c>
      <c r="G175" s="24"/>
      <c r="H175" s="36"/>
      <c r="I175" s="36"/>
      <c r="J175" s="36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</row>
    <row r="176" spans="1:39">
      <c r="A176" s="26"/>
      <c r="B176" s="27"/>
      <c r="C176" s="32"/>
      <c r="D176" s="33"/>
      <c r="E176" s="41"/>
      <c r="F176" s="38"/>
      <c r="G176" s="24"/>
      <c r="H176" s="36"/>
      <c r="I176" s="36"/>
      <c r="J176" s="36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</row>
    <row r="177" spans="1:39">
      <c r="A177" s="31">
        <f>MAX(A$1:A176)+1</f>
        <v>28</v>
      </c>
      <c r="B177" s="27"/>
      <c r="C177" s="32" t="s">
        <v>99</v>
      </c>
      <c r="D177" s="33"/>
      <c r="E177" s="34" t="s">
        <v>86</v>
      </c>
      <c r="F177" s="35"/>
      <c r="G177" s="24" t="s">
        <v>5</v>
      </c>
      <c r="H177" s="30">
        <v>96</v>
      </c>
      <c r="I177" s="379"/>
      <c r="J177" s="30">
        <f t="shared" si="2"/>
        <v>0</v>
      </c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  <c r="AM177" s="77"/>
    </row>
    <row r="178" spans="1:39">
      <c r="A178" s="26"/>
      <c r="B178" s="27"/>
      <c r="C178" s="54"/>
      <c r="D178" s="55" t="s">
        <v>100</v>
      </c>
      <c r="E178" s="60" t="s">
        <v>101</v>
      </c>
      <c r="F178" s="61"/>
      <c r="G178" s="58" t="s">
        <v>5</v>
      </c>
      <c r="H178" s="79">
        <v>96</v>
      </c>
      <c r="I178" s="79"/>
      <c r="J178" s="79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  <c r="AL178" s="77"/>
      <c r="AM178" s="77"/>
    </row>
    <row r="179" spans="1:39">
      <c r="A179" s="26"/>
      <c r="B179" s="27"/>
      <c r="C179" s="95"/>
      <c r="D179" s="95"/>
      <c r="E179" s="94" t="s">
        <v>185</v>
      </c>
      <c r="F179" s="38"/>
      <c r="G179" s="96"/>
      <c r="H179" s="79"/>
      <c r="I179" s="79"/>
      <c r="J179" s="79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</row>
    <row r="180" spans="1:39">
      <c r="A180" s="26"/>
      <c r="B180" s="27"/>
      <c r="C180" s="95"/>
      <c r="D180" s="95"/>
      <c r="E180" s="41" t="s">
        <v>186</v>
      </c>
      <c r="F180" s="38">
        <v>96</v>
      </c>
      <c r="G180" s="96"/>
      <c r="H180" s="79"/>
      <c r="I180" s="79"/>
      <c r="J180" s="79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</row>
    <row r="181" spans="1:39">
      <c r="A181" s="26"/>
      <c r="B181" s="27"/>
      <c r="C181" s="95"/>
      <c r="D181" s="95"/>
      <c r="E181" s="41"/>
      <c r="F181" s="38"/>
      <c r="G181" s="96"/>
      <c r="H181" s="79"/>
      <c r="I181" s="79"/>
      <c r="J181" s="79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</row>
    <row r="182" spans="1:39" ht="25.5">
      <c r="A182" s="31">
        <f>MAX(A$1:A181)+1</f>
        <v>29</v>
      </c>
      <c r="B182" s="27"/>
      <c r="C182" s="32" t="s">
        <v>187</v>
      </c>
      <c r="D182" s="33"/>
      <c r="E182" s="52" t="s">
        <v>188</v>
      </c>
      <c r="F182" s="53"/>
      <c r="G182" s="24" t="s">
        <v>5</v>
      </c>
      <c r="H182" s="30">
        <v>19.5</v>
      </c>
      <c r="I182" s="379"/>
      <c r="J182" s="30">
        <f t="shared" si="2"/>
        <v>0</v>
      </c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</row>
    <row r="183" spans="1:39" ht="25.5">
      <c r="A183" s="31"/>
      <c r="B183" s="89"/>
      <c r="C183" s="54"/>
      <c r="D183" s="55" t="s">
        <v>189</v>
      </c>
      <c r="E183" s="56" t="s">
        <v>190</v>
      </c>
      <c r="F183" s="57"/>
      <c r="G183" s="58" t="s">
        <v>5</v>
      </c>
      <c r="H183" s="79">
        <v>19.5</v>
      </c>
      <c r="I183" s="79"/>
      <c r="J183" s="79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</row>
    <row r="184" spans="1:39">
      <c r="A184" s="26"/>
      <c r="B184" s="27"/>
      <c r="C184" s="54"/>
      <c r="D184" s="55"/>
      <c r="E184" s="97" t="s">
        <v>191</v>
      </c>
      <c r="F184" s="84"/>
      <c r="G184" s="58"/>
      <c r="H184" s="79"/>
      <c r="I184" s="79"/>
      <c r="J184" s="79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</row>
    <row r="185" spans="1:39">
      <c r="A185" s="26"/>
      <c r="B185" s="27"/>
      <c r="C185" s="54"/>
      <c r="D185" s="55"/>
      <c r="E185" s="92" t="s">
        <v>193</v>
      </c>
      <c r="F185" s="84">
        <v>19.5</v>
      </c>
      <c r="G185" s="58"/>
      <c r="H185" s="79"/>
      <c r="I185" s="79"/>
      <c r="J185" s="79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</row>
    <row r="186" spans="1:39">
      <c r="A186" s="26"/>
      <c r="B186" s="27"/>
      <c r="C186" s="54"/>
      <c r="D186" s="55"/>
      <c r="E186" s="92" t="s">
        <v>192</v>
      </c>
      <c r="F186" s="84"/>
      <c r="G186" s="58"/>
      <c r="H186" s="79"/>
      <c r="I186" s="79"/>
      <c r="J186" s="79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</row>
    <row r="187" spans="1:39">
      <c r="A187" s="26"/>
      <c r="B187" s="27"/>
      <c r="C187" s="54"/>
      <c r="D187" s="55"/>
      <c r="E187" s="92" t="s">
        <v>194</v>
      </c>
      <c r="F187" s="84"/>
      <c r="G187" s="58"/>
      <c r="H187" s="79"/>
      <c r="I187" s="79"/>
      <c r="J187" s="79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</row>
    <row r="188" spans="1:39">
      <c r="A188" s="26"/>
      <c r="B188" s="27"/>
      <c r="C188" s="32"/>
      <c r="D188" s="55"/>
      <c r="E188" s="64"/>
      <c r="F188" s="38"/>
      <c r="G188" s="58"/>
      <c r="H188" s="79"/>
      <c r="I188" s="79"/>
      <c r="J188" s="79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</row>
    <row r="189" spans="1:39">
      <c r="A189" s="26"/>
      <c r="B189" s="27"/>
      <c r="C189" s="32"/>
      <c r="D189" s="33"/>
      <c r="E189" s="34"/>
      <c r="F189" s="35"/>
      <c r="G189" s="24"/>
      <c r="H189" s="79"/>
      <c r="I189" s="79"/>
      <c r="J189" s="79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</row>
    <row r="190" spans="1:39" ht="25.5">
      <c r="A190" s="26"/>
      <c r="B190" s="121" t="s">
        <v>104</v>
      </c>
      <c r="C190" s="121"/>
      <c r="D190" s="33"/>
      <c r="E190" s="34" t="s">
        <v>107</v>
      </c>
      <c r="F190" s="38"/>
      <c r="G190" s="96"/>
      <c r="H190" s="79"/>
      <c r="I190" s="79"/>
      <c r="J190" s="79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</row>
    <row r="191" spans="1:39">
      <c r="A191" s="26"/>
      <c r="B191" s="121"/>
      <c r="C191" s="121"/>
      <c r="D191" s="33"/>
      <c r="E191" s="34"/>
      <c r="F191" s="38"/>
      <c r="G191" s="96"/>
      <c r="H191" s="79"/>
      <c r="I191" s="79"/>
      <c r="J191" s="79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</row>
    <row r="192" spans="1:39" ht="25.5">
      <c r="A192" s="31">
        <f>MAX(A$1:A191)+1</f>
        <v>30</v>
      </c>
      <c r="B192" s="93"/>
      <c r="C192" s="32" t="s">
        <v>87</v>
      </c>
      <c r="D192" s="33"/>
      <c r="E192" s="34" t="s">
        <v>88</v>
      </c>
      <c r="F192" s="35"/>
      <c r="G192" s="24" t="s">
        <v>7</v>
      </c>
      <c r="H192" s="30">
        <v>59.07</v>
      </c>
      <c r="I192" s="379"/>
      <c r="J192" s="30">
        <f t="shared" si="2"/>
        <v>0</v>
      </c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</row>
    <row r="193" spans="1:39">
      <c r="A193" s="31"/>
      <c r="B193" s="93"/>
      <c r="C193" s="32"/>
      <c r="D193" s="33"/>
      <c r="E193" s="94" t="s">
        <v>116</v>
      </c>
      <c r="F193" s="29"/>
      <c r="G193" s="24"/>
      <c r="H193" s="30"/>
      <c r="I193" s="30"/>
      <c r="J193" s="30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</row>
    <row r="194" spans="1:39">
      <c r="A194" s="26"/>
      <c r="B194" s="93"/>
      <c r="C194" s="32"/>
      <c r="D194" s="33"/>
      <c r="E194" s="41" t="s">
        <v>195</v>
      </c>
      <c r="F194" s="38"/>
      <c r="G194" s="24"/>
      <c r="H194" s="79"/>
      <c r="I194" s="79"/>
      <c r="J194" s="79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</row>
    <row r="195" spans="1:39">
      <c r="A195" s="26"/>
      <c r="B195" s="93"/>
      <c r="C195" s="95"/>
      <c r="D195" s="130"/>
      <c r="E195" s="98" t="s">
        <v>198</v>
      </c>
      <c r="F195" s="99">
        <f>232.5*0.2</f>
        <v>46.5</v>
      </c>
      <c r="G195" s="131"/>
      <c r="H195" s="79"/>
      <c r="I195" s="79"/>
      <c r="J195" s="79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</row>
    <row r="196" spans="1:39">
      <c r="A196" s="26"/>
      <c r="B196" s="93"/>
      <c r="C196" s="95"/>
      <c r="D196" s="130"/>
      <c r="E196" s="41" t="s">
        <v>196</v>
      </c>
      <c r="F196" s="38"/>
      <c r="G196" s="131"/>
      <c r="H196" s="79"/>
      <c r="I196" s="79"/>
      <c r="J196" s="79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</row>
    <row r="197" spans="1:39">
      <c r="A197" s="26"/>
      <c r="B197" s="93"/>
      <c r="C197" s="95"/>
      <c r="D197" s="130"/>
      <c r="E197" s="98" t="s">
        <v>197</v>
      </c>
      <c r="F197" s="100">
        <f>83.8*0.15</f>
        <v>12.57</v>
      </c>
      <c r="G197" s="131"/>
      <c r="H197" s="79"/>
      <c r="I197" s="79"/>
      <c r="J197" s="79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</row>
    <row r="198" spans="1:39">
      <c r="A198" s="26"/>
      <c r="B198" s="93"/>
      <c r="C198" s="95"/>
      <c r="D198" s="130"/>
      <c r="E198" s="98"/>
      <c r="F198" s="99">
        <f>SUM(F195:F197)</f>
        <v>59.07</v>
      </c>
      <c r="G198" s="131"/>
      <c r="H198" s="79"/>
      <c r="I198" s="79"/>
      <c r="J198" s="79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</row>
    <row r="199" spans="1:39">
      <c r="A199" s="26"/>
      <c r="B199" s="93"/>
      <c r="C199" s="95"/>
      <c r="D199" s="130"/>
      <c r="E199" s="98"/>
      <c r="F199" s="99"/>
      <c r="G199" s="131"/>
      <c r="H199" s="79"/>
      <c r="I199" s="79"/>
      <c r="J199" s="79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</row>
    <row r="200" spans="1:39" ht="25.5">
      <c r="A200" s="31">
        <f>MAX(A$1:A199)+1</f>
        <v>31</v>
      </c>
      <c r="B200" s="93"/>
      <c r="C200" s="32" t="s">
        <v>89</v>
      </c>
      <c r="D200" s="33"/>
      <c r="E200" s="34" t="s">
        <v>90</v>
      </c>
      <c r="F200" s="35"/>
      <c r="G200" s="24" t="s">
        <v>7</v>
      </c>
      <c r="H200" s="30">
        <v>26.1</v>
      </c>
      <c r="I200" s="379"/>
      <c r="J200" s="30">
        <f t="shared" si="2"/>
        <v>0</v>
      </c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</row>
    <row r="201" spans="1:39" ht="25.5">
      <c r="A201" s="31"/>
      <c r="B201" s="93"/>
      <c r="C201" s="54"/>
      <c r="D201" s="55" t="s">
        <v>91</v>
      </c>
      <c r="E201" s="60" t="s">
        <v>92</v>
      </c>
      <c r="F201" s="61"/>
      <c r="G201" s="58" t="s">
        <v>7</v>
      </c>
      <c r="H201" s="101">
        <v>26.1</v>
      </c>
      <c r="I201" s="101"/>
      <c r="J201" s="101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</row>
    <row r="202" spans="1:39" ht="25.5">
      <c r="A202" s="26"/>
      <c r="B202" s="93"/>
      <c r="C202" s="32"/>
      <c r="D202" s="33"/>
      <c r="E202" s="94" t="s">
        <v>117</v>
      </c>
      <c r="F202" s="38"/>
      <c r="G202" s="24"/>
      <c r="H202" s="79"/>
      <c r="I202" s="79"/>
      <c r="J202" s="79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</row>
    <row r="203" spans="1:39">
      <c r="A203" s="26"/>
      <c r="B203" s="93"/>
      <c r="C203" s="32"/>
      <c r="D203" s="33"/>
      <c r="E203" s="41" t="s">
        <v>180</v>
      </c>
      <c r="F203" s="38">
        <v>26.1</v>
      </c>
      <c r="G203" s="24"/>
      <c r="H203" s="79"/>
      <c r="I203" s="79"/>
      <c r="J203" s="79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</row>
    <row r="204" spans="1:39">
      <c r="A204" s="26"/>
      <c r="B204" s="93"/>
      <c r="C204" s="32"/>
      <c r="D204" s="33"/>
      <c r="E204" s="41"/>
      <c r="F204" s="38"/>
      <c r="G204" s="24"/>
      <c r="H204" s="79"/>
      <c r="I204" s="79"/>
      <c r="J204" s="79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</row>
    <row r="205" spans="1:39" ht="25.5">
      <c r="A205" s="31">
        <f>MAX(A$1:A204)+1</f>
        <v>32</v>
      </c>
      <c r="B205" s="93"/>
      <c r="C205" s="32" t="s">
        <v>181</v>
      </c>
      <c r="D205" s="33"/>
      <c r="E205" s="52" t="s">
        <v>182</v>
      </c>
      <c r="F205" s="53"/>
      <c r="G205" s="24" t="s">
        <v>7</v>
      </c>
      <c r="H205" s="30">
        <v>16.489999999999998</v>
      </c>
      <c r="I205" s="379"/>
      <c r="J205" s="30">
        <f t="shared" ref="J205:J230" si="3">I205*H205</f>
        <v>0</v>
      </c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</row>
    <row r="206" spans="1:39">
      <c r="A206" s="26"/>
      <c r="B206" s="93"/>
      <c r="C206" s="32"/>
      <c r="D206" s="33"/>
      <c r="E206" s="92" t="s">
        <v>183</v>
      </c>
      <c r="F206" s="84"/>
      <c r="G206" s="24"/>
      <c r="H206" s="79"/>
      <c r="I206" s="79"/>
      <c r="J206" s="79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</row>
    <row r="207" spans="1:39">
      <c r="A207" s="26"/>
      <c r="B207" s="93"/>
      <c r="C207" s="32"/>
      <c r="D207" s="33"/>
      <c r="E207" s="92" t="s">
        <v>184</v>
      </c>
      <c r="F207" s="84">
        <f>164.9*0.1</f>
        <v>16.489999999999998</v>
      </c>
      <c r="G207" s="24"/>
      <c r="H207" s="79"/>
      <c r="I207" s="79"/>
      <c r="J207" s="79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</row>
    <row r="208" spans="1:39">
      <c r="A208" s="26"/>
      <c r="B208" s="93"/>
      <c r="C208" s="102"/>
      <c r="D208" s="71"/>
      <c r="E208" s="34"/>
      <c r="F208" s="38"/>
      <c r="G208" s="96"/>
      <c r="H208" s="79"/>
      <c r="I208" s="79"/>
      <c r="J208" s="79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</row>
    <row r="209" spans="1:39" ht="38.25">
      <c r="A209" s="31">
        <f>MAX(A$1:A208)+1</f>
        <v>33</v>
      </c>
      <c r="B209" s="93"/>
      <c r="C209" s="32" t="s">
        <v>200</v>
      </c>
      <c r="D209" s="33"/>
      <c r="E209" s="52" t="s">
        <v>201</v>
      </c>
      <c r="F209" s="53"/>
      <c r="G209" s="24" t="s">
        <v>7</v>
      </c>
      <c r="H209" s="30">
        <v>38.590000000000003</v>
      </c>
      <c r="I209" s="379"/>
      <c r="J209" s="30">
        <f t="shared" si="3"/>
        <v>0</v>
      </c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</row>
    <row r="210" spans="1:39" ht="38.25">
      <c r="A210" s="26"/>
      <c r="B210" s="93"/>
      <c r="C210" s="102"/>
      <c r="D210" s="55" t="s">
        <v>202</v>
      </c>
      <c r="E210" s="56" t="s">
        <v>203</v>
      </c>
      <c r="F210" s="57"/>
      <c r="G210" s="58" t="s">
        <v>7</v>
      </c>
      <c r="H210" s="79">
        <v>38.590000000000003</v>
      </c>
      <c r="I210" s="79"/>
      <c r="J210" s="79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</row>
    <row r="211" spans="1:39">
      <c r="A211" s="26"/>
      <c r="B211" s="93"/>
      <c r="C211" s="102"/>
      <c r="D211" s="71"/>
      <c r="E211" s="97" t="s">
        <v>116</v>
      </c>
      <c r="F211" s="132"/>
      <c r="G211" s="45"/>
      <c r="H211" s="79"/>
      <c r="I211" s="79"/>
      <c r="J211" s="79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</row>
    <row r="212" spans="1:39">
      <c r="A212" s="26"/>
      <c r="B212" s="93"/>
      <c r="C212" s="102"/>
      <c r="D212" s="71"/>
      <c r="E212" s="92" t="s">
        <v>204</v>
      </c>
      <c r="F212" s="84"/>
      <c r="G212" s="45"/>
      <c r="H212" s="79"/>
      <c r="I212" s="79"/>
      <c r="J212" s="79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</row>
    <row r="213" spans="1:39">
      <c r="A213" s="26"/>
      <c r="B213" s="93"/>
      <c r="C213" s="102"/>
      <c r="D213" s="71"/>
      <c r="E213" s="92" t="s">
        <v>205</v>
      </c>
      <c r="F213" s="84">
        <f>214.4*0.18</f>
        <v>38.590000000000003</v>
      </c>
      <c r="G213" s="45"/>
      <c r="H213" s="79"/>
      <c r="I213" s="79"/>
      <c r="J213" s="79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</row>
    <row r="214" spans="1:39">
      <c r="A214" s="26"/>
      <c r="B214" s="93"/>
      <c r="C214" s="102"/>
      <c r="D214" s="71"/>
      <c r="E214" s="34"/>
      <c r="F214" s="38"/>
      <c r="G214" s="96"/>
      <c r="H214" s="79"/>
      <c r="I214" s="79"/>
      <c r="J214" s="79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</row>
    <row r="215" spans="1:39" ht="25.5">
      <c r="A215" s="31">
        <f>MAX(A$1:A214)+1</f>
        <v>34</v>
      </c>
      <c r="B215" s="93"/>
      <c r="C215" s="32" t="s">
        <v>93</v>
      </c>
      <c r="D215" s="33"/>
      <c r="E215" s="34" t="s">
        <v>105</v>
      </c>
      <c r="F215" s="35"/>
      <c r="G215" s="24" t="s">
        <v>1</v>
      </c>
      <c r="H215" s="30">
        <v>181.25</v>
      </c>
      <c r="I215" s="379"/>
      <c r="J215" s="30">
        <f t="shared" si="3"/>
        <v>0</v>
      </c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  <c r="AM215" s="77"/>
    </row>
    <row r="216" spans="1:39" ht="25.5">
      <c r="A216" s="26"/>
      <c r="B216" s="93"/>
      <c r="C216" s="102"/>
      <c r="D216" s="55" t="s">
        <v>94</v>
      </c>
      <c r="E216" s="60" t="s">
        <v>106</v>
      </c>
      <c r="F216" s="61"/>
      <c r="G216" s="58" t="s">
        <v>1</v>
      </c>
      <c r="H216" s="79">
        <v>181.25</v>
      </c>
      <c r="I216" s="79"/>
      <c r="J216" s="79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  <c r="AG216" s="77"/>
      <c r="AH216" s="77"/>
      <c r="AI216" s="77"/>
      <c r="AJ216" s="77"/>
      <c r="AK216" s="77"/>
      <c r="AL216" s="77"/>
      <c r="AM216" s="77"/>
    </row>
    <row r="217" spans="1:39">
      <c r="A217" s="26"/>
      <c r="B217" s="93"/>
      <c r="C217" s="102"/>
      <c r="D217" s="55"/>
      <c r="E217" s="94" t="s">
        <v>116</v>
      </c>
      <c r="F217" s="80"/>
      <c r="G217" s="58"/>
      <c r="H217" s="79"/>
      <c r="I217" s="79"/>
      <c r="J217" s="79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</row>
    <row r="218" spans="1:39">
      <c r="A218" s="26"/>
      <c r="B218" s="93"/>
      <c r="C218" s="102"/>
      <c r="D218" s="71"/>
      <c r="E218" s="94" t="s">
        <v>199</v>
      </c>
      <c r="F218" s="38"/>
      <c r="G218" s="96"/>
      <c r="H218" s="79"/>
      <c r="I218" s="79"/>
      <c r="J218" s="79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</row>
    <row r="219" spans="1:39">
      <c r="A219" s="26"/>
      <c r="B219" s="93"/>
      <c r="C219" s="102"/>
      <c r="D219" s="71"/>
      <c r="E219" s="41" t="s">
        <v>234</v>
      </c>
      <c r="F219" s="38">
        <f>214.4-(6.5*5.1)</f>
        <v>181.25</v>
      </c>
      <c r="G219" s="96"/>
      <c r="H219" s="79"/>
      <c r="I219" s="79"/>
      <c r="J219" s="79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  <c r="AG219" s="77"/>
      <c r="AH219" s="77"/>
      <c r="AI219" s="77"/>
      <c r="AJ219" s="77"/>
      <c r="AK219" s="77"/>
      <c r="AL219" s="77"/>
      <c r="AM219" s="77"/>
    </row>
    <row r="220" spans="1:39">
      <c r="A220" s="26"/>
      <c r="B220" s="93"/>
      <c r="C220" s="102"/>
      <c r="D220" s="71"/>
      <c r="E220" s="94"/>
      <c r="F220" s="38"/>
      <c r="G220" s="96"/>
      <c r="H220" s="79"/>
      <c r="I220" s="79"/>
      <c r="J220" s="79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  <c r="AM220" s="77"/>
    </row>
    <row r="221" spans="1:39" ht="25.5">
      <c r="A221" s="31">
        <f>MAX(A$1:A220)+1</f>
        <v>35</v>
      </c>
      <c r="B221" s="27"/>
      <c r="C221" s="32" t="s">
        <v>206</v>
      </c>
      <c r="D221" s="33"/>
      <c r="E221" s="52" t="s">
        <v>207</v>
      </c>
      <c r="F221" s="53"/>
      <c r="G221" s="24" t="s">
        <v>7</v>
      </c>
      <c r="H221" s="30">
        <v>14.33</v>
      </c>
      <c r="I221" s="379"/>
      <c r="J221" s="30">
        <f t="shared" si="3"/>
        <v>0</v>
      </c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  <c r="AM221" s="77"/>
    </row>
    <row r="222" spans="1:39" ht="32.1" customHeight="1">
      <c r="A222" s="26"/>
      <c r="B222" s="93"/>
      <c r="C222" s="102"/>
      <c r="D222" s="55" t="s">
        <v>208</v>
      </c>
      <c r="E222" s="56" t="s">
        <v>209</v>
      </c>
      <c r="F222" s="57"/>
      <c r="G222" s="58" t="s">
        <v>7</v>
      </c>
      <c r="H222" s="79">
        <v>14.33</v>
      </c>
      <c r="I222" s="79"/>
      <c r="J222" s="79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7"/>
      <c r="AI222" s="77"/>
      <c r="AJ222" s="77"/>
      <c r="AK222" s="77"/>
      <c r="AL222" s="77"/>
      <c r="AM222" s="77"/>
    </row>
    <row r="223" spans="1:39">
      <c r="A223" s="26"/>
      <c r="B223" s="93"/>
      <c r="C223" s="102"/>
      <c r="D223" s="126"/>
      <c r="E223" s="94" t="s">
        <v>116</v>
      </c>
      <c r="F223" s="84"/>
      <c r="G223" s="45"/>
      <c r="H223" s="79"/>
      <c r="I223" s="79"/>
      <c r="J223" s="79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7"/>
      <c r="AI223" s="77"/>
      <c r="AJ223" s="77"/>
      <c r="AK223" s="77"/>
      <c r="AL223" s="77"/>
      <c r="AM223" s="77"/>
    </row>
    <row r="224" spans="1:39" ht="25.5">
      <c r="A224" s="26"/>
      <c r="B224" s="27"/>
      <c r="C224" s="95"/>
      <c r="D224" s="126"/>
      <c r="E224" s="97" t="s">
        <v>210</v>
      </c>
      <c r="F224" s="103"/>
      <c r="G224" s="45"/>
      <c r="H224" s="79"/>
      <c r="I224" s="79"/>
      <c r="J224" s="79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7"/>
      <c r="AI224" s="77"/>
      <c r="AJ224" s="77"/>
      <c r="AK224" s="77"/>
      <c r="AL224" s="77"/>
      <c r="AM224" s="77"/>
    </row>
    <row r="225" spans="1:39" ht="25.5">
      <c r="A225" s="26"/>
      <c r="B225" s="27"/>
      <c r="C225" s="95"/>
      <c r="D225" s="95"/>
      <c r="E225" s="41" t="s">
        <v>235</v>
      </c>
      <c r="F225" s="38">
        <f>237.9*0.07-(6.5*5.1)*0.07</f>
        <v>14.33</v>
      </c>
      <c r="G225" s="96"/>
      <c r="H225" s="79"/>
      <c r="I225" s="79"/>
      <c r="J225" s="79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  <c r="AD225" s="77"/>
      <c r="AE225" s="77"/>
      <c r="AF225" s="77"/>
      <c r="AG225" s="77"/>
      <c r="AH225" s="77"/>
      <c r="AI225" s="77"/>
      <c r="AJ225" s="77"/>
      <c r="AK225" s="77"/>
      <c r="AL225" s="77"/>
      <c r="AM225" s="77"/>
    </row>
    <row r="226" spans="1:39">
      <c r="A226" s="26"/>
      <c r="B226" s="27"/>
      <c r="C226" s="32"/>
      <c r="D226" s="33"/>
      <c r="E226" s="68"/>
      <c r="F226" s="38"/>
      <c r="G226" s="24"/>
      <c r="H226" s="79"/>
      <c r="I226" s="79"/>
      <c r="J226" s="79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  <c r="AE226" s="77"/>
      <c r="AF226" s="77"/>
      <c r="AG226" s="77"/>
      <c r="AH226" s="77"/>
      <c r="AI226" s="77"/>
      <c r="AJ226" s="77"/>
      <c r="AK226" s="77"/>
      <c r="AL226" s="77"/>
      <c r="AM226" s="77"/>
    </row>
    <row r="227" spans="1:39">
      <c r="A227" s="26"/>
      <c r="B227" s="27"/>
      <c r="C227" s="32"/>
      <c r="D227" s="33"/>
      <c r="E227" s="68"/>
      <c r="F227" s="38"/>
      <c r="G227" s="24"/>
      <c r="H227" s="79"/>
      <c r="I227" s="79"/>
      <c r="J227" s="79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  <c r="AD227" s="77"/>
      <c r="AE227" s="77"/>
      <c r="AF227" s="77"/>
      <c r="AG227" s="77"/>
      <c r="AH227" s="77"/>
      <c r="AI227" s="77"/>
      <c r="AJ227" s="77"/>
      <c r="AK227" s="77"/>
      <c r="AL227" s="77"/>
      <c r="AM227" s="77"/>
    </row>
    <row r="228" spans="1:39">
      <c r="A228" s="26"/>
      <c r="B228" s="121" t="s">
        <v>122</v>
      </c>
      <c r="C228" s="121"/>
      <c r="D228" s="33"/>
      <c r="E228" s="34" t="s">
        <v>123</v>
      </c>
      <c r="F228" s="80"/>
      <c r="G228" s="58"/>
      <c r="H228" s="79"/>
      <c r="I228" s="79"/>
      <c r="J228" s="79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  <c r="AF228" s="77"/>
      <c r="AG228" s="77"/>
      <c r="AH228" s="77"/>
      <c r="AI228" s="77"/>
      <c r="AJ228" s="77"/>
      <c r="AK228" s="77"/>
      <c r="AL228" s="77"/>
      <c r="AM228" s="77"/>
    </row>
    <row r="229" spans="1:39">
      <c r="A229" s="26"/>
      <c r="B229" s="27"/>
      <c r="C229" s="95"/>
      <c r="D229" s="95"/>
      <c r="E229" s="41"/>
      <c r="F229" s="38"/>
      <c r="G229" s="96"/>
      <c r="H229" s="79"/>
      <c r="I229" s="79"/>
      <c r="J229" s="79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  <c r="AC229" s="77"/>
      <c r="AD229" s="77"/>
      <c r="AE229" s="77"/>
      <c r="AF229" s="77"/>
      <c r="AG229" s="77"/>
      <c r="AH229" s="77"/>
      <c r="AI229" s="77"/>
      <c r="AJ229" s="77"/>
      <c r="AK229" s="77"/>
      <c r="AL229" s="77"/>
      <c r="AM229" s="77"/>
    </row>
    <row r="230" spans="1:39" ht="25.5">
      <c r="A230" s="31">
        <f>MAX(A$1:A229)+1</f>
        <v>36</v>
      </c>
      <c r="B230" s="27"/>
      <c r="C230" s="32" t="s">
        <v>118</v>
      </c>
      <c r="D230" s="33"/>
      <c r="E230" s="34" t="s">
        <v>119</v>
      </c>
      <c r="F230" s="35"/>
      <c r="G230" s="24" t="s">
        <v>1</v>
      </c>
      <c r="H230" s="30">
        <v>424.9</v>
      </c>
      <c r="I230" s="379"/>
      <c r="J230" s="30">
        <f t="shared" si="3"/>
        <v>0</v>
      </c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77"/>
      <c r="AE230" s="77"/>
      <c r="AF230" s="77"/>
      <c r="AG230" s="77"/>
      <c r="AH230" s="77"/>
      <c r="AI230" s="77"/>
      <c r="AJ230" s="77"/>
      <c r="AK230" s="77"/>
      <c r="AL230" s="77"/>
      <c r="AM230" s="77"/>
    </row>
    <row r="231" spans="1:39" ht="25.5">
      <c r="A231" s="26"/>
      <c r="B231" s="27"/>
      <c r="C231" s="104"/>
      <c r="D231" s="55" t="s">
        <v>120</v>
      </c>
      <c r="E231" s="60" t="s">
        <v>121</v>
      </c>
      <c r="F231" s="61"/>
      <c r="G231" s="58" t="s">
        <v>1</v>
      </c>
      <c r="H231" s="79">
        <v>424.9</v>
      </c>
      <c r="I231" s="79"/>
      <c r="J231" s="79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  <c r="AC231" s="77"/>
      <c r="AD231" s="77"/>
      <c r="AE231" s="77"/>
      <c r="AF231" s="77"/>
      <c r="AG231" s="77"/>
      <c r="AH231" s="77"/>
      <c r="AI231" s="77"/>
      <c r="AJ231" s="77"/>
      <c r="AK231" s="77"/>
      <c r="AL231" s="77"/>
      <c r="AM231" s="77"/>
    </row>
    <row r="232" spans="1:39">
      <c r="A232" s="26"/>
      <c r="B232" s="27"/>
      <c r="C232" s="104"/>
      <c r="D232" s="55"/>
      <c r="E232" s="97" t="s">
        <v>133</v>
      </c>
      <c r="F232" s="84"/>
      <c r="G232" s="58"/>
      <c r="H232" s="79"/>
      <c r="I232" s="79"/>
      <c r="J232" s="79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  <c r="AD232" s="77"/>
      <c r="AE232" s="77"/>
      <c r="AF232" s="77"/>
      <c r="AG232" s="77"/>
      <c r="AH232" s="77"/>
      <c r="AI232" s="77"/>
      <c r="AJ232" s="77"/>
      <c r="AK232" s="77"/>
      <c r="AL232" s="77"/>
      <c r="AM232" s="77"/>
    </row>
    <row r="233" spans="1:39">
      <c r="A233" s="26"/>
      <c r="B233" s="27"/>
      <c r="C233" s="104"/>
      <c r="D233" s="55"/>
      <c r="E233" s="105" t="s">
        <v>134</v>
      </c>
      <c r="F233" s="84"/>
      <c r="G233" s="58"/>
      <c r="H233" s="79"/>
      <c r="I233" s="79"/>
      <c r="J233" s="79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77"/>
      <c r="AJ233" s="77"/>
      <c r="AK233" s="77"/>
      <c r="AL233" s="77"/>
      <c r="AM233" s="77"/>
    </row>
    <row r="234" spans="1:39">
      <c r="A234" s="26"/>
      <c r="B234" s="27"/>
      <c r="C234" s="104"/>
      <c r="D234" s="55"/>
      <c r="E234" s="105" t="s">
        <v>177</v>
      </c>
      <c r="F234" s="84">
        <v>424.9</v>
      </c>
      <c r="G234" s="58"/>
      <c r="H234" s="79"/>
      <c r="I234" s="79"/>
      <c r="J234" s="79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7"/>
      <c r="AE234" s="77"/>
      <c r="AF234" s="77"/>
      <c r="AG234" s="77"/>
      <c r="AH234" s="77"/>
      <c r="AI234" s="77"/>
      <c r="AJ234" s="77"/>
      <c r="AK234" s="77"/>
      <c r="AL234" s="77"/>
      <c r="AM234" s="77"/>
    </row>
    <row r="235" spans="1:39">
      <c r="A235" s="26"/>
      <c r="B235" s="27"/>
      <c r="C235" s="95"/>
      <c r="D235" s="95"/>
      <c r="E235" s="41"/>
      <c r="F235" s="38"/>
      <c r="G235" s="96"/>
      <c r="H235" s="79"/>
      <c r="I235" s="79"/>
      <c r="J235" s="79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77"/>
      <c r="AG235" s="77"/>
      <c r="AH235" s="77"/>
      <c r="AI235" s="77"/>
      <c r="AJ235" s="77"/>
      <c r="AK235" s="77"/>
      <c r="AL235" s="77"/>
      <c r="AM235" s="77"/>
    </row>
    <row r="236" spans="1:39" ht="13.5" thickBot="1">
      <c r="A236" s="133"/>
      <c r="B236" s="106"/>
      <c r="C236" s="109"/>
      <c r="D236" s="110"/>
      <c r="E236" s="111"/>
      <c r="F236" s="107"/>
      <c r="G236" s="112"/>
      <c r="H236" s="134"/>
      <c r="I236" s="134"/>
      <c r="J236" s="134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  <c r="AE236" s="77"/>
      <c r="AF236" s="77"/>
      <c r="AG236" s="77"/>
      <c r="AH236" s="77"/>
      <c r="AI236" s="77"/>
      <c r="AJ236" s="77"/>
      <c r="AK236" s="77"/>
      <c r="AL236" s="77"/>
      <c r="AM236" s="77"/>
    </row>
    <row r="237" spans="1:39" s="226" customFormat="1" ht="13.5" thickBot="1">
      <c r="A237" s="222"/>
      <c r="B237" s="223"/>
      <c r="C237" s="223"/>
      <c r="D237" s="223" t="s">
        <v>740</v>
      </c>
      <c r="E237" s="223"/>
      <c r="F237" s="224"/>
      <c r="G237" s="223"/>
      <c r="H237" s="224"/>
      <c r="I237" s="224"/>
      <c r="J237" s="225">
        <f>SUM(J5:J236)</f>
        <v>0</v>
      </c>
    </row>
  </sheetData>
  <sheetProtection algorithmName="SHA-512" hashValue="VugE5YcistsM+qKoX9gdy1/7Pxf8OuOAAx9NFvdZgQT7xfCtjd3LfvyCNyW1pdW5hYNz0J2rV961gOvfz4NkxQ==" saltValue="t3qiJCKXMm5lqQlaTKQFDw==" spinCount="100000" sheet="1" objects="1" scenarios="1"/>
  <mergeCells count="6">
    <mergeCell ref="J3:J4"/>
    <mergeCell ref="A3:C3"/>
    <mergeCell ref="E3:F4"/>
    <mergeCell ref="G3:G4"/>
    <mergeCell ref="H3:H4"/>
    <mergeCell ref="I3:I4"/>
  </mergeCells>
  <conditionalFormatting sqref="E58">
    <cfRule type="expression" priority="1" stopIfTrue="1">
      <formula>"a2"</formula>
    </cfRule>
  </conditionalFormatting>
  <pageMargins left="0.39370078740157483" right="0.19685039370078741" top="0.98425196850393704" bottom="0.98425196850393704" header="0.51181102362204722" footer="0.51181102362204722"/>
  <pageSetup paperSize="9" scale="72" orientation="portrait" r:id="rId1"/>
  <headerFooter>
    <oddHeader>&amp;LNÁZOV STAVIEB : Rekonštrukcia a obnova mostov na cestách III. triedy BBSK, oblasť JUH
STAVBA : Most ev.č.2610-12,C III/2610 v km 12,678 – Čeláre&amp;RO. Výkaz výmer a rozpočet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C688B-0368-408C-84EB-39E496ADC124}">
  <dimension ref="A1:L341"/>
  <sheetViews>
    <sheetView showGridLines="0" zoomScale="98" zoomScaleNormal="98" workbookViewId="0">
      <pane ySplit="4" topLeftCell="A5" activePane="bottomLeft" state="frozen"/>
      <selection pane="bottomLeft"/>
    </sheetView>
  </sheetViews>
  <sheetFormatPr defaultRowHeight="12.75"/>
  <cols>
    <col min="1" max="1" width="4.7109375" style="108" customWidth="1"/>
    <col min="2" max="2" width="9.28515625" style="108" customWidth="1"/>
    <col min="3" max="3" width="9" style="108" customWidth="1"/>
    <col min="4" max="4" width="10.85546875" style="108" customWidth="1"/>
    <col min="5" max="5" width="52.7109375" style="108" customWidth="1"/>
    <col min="6" max="6" width="9.85546875" style="113" customWidth="1"/>
    <col min="7" max="7" width="5.7109375" style="108" customWidth="1"/>
    <col min="8" max="9" width="10.140625" style="113" customWidth="1"/>
    <col min="10" max="10" width="14.85546875" style="113" customWidth="1"/>
    <col min="11" max="11" width="11.7109375" style="108" bestFit="1" customWidth="1"/>
    <col min="12" max="16384" width="9.140625" style="108"/>
  </cols>
  <sheetData>
    <row r="1" spans="1:10" ht="25.5">
      <c r="A1" s="135" t="s">
        <v>8</v>
      </c>
      <c r="B1" s="135"/>
      <c r="C1" s="136"/>
      <c r="D1" s="137"/>
      <c r="E1" s="138" t="s">
        <v>246</v>
      </c>
      <c r="G1" s="139"/>
      <c r="H1" s="140"/>
      <c r="I1" s="140"/>
      <c r="J1" s="140"/>
    </row>
    <row r="2" spans="1:10" ht="13.5" thickBot="1">
      <c r="A2" s="8" t="s">
        <v>9</v>
      </c>
      <c r="B2" s="135"/>
      <c r="C2" s="136"/>
      <c r="D2" s="137"/>
      <c r="E2" s="141">
        <v>2112</v>
      </c>
      <c r="G2" s="10"/>
      <c r="H2" s="142"/>
      <c r="I2" s="142"/>
      <c r="J2" s="142"/>
    </row>
    <row r="3" spans="1:10">
      <c r="A3" s="366" t="s">
        <v>10</v>
      </c>
      <c r="B3" s="367"/>
      <c r="C3" s="368"/>
      <c r="D3" s="12"/>
      <c r="E3" s="369" t="s">
        <v>11</v>
      </c>
      <c r="F3" s="370"/>
      <c r="G3" s="373" t="s">
        <v>12</v>
      </c>
      <c r="H3" s="375" t="s">
        <v>13</v>
      </c>
      <c r="I3" s="354" t="s">
        <v>736</v>
      </c>
      <c r="J3" s="354" t="s">
        <v>737</v>
      </c>
    </row>
    <row r="4" spans="1:10" ht="13.5" thickBot="1">
      <c r="A4" s="13" t="s">
        <v>14</v>
      </c>
      <c r="B4" s="14" t="s">
        <v>17</v>
      </c>
      <c r="C4" s="14" t="s">
        <v>15</v>
      </c>
      <c r="D4" s="14" t="s">
        <v>16</v>
      </c>
      <c r="E4" s="371"/>
      <c r="F4" s="372"/>
      <c r="G4" s="374"/>
      <c r="H4" s="376"/>
      <c r="I4" s="355"/>
      <c r="J4" s="355"/>
    </row>
    <row r="5" spans="1:10">
      <c r="A5" s="15"/>
      <c r="B5" s="16"/>
      <c r="C5" s="16"/>
      <c r="D5" s="17"/>
      <c r="E5" s="18"/>
      <c r="F5" s="143"/>
      <c r="G5" s="20"/>
      <c r="H5" s="21"/>
      <c r="I5" s="21"/>
      <c r="J5" s="21"/>
    </row>
    <row r="6" spans="1:10">
      <c r="A6" s="22"/>
      <c r="B6" s="102" t="s">
        <v>18</v>
      </c>
      <c r="C6" s="114"/>
      <c r="D6" s="115"/>
      <c r="E6" s="173" t="s">
        <v>20</v>
      </c>
      <c r="F6" s="144"/>
      <c r="G6" s="24"/>
      <c r="H6" s="25"/>
      <c r="I6" s="25"/>
      <c r="J6" s="25"/>
    </row>
    <row r="7" spans="1:10">
      <c r="A7" s="26"/>
      <c r="B7" s="27"/>
      <c r="C7" s="27"/>
      <c r="D7" s="27"/>
      <c r="E7" s="28"/>
      <c r="F7" s="145"/>
      <c r="G7" s="27"/>
      <c r="H7" s="30"/>
      <c r="I7" s="30"/>
      <c r="J7" s="30"/>
    </row>
    <row r="8" spans="1:10" ht="25.5">
      <c r="A8" s="31">
        <f>MAX(A$1:A6)+1</f>
        <v>1</v>
      </c>
      <c r="B8" s="27"/>
      <c r="C8" s="32" t="s">
        <v>21</v>
      </c>
      <c r="D8" s="33"/>
      <c r="E8" s="52" t="s">
        <v>22</v>
      </c>
      <c r="F8" s="146"/>
      <c r="G8" s="24" t="s">
        <v>0</v>
      </c>
      <c r="H8" s="36">
        <v>542.62</v>
      </c>
      <c r="I8" s="380"/>
      <c r="J8" s="36">
        <f t="shared" ref="J8:J66" si="0">I8*H8</f>
        <v>0</v>
      </c>
    </row>
    <row r="9" spans="1:10">
      <c r="A9" s="31"/>
      <c r="B9" s="27"/>
      <c r="C9" s="32"/>
      <c r="D9" s="33"/>
      <c r="E9" s="147" t="s">
        <v>247</v>
      </c>
      <c r="F9" s="146"/>
      <c r="G9" s="24"/>
      <c r="H9" s="36"/>
      <c r="I9" s="36"/>
      <c r="J9" s="36"/>
    </row>
    <row r="10" spans="1:10">
      <c r="A10" s="31"/>
      <c r="B10" s="27"/>
      <c r="C10" s="32"/>
      <c r="D10" s="33"/>
      <c r="E10" s="92" t="s">
        <v>248</v>
      </c>
      <c r="F10" s="148">
        <f>2.94*2.2</f>
        <v>6.47</v>
      </c>
      <c r="G10" s="24"/>
      <c r="H10" s="36"/>
      <c r="I10" s="36"/>
      <c r="J10" s="36"/>
    </row>
    <row r="11" spans="1:10">
      <c r="A11" s="31"/>
      <c r="B11" s="27"/>
      <c r="C11" s="32"/>
      <c r="D11" s="33"/>
      <c r="E11" s="92" t="s">
        <v>249</v>
      </c>
      <c r="F11" s="148">
        <f>552.4*0.235</f>
        <v>129.81</v>
      </c>
      <c r="G11" s="24"/>
      <c r="H11" s="36"/>
      <c r="I11" s="36"/>
      <c r="J11" s="36"/>
    </row>
    <row r="12" spans="1:10">
      <c r="A12" s="31"/>
      <c r="B12" s="27"/>
      <c r="C12" s="32"/>
      <c r="D12" s="33"/>
      <c r="E12" s="92" t="s">
        <v>250</v>
      </c>
      <c r="F12" s="148">
        <f>125.06*2.6</f>
        <v>325.16000000000003</v>
      </c>
      <c r="G12" s="24"/>
      <c r="H12" s="36"/>
      <c r="I12" s="36"/>
      <c r="J12" s="36"/>
    </row>
    <row r="13" spans="1:10">
      <c r="A13" s="31"/>
      <c r="B13" s="27"/>
      <c r="C13" s="32"/>
      <c r="D13" s="33"/>
      <c r="E13" s="92" t="s">
        <v>274</v>
      </c>
      <c r="F13" s="148">
        <f>242.3*0.076</f>
        <v>18.41</v>
      </c>
      <c r="G13" s="24"/>
      <c r="H13" s="36"/>
      <c r="I13" s="36"/>
      <c r="J13" s="36"/>
    </row>
    <row r="14" spans="1:10">
      <c r="A14" s="31"/>
      <c r="B14" s="27"/>
      <c r="C14" s="32"/>
      <c r="D14" s="33"/>
      <c r="E14" s="92" t="s">
        <v>275</v>
      </c>
      <c r="F14" s="149">
        <f>494.2*0.127</f>
        <v>62.76</v>
      </c>
      <c r="G14" s="24"/>
      <c r="H14" s="36"/>
      <c r="I14" s="36"/>
      <c r="J14" s="36"/>
    </row>
    <row r="15" spans="1:10">
      <c r="A15" s="31"/>
      <c r="B15" s="27"/>
      <c r="C15" s="32"/>
      <c r="D15" s="33"/>
      <c r="E15" s="92"/>
      <c r="F15" s="148">
        <f>SUM(F10:F14)</f>
        <v>542.61</v>
      </c>
      <c r="G15" s="24"/>
      <c r="H15" s="36"/>
      <c r="I15" s="36"/>
      <c r="J15" s="36"/>
    </row>
    <row r="16" spans="1:10">
      <c r="A16" s="31"/>
      <c r="B16" s="27"/>
      <c r="C16" s="125"/>
      <c r="D16" s="126"/>
      <c r="E16" s="154"/>
      <c r="F16" s="84"/>
      <c r="G16" s="27"/>
      <c r="H16" s="30"/>
      <c r="I16" s="30"/>
      <c r="J16" s="30"/>
    </row>
    <row r="17" spans="1:10">
      <c r="A17" s="31">
        <f>MAX(A$1:A16)+1</f>
        <v>2</v>
      </c>
      <c r="B17" s="40"/>
      <c r="C17" s="32" t="s">
        <v>23</v>
      </c>
      <c r="D17" s="33"/>
      <c r="E17" s="52" t="s">
        <v>24</v>
      </c>
      <c r="F17" s="146"/>
      <c r="G17" s="24" t="s">
        <v>7</v>
      </c>
      <c r="H17" s="36">
        <v>350.9</v>
      </c>
      <c r="I17" s="380"/>
      <c r="J17" s="36">
        <f t="shared" si="0"/>
        <v>0</v>
      </c>
    </row>
    <row r="18" spans="1:10">
      <c r="A18" s="31"/>
      <c r="B18" s="40"/>
      <c r="C18" s="32"/>
      <c r="D18" s="33"/>
      <c r="E18" s="83" t="s">
        <v>226</v>
      </c>
      <c r="F18" s="57">
        <f>261.5-2.4</f>
        <v>259.10000000000002</v>
      </c>
      <c r="G18" s="24"/>
      <c r="H18" s="36"/>
      <c r="I18" s="36"/>
      <c r="J18" s="36"/>
    </row>
    <row r="19" spans="1:10">
      <c r="A19" s="42"/>
      <c r="B19" s="40"/>
      <c r="C19" s="43"/>
      <c r="D19" s="44"/>
      <c r="E19" s="83" t="s">
        <v>251</v>
      </c>
      <c r="F19" s="103">
        <v>91.8</v>
      </c>
      <c r="G19" s="45"/>
      <c r="H19" s="46"/>
      <c r="I19" s="46"/>
      <c r="J19" s="46"/>
    </row>
    <row r="20" spans="1:10">
      <c r="A20" s="31"/>
      <c r="B20" s="50"/>
      <c r="C20" s="117"/>
      <c r="D20" s="117"/>
      <c r="E20" s="150"/>
      <c r="F20" s="84">
        <f>SUM(F18:F19)</f>
        <v>350.9</v>
      </c>
      <c r="G20" s="27"/>
      <c r="H20" s="51"/>
      <c r="I20" s="51"/>
      <c r="J20" s="51"/>
    </row>
    <row r="21" spans="1:10">
      <c r="A21" s="31"/>
      <c r="B21" s="50"/>
      <c r="C21" s="117"/>
      <c r="D21" s="117"/>
      <c r="E21" s="150"/>
      <c r="F21" s="84"/>
      <c r="G21" s="27"/>
      <c r="H21" s="51"/>
      <c r="I21" s="51"/>
      <c r="J21" s="51"/>
    </row>
    <row r="22" spans="1:10">
      <c r="A22" s="31">
        <f>MAX(A$1:A20)+1</f>
        <v>3</v>
      </c>
      <c r="B22" s="27"/>
      <c r="C22" s="32" t="s">
        <v>25</v>
      </c>
      <c r="D22" s="33"/>
      <c r="E22" s="52" t="s">
        <v>26</v>
      </c>
      <c r="F22" s="146"/>
      <c r="G22" s="24" t="s">
        <v>7</v>
      </c>
      <c r="H22" s="36">
        <v>157.5</v>
      </c>
      <c r="I22" s="380"/>
      <c r="J22" s="36">
        <f t="shared" si="0"/>
        <v>0</v>
      </c>
    </row>
    <row r="23" spans="1:10">
      <c r="A23" s="26"/>
      <c r="B23" s="27"/>
      <c r="C23" s="27"/>
      <c r="D23" s="45"/>
      <c r="E23" s="83" t="s">
        <v>252</v>
      </c>
      <c r="F23" s="84">
        <v>157.5</v>
      </c>
      <c r="G23" s="48"/>
      <c r="H23" s="49"/>
      <c r="I23" s="49"/>
      <c r="J23" s="49"/>
    </row>
    <row r="24" spans="1:10">
      <c r="A24" s="31"/>
      <c r="B24" s="50"/>
      <c r="C24" s="117"/>
      <c r="D24" s="117"/>
      <c r="E24" s="150"/>
      <c r="F24" s="84"/>
      <c r="G24" s="27"/>
      <c r="H24" s="51"/>
      <c r="I24" s="51"/>
      <c r="J24" s="51"/>
    </row>
    <row r="25" spans="1:10">
      <c r="A25" s="31"/>
      <c r="B25" s="50"/>
      <c r="C25" s="117"/>
      <c r="D25" s="117"/>
      <c r="E25" s="150"/>
      <c r="F25" s="84"/>
      <c r="G25" s="27"/>
      <c r="H25" s="51"/>
      <c r="I25" s="51"/>
      <c r="J25" s="51"/>
    </row>
    <row r="26" spans="1:10" ht="15.75">
      <c r="A26" s="26"/>
      <c r="B26" s="102" t="s">
        <v>19</v>
      </c>
      <c r="C26" s="119"/>
      <c r="D26" s="120"/>
      <c r="E26" s="52" t="s">
        <v>27</v>
      </c>
      <c r="F26" s="84"/>
      <c r="G26" s="48"/>
      <c r="H26" s="49"/>
      <c r="I26" s="49"/>
      <c r="J26" s="49"/>
    </row>
    <row r="27" spans="1:10">
      <c r="A27" s="26"/>
      <c r="B27" s="27"/>
      <c r="C27" s="27"/>
      <c r="D27" s="45"/>
      <c r="E27" s="83"/>
      <c r="F27" s="84"/>
      <c r="G27" s="48"/>
      <c r="H27" s="49"/>
      <c r="I27" s="49"/>
      <c r="J27" s="49"/>
    </row>
    <row r="28" spans="1:10">
      <c r="A28" s="31">
        <f>MAX(A$1:A26)+1</f>
        <v>4</v>
      </c>
      <c r="B28" s="27"/>
      <c r="C28" s="32" t="s">
        <v>253</v>
      </c>
      <c r="D28" s="33"/>
      <c r="E28" s="52" t="s">
        <v>254</v>
      </c>
      <c r="F28" s="146"/>
      <c r="G28" s="24" t="s">
        <v>7</v>
      </c>
      <c r="H28" s="36">
        <v>2.94</v>
      </c>
      <c r="I28" s="380"/>
      <c r="J28" s="36">
        <f t="shared" si="0"/>
        <v>0</v>
      </c>
    </row>
    <row r="29" spans="1:10">
      <c r="A29" s="26"/>
      <c r="B29" s="27"/>
      <c r="C29" s="27"/>
      <c r="D29" s="45"/>
      <c r="E29" s="151" t="s">
        <v>255</v>
      </c>
      <c r="F29" s="84"/>
      <c r="G29" s="48"/>
      <c r="H29" s="49"/>
      <c r="I29" s="49"/>
      <c r="J29" s="49"/>
    </row>
    <row r="30" spans="1:10">
      <c r="A30" s="26"/>
      <c r="B30" s="27"/>
      <c r="C30" s="27"/>
      <c r="D30" s="45"/>
      <c r="E30" s="83" t="s">
        <v>256</v>
      </c>
      <c r="F30" s="84"/>
      <c r="G30" s="48"/>
      <c r="H30" s="49"/>
      <c r="I30" s="49"/>
      <c r="J30" s="49"/>
    </row>
    <row r="31" spans="1:10">
      <c r="A31" s="26"/>
      <c r="B31" s="27"/>
      <c r="C31" s="27"/>
      <c r="D31" s="45"/>
      <c r="E31" s="83" t="s">
        <v>257</v>
      </c>
      <c r="F31" s="84">
        <f>1.15*2+0.32*2</f>
        <v>2.94</v>
      </c>
      <c r="G31" s="48"/>
      <c r="H31" s="49"/>
      <c r="I31" s="49"/>
      <c r="J31" s="49"/>
    </row>
    <row r="32" spans="1:10">
      <c r="A32" s="26"/>
      <c r="B32" s="27"/>
      <c r="C32" s="27"/>
      <c r="D32" s="45"/>
      <c r="E32" s="83"/>
      <c r="F32" s="84"/>
      <c r="G32" s="48"/>
      <c r="H32" s="49"/>
      <c r="I32" s="49"/>
      <c r="J32" s="49"/>
    </row>
    <row r="33" spans="1:10" ht="25.5">
      <c r="A33" s="31">
        <f>MAX(A$1:A32)+1</f>
        <v>5</v>
      </c>
      <c r="B33" s="27"/>
      <c r="C33" s="32" t="s">
        <v>258</v>
      </c>
      <c r="D33" s="33"/>
      <c r="E33" s="52" t="s">
        <v>259</v>
      </c>
      <c r="F33" s="146"/>
      <c r="G33" s="24" t="s">
        <v>5</v>
      </c>
      <c r="H33" s="36">
        <v>30.8</v>
      </c>
      <c r="I33" s="380"/>
      <c r="J33" s="36">
        <f t="shared" si="0"/>
        <v>0</v>
      </c>
    </row>
    <row r="34" spans="1:10" ht="25.5">
      <c r="A34" s="26"/>
      <c r="B34" s="27"/>
      <c r="C34" s="27"/>
      <c r="D34" s="55" t="s">
        <v>260</v>
      </c>
      <c r="E34" s="56" t="s">
        <v>261</v>
      </c>
      <c r="F34" s="152"/>
      <c r="G34" s="58" t="s">
        <v>5</v>
      </c>
      <c r="H34" s="59">
        <v>30.8</v>
      </c>
      <c r="I34" s="59"/>
      <c r="J34" s="59"/>
    </row>
    <row r="35" spans="1:10">
      <c r="A35" s="26"/>
      <c r="B35" s="27"/>
      <c r="C35" s="27"/>
      <c r="D35" s="55"/>
      <c r="E35" s="151" t="s">
        <v>255</v>
      </c>
      <c r="F35" s="152"/>
      <c r="G35" s="58"/>
      <c r="H35" s="59"/>
      <c r="I35" s="59"/>
      <c r="J35" s="59"/>
    </row>
    <row r="36" spans="1:10">
      <c r="A36" s="26"/>
      <c r="B36" s="27"/>
      <c r="C36" s="27"/>
      <c r="D36" s="55"/>
      <c r="E36" s="83" t="s">
        <v>262</v>
      </c>
      <c r="F36" s="152"/>
      <c r="G36" s="58"/>
      <c r="H36" s="59"/>
      <c r="I36" s="59"/>
      <c r="J36" s="59"/>
    </row>
    <row r="37" spans="1:10">
      <c r="A37" s="26"/>
      <c r="B37" s="27"/>
      <c r="C37" s="27"/>
      <c r="D37" s="55"/>
      <c r="E37" s="83" t="s">
        <v>263</v>
      </c>
      <c r="F37" s="84">
        <f>15.3+15.5</f>
        <v>30.8</v>
      </c>
      <c r="G37" s="58"/>
      <c r="H37" s="59"/>
      <c r="I37" s="59"/>
      <c r="J37" s="59"/>
    </row>
    <row r="38" spans="1:10">
      <c r="A38" s="26"/>
      <c r="B38" s="27"/>
      <c r="C38" s="27"/>
      <c r="D38" s="45"/>
      <c r="E38" s="83"/>
      <c r="F38" s="84"/>
      <c r="G38" s="48"/>
      <c r="H38" s="49"/>
      <c r="I38" s="49"/>
      <c r="J38" s="49"/>
    </row>
    <row r="39" spans="1:10" ht="38.25">
      <c r="A39" s="31">
        <f>MAX(A$1:A38)+1</f>
        <v>6</v>
      </c>
      <c r="B39" s="27"/>
      <c r="C39" s="32" t="s">
        <v>28</v>
      </c>
      <c r="D39" s="33"/>
      <c r="E39" s="52" t="s">
        <v>29</v>
      </c>
      <c r="F39" s="146"/>
      <c r="G39" s="24" t="s">
        <v>1</v>
      </c>
      <c r="H39" s="36">
        <v>552.4</v>
      </c>
      <c r="I39" s="380"/>
      <c r="J39" s="36">
        <f t="shared" si="0"/>
        <v>0</v>
      </c>
    </row>
    <row r="40" spans="1:10" ht="38.25">
      <c r="A40" s="26"/>
      <c r="B40" s="27"/>
      <c r="C40" s="27"/>
      <c r="D40" s="55" t="s">
        <v>30</v>
      </c>
      <c r="E40" s="56" t="s">
        <v>31</v>
      </c>
      <c r="F40" s="152"/>
      <c r="G40" s="58" t="s">
        <v>1</v>
      </c>
      <c r="H40" s="59">
        <v>552.4</v>
      </c>
      <c r="I40" s="59"/>
      <c r="J40" s="59"/>
    </row>
    <row r="41" spans="1:10">
      <c r="A41" s="26"/>
      <c r="B41" s="27"/>
      <c r="C41" s="27"/>
      <c r="D41" s="55"/>
      <c r="E41" s="151" t="s">
        <v>264</v>
      </c>
      <c r="F41" s="152"/>
      <c r="G41" s="58"/>
      <c r="H41" s="59"/>
      <c r="I41" s="59"/>
      <c r="J41" s="59"/>
    </row>
    <row r="42" spans="1:10">
      <c r="A42" s="26"/>
      <c r="B42" s="27"/>
      <c r="C42" s="27"/>
      <c r="D42" s="45"/>
      <c r="E42" s="83" t="s">
        <v>265</v>
      </c>
      <c r="F42" s="84">
        <v>262.39999999999998</v>
      </c>
      <c r="G42" s="48"/>
      <c r="H42" s="49"/>
      <c r="I42" s="49"/>
      <c r="J42" s="49"/>
    </row>
    <row r="43" spans="1:10">
      <c r="A43" s="26"/>
      <c r="B43" s="27"/>
      <c r="C43" s="27"/>
      <c r="D43" s="45"/>
      <c r="E43" s="83" t="s">
        <v>266</v>
      </c>
      <c r="F43" s="103">
        <v>290</v>
      </c>
      <c r="G43" s="48"/>
      <c r="H43" s="49"/>
      <c r="I43" s="49"/>
      <c r="J43" s="49"/>
    </row>
    <row r="44" spans="1:10">
      <c r="A44" s="26"/>
      <c r="B44" s="27"/>
      <c r="C44" s="27"/>
      <c r="D44" s="45"/>
      <c r="E44" s="83"/>
      <c r="F44" s="84">
        <f>SUM(F42:F43)</f>
        <v>552.4</v>
      </c>
      <c r="G44" s="48"/>
      <c r="H44" s="49"/>
      <c r="I44" s="49"/>
      <c r="J44" s="49"/>
    </row>
    <row r="45" spans="1:10">
      <c r="A45" s="26"/>
      <c r="B45" s="27"/>
      <c r="C45" s="27"/>
      <c r="D45" s="45"/>
      <c r="E45" s="83"/>
      <c r="F45" s="84"/>
      <c r="G45" s="48"/>
      <c r="H45" s="49"/>
      <c r="I45" s="49"/>
      <c r="J45" s="49"/>
    </row>
    <row r="46" spans="1:10" ht="38.25">
      <c r="A46" s="31">
        <f>MAX(A$1:A45)+1</f>
        <v>7</v>
      </c>
      <c r="B46" s="27"/>
      <c r="C46" s="32" t="s">
        <v>32</v>
      </c>
      <c r="D46" s="33"/>
      <c r="E46" s="52" t="s">
        <v>33</v>
      </c>
      <c r="F46" s="146"/>
      <c r="G46" s="24" t="s">
        <v>5</v>
      </c>
      <c r="H46" s="36">
        <v>124</v>
      </c>
      <c r="I46" s="380"/>
      <c r="J46" s="36">
        <f t="shared" si="0"/>
        <v>0</v>
      </c>
    </row>
    <row r="47" spans="1:10">
      <c r="A47" s="31"/>
      <c r="B47" s="27"/>
      <c r="C47" s="32"/>
      <c r="D47" s="33"/>
      <c r="E47" s="62" t="s">
        <v>108</v>
      </c>
      <c r="F47" s="148">
        <v>124</v>
      </c>
      <c r="G47" s="24"/>
      <c r="H47" s="49"/>
      <c r="I47" s="49"/>
      <c r="J47" s="49"/>
    </row>
    <row r="48" spans="1:10">
      <c r="A48" s="31"/>
      <c r="B48" s="27"/>
      <c r="C48" s="32"/>
      <c r="D48" s="33"/>
      <c r="E48" s="92"/>
      <c r="F48" s="148"/>
      <c r="G48" s="24"/>
      <c r="H48" s="49"/>
      <c r="I48" s="49"/>
      <c r="J48" s="49"/>
    </row>
    <row r="49" spans="1:10" ht="38.25">
      <c r="A49" s="31">
        <f>MAX(A$1:A48)+1</f>
        <v>8</v>
      </c>
      <c r="B49" s="27"/>
      <c r="C49" s="32" t="s">
        <v>267</v>
      </c>
      <c r="D49" s="33"/>
      <c r="E49" s="52" t="s">
        <v>268</v>
      </c>
      <c r="F49" s="146"/>
      <c r="G49" s="24" t="s">
        <v>7</v>
      </c>
      <c r="H49" s="36">
        <v>125.06</v>
      </c>
      <c r="I49" s="380"/>
      <c r="J49" s="36">
        <f t="shared" si="0"/>
        <v>0</v>
      </c>
    </row>
    <row r="50" spans="1:10">
      <c r="A50" s="31"/>
      <c r="B50" s="27"/>
      <c r="C50" s="32"/>
      <c r="D50" s="33"/>
      <c r="E50" s="151" t="s">
        <v>269</v>
      </c>
      <c r="F50" s="148"/>
      <c r="G50" s="24"/>
      <c r="H50" s="49"/>
      <c r="I50" s="49"/>
      <c r="J50" s="49"/>
    </row>
    <row r="51" spans="1:10">
      <c r="A51" s="31"/>
      <c r="B51" s="27"/>
      <c r="C51" s="32"/>
      <c r="D51" s="33"/>
      <c r="E51" s="92" t="s">
        <v>270</v>
      </c>
      <c r="F51" s="148"/>
      <c r="G51" s="24"/>
      <c r="H51" s="49"/>
      <c r="I51" s="49"/>
      <c r="J51" s="49"/>
    </row>
    <row r="52" spans="1:10">
      <c r="A52" s="31"/>
      <c r="B52" s="27"/>
      <c r="C52" s="32"/>
      <c r="D52" s="33"/>
      <c r="E52" s="92" t="s">
        <v>271</v>
      </c>
      <c r="F52" s="148">
        <f>95+71.9*0.3+28.3*0.3</f>
        <v>125.06</v>
      </c>
      <c r="G52" s="24"/>
      <c r="H52" s="49"/>
      <c r="I52" s="49"/>
      <c r="J52" s="49"/>
    </row>
    <row r="53" spans="1:10">
      <c r="A53" s="31"/>
      <c r="B53" s="27"/>
      <c r="C53" s="32"/>
      <c r="D53" s="33"/>
      <c r="E53" s="92"/>
      <c r="F53" s="148"/>
      <c r="G53" s="24"/>
      <c r="H53" s="49"/>
      <c r="I53" s="49"/>
      <c r="J53" s="49"/>
    </row>
    <row r="54" spans="1:10">
      <c r="A54" s="26"/>
      <c r="B54" s="27"/>
      <c r="C54" s="27"/>
      <c r="D54" s="45"/>
      <c r="E54" s="83"/>
      <c r="F54" s="84"/>
      <c r="G54" s="48"/>
      <c r="H54" s="49"/>
      <c r="I54" s="49"/>
      <c r="J54" s="49"/>
    </row>
    <row r="55" spans="1:10">
      <c r="A55" s="31">
        <f>MAX(A$1:A54)+1</f>
        <v>9</v>
      </c>
      <c r="B55" s="27"/>
      <c r="C55" s="32" t="s">
        <v>34</v>
      </c>
      <c r="D55" s="33"/>
      <c r="E55" s="52" t="s">
        <v>35</v>
      </c>
      <c r="F55" s="146"/>
      <c r="G55" s="24" t="s">
        <v>0</v>
      </c>
      <c r="H55" s="36">
        <v>555.19000000000005</v>
      </c>
      <c r="I55" s="380"/>
      <c r="J55" s="36">
        <f t="shared" si="0"/>
        <v>0</v>
      </c>
    </row>
    <row r="56" spans="1:10">
      <c r="A56" s="26"/>
      <c r="B56" s="27"/>
      <c r="C56" s="27"/>
      <c r="D56" s="55" t="s">
        <v>36</v>
      </c>
      <c r="E56" s="56" t="s">
        <v>37</v>
      </c>
      <c r="F56" s="152"/>
      <c r="G56" s="58" t="s">
        <v>0</v>
      </c>
      <c r="H56" s="59">
        <v>555.19000000000005</v>
      </c>
      <c r="I56" s="59"/>
      <c r="J56" s="59"/>
    </row>
    <row r="57" spans="1:10">
      <c r="A57" s="26"/>
      <c r="B57" s="27"/>
      <c r="C57" s="27"/>
      <c r="D57" s="55"/>
      <c r="E57" s="92" t="s">
        <v>248</v>
      </c>
      <c r="F57" s="148">
        <f>2.94*2.2</f>
        <v>6.47</v>
      </c>
      <c r="G57" s="58"/>
      <c r="H57" s="59"/>
      <c r="I57" s="59"/>
      <c r="J57" s="59"/>
    </row>
    <row r="58" spans="1:10">
      <c r="A58" s="26"/>
      <c r="B58" s="27"/>
      <c r="C58" s="27"/>
      <c r="D58" s="55"/>
      <c r="E58" s="92" t="s">
        <v>272</v>
      </c>
      <c r="F58" s="148">
        <f>30.8*0.239</f>
        <v>7.36</v>
      </c>
      <c r="G58" s="58"/>
      <c r="H58" s="59"/>
      <c r="I58" s="59"/>
      <c r="J58" s="59"/>
    </row>
    <row r="59" spans="1:10">
      <c r="A59" s="26"/>
      <c r="B59" s="27"/>
      <c r="C59" s="27"/>
      <c r="D59" s="55"/>
      <c r="E59" s="92" t="s">
        <v>249</v>
      </c>
      <c r="F59" s="148">
        <f>552.4*0.235</f>
        <v>129.81</v>
      </c>
      <c r="G59" s="58"/>
      <c r="H59" s="59"/>
      <c r="I59" s="59"/>
      <c r="J59" s="59"/>
    </row>
    <row r="60" spans="1:10">
      <c r="A60" s="26"/>
      <c r="B60" s="27"/>
      <c r="C60" s="27"/>
      <c r="D60" s="55"/>
      <c r="E60" s="92" t="s">
        <v>273</v>
      </c>
      <c r="F60" s="148">
        <f>124*0.042</f>
        <v>5.21</v>
      </c>
      <c r="G60" s="58"/>
      <c r="H60" s="59"/>
      <c r="I60" s="59"/>
      <c r="J60" s="59"/>
    </row>
    <row r="61" spans="1:10">
      <c r="A61" s="26"/>
      <c r="B61" s="27"/>
      <c r="C61" s="27"/>
      <c r="D61" s="55"/>
      <c r="E61" s="92" t="s">
        <v>250</v>
      </c>
      <c r="F61" s="148">
        <f>125.06*2.6</f>
        <v>325.16000000000003</v>
      </c>
      <c r="G61" s="58"/>
      <c r="H61" s="59"/>
      <c r="I61" s="59"/>
      <c r="J61" s="59"/>
    </row>
    <row r="62" spans="1:10">
      <c r="A62" s="26"/>
      <c r="B62" s="27"/>
      <c r="C62" s="27"/>
      <c r="D62" s="55"/>
      <c r="E62" s="92" t="s">
        <v>274</v>
      </c>
      <c r="F62" s="148">
        <f>242.3*0.076</f>
        <v>18.41</v>
      </c>
      <c r="G62" s="58"/>
      <c r="H62" s="59"/>
      <c r="I62" s="59"/>
      <c r="J62" s="59"/>
    </row>
    <row r="63" spans="1:10">
      <c r="A63" s="26"/>
      <c r="B63" s="27"/>
      <c r="C63" s="27"/>
      <c r="D63" s="55"/>
      <c r="E63" s="92" t="s">
        <v>275</v>
      </c>
      <c r="F63" s="149">
        <f>494.2*0.127</f>
        <v>62.76</v>
      </c>
      <c r="G63" s="58"/>
      <c r="H63" s="59"/>
      <c r="I63" s="59"/>
      <c r="J63" s="59"/>
    </row>
    <row r="64" spans="1:10">
      <c r="A64" s="26"/>
      <c r="B64" s="27"/>
      <c r="C64" s="27"/>
      <c r="D64" s="55"/>
      <c r="E64" s="92"/>
      <c r="F64" s="148">
        <f>SUM(F57:F63)</f>
        <v>555.17999999999995</v>
      </c>
      <c r="G64" s="58"/>
      <c r="H64" s="59"/>
      <c r="I64" s="59"/>
      <c r="J64" s="59"/>
    </row>
    <row r="65" spans="1:10">
      <c r="A65" s="26"/>
      <c r="B65" s="27"/>
      <c r="C65" s="27"/>
      <c r="D65" s="45"/>
      <c r="E65" s="83"/>
      <c r="F65" s="84"/>
      <c r="G65" s="48"/>
      <c r="H65" s="49"/>
      <c r="I65" s="49"/>
      <c r="J65" s="49"/>
    </row>
    <row r="66" spans="1:10" ht="25.5">
      <c r="A66" s="31">
        <f>MAX(A$1:A65)+1</f>
        <v>10</v>
      </c>
      <c r="B66" s="27"/>
      <c r="C66" s="32" t="s">
        <v>38</v>
      </c>
      <c r="D66" s="33"/>
      <c r="E66" s="52" t="s">
        <v>39</v>
      </c>
      <c r="F66" s="146"/>
      <c r="G66" s="24" t="s">
        <v>1</v>
      </c>
      <c r="H66" s="36">
        <v>736.5</v>
      </c>
      <c r="I66" s="380"/>
      <c r="J66" s="36">
        <f t="shared" si="0"/>
        <v>0</v>
      </c>
    </row>
    <row r="67" spans="1:10" ht="25.5">
      <c r="A67" s="31"/>
      <c r="B67" s="27"/>
      <c r="C67" s="32"/>
      <c r="D67" s="55" t="s">
        <v>276</v>
      </c>
      <c r="E67" s="56" t="s">
        <v>277</v>
      </c>
      <c r="F67" s="152"/>
      <c r="G67" s="58" t="s">
        <v>1</v>
      </c>
      <c r="H67" s="59">
        <v>242.3</v>
      </c>
      <c r="I67" s="59"/>
      <c r="J67" s="59"/>
    </row>
    <row r="68" spans="1:10">
      <c r="A68" s="31"/>
      <c r="B68" s="27"/>
      <c r="C68" s="32"/>
      <c r="D68" s="33"/>
      <c r="E68" s="151" t="s">
        <v>278</v>
      </c>
      <c r="F68" s="146"/>
      <c r="G68" s="24"/>
      <c r="H68" s="36"/>
      <c r="I68" s="36"/>
      <c r="J68" s="36"/>
    </row>
    <row r="69" spans="1:10">
      <c r="A69" s="31"/>
      <c r="B69" s="27"/>
      <c r="C69" s="32"/>
      <c r="D69" s="33"/>
      <c r="E69" s="83" t="s">
        <v>279</v>
      </c>
      <c r="F69" s="84"/>
      <c r="G69" s="24"/>
      <c r="H69" s="36"/>
      <c r="I69" s="36"/>
      <c r="J69" s="36"/>
    </row>
    <row r="70" spans="1:10">
      <c r="A70" s="31"/>
      <c r="B70" s="27"/>
      <c r="C70" s="32"/>
      <c r="D70" s="33"/>
      <c r="E70" s="83" t="s">
        <v>280</v>
      </c>
      <c r="F70" s="84">
        <v>242.3</v>
      </c>
      <c r="G70" s="24"/>
      <c r="H70" s="36"/>
      <c r="I70" s="36"/>
      <c r="J70" s="36"/>
    </row>
    <row r="71" spans="1:10" ht="25.5">
      <c r="A71" s="26"/>
      <c r="B71" s="27"/>
      <c r="C71" s="27"/>
      <c r="D71" s="55" t="s">
        <v>139</v>
      </c>
      <c r="E71" s="56" t="s">
        <v>140</v>
      </c>
      <c r="F71" s="152"/>
      <c r="G71" s="58" t="s">
        <v>1</v>
      </c>
      <c r="H71" s="59">
        <v>494.2</v>
      </c>
      <c r="I71" s="59"/>
      <c r="J71" s="59"/>
    </row>
    <row r="72" spans="1:10">
      <c r="A72" s="26"/>
      <c r="B72" s="27"/>
      <c r="C72" s="27"/>
      <c r="D72" s="55"/>
      <c r="E72" s="83" t="s">
        <v>141</v>
      </c>
      <c r="F72" s="152"/>
      <c r="G72" s="58"/>
      <c r="H72" s="59"/>
      <c r="I72" s="59"/>
      <c r="J72" s="59"/>
    </row>
    <row r="73" spans="1:10">
      <c r="A73" s="26"/>
      <c r="B73" s="27"/>
      <c r="C73" s="27"/>
      <c r="D73" s="55"/>
      <c r="E73" s="83" t="s">
        <v>281</v>
      </c>
      <c r="F73" s="84">
        <v>17.600000000000001</v>
      </c>
      <c r="G73" s="58"/>
      <c r="H73" s="59"/>
      <c r="I73" s="59"/>
      <c r="J73" s="59"/>
    </row>
    <row r="74" spans="1:10">
      <c r="A74" s="26"/>
      <c r="B74" s="27"/>
      <c r="C74" s="27"/>
      <c r="D74" s="55"/>
      <c r="E74" s="151" t="s">
        <v>282</v>
      </c>
      <c r="F74" s="152"/>
      <c r="G74" s="58"/>
      <c r="H74" s="59"/>
      <c r="I74" s="59"/>
      <c r="J74" s="59"/>
    </row>
    <row r="75" spans="1:10">
      <c r="A75" s="26"/>
      <c r="B75" s="27"/>
      <c r="C75" s="27"/>
      <c r="D75" s="55"/>
      <c r="E75" s="83" t="s">
        <v>283</v>
      </c>
      <c r="F75" s="84">
        <v>234.3</v>
      </c>
      <c r="G75" s="58"/>
      <c r="H75" s="49"/>
      <c r="I75" s="49"/>
      <c r="J75" s="49"/>
    </row>
    <row r="76" spans="1:10">
      <c r="A76" s="26"/>
      <c r="B76" s="27"/>
      <c r="C76" s="27"/>
      <c r="D76" s="55"/>
      <c r="E76" s="151" t="s">
        <v>278</v>
      </c>
      <c r="F76" s="84"/>
      <c r="G76" s="58"/>
      <c r="H76" s="49"/>
      <c r="I76" s="49"/>
      <c r="J76" s="49"/>
    </row>
    <row r="77" spans="1:10">
      <c r="A77" s="26"/>
      <c r="B77" s="27"/>
      <c r="C77" s="27"/>
      <c r="D77" s="55"/>
      <c r="E77" s="83" t="s">
        <v>284</v>
      </c>
      <c r="F77" s="103">
        <v>242.3</v>
      </c>
      <c r="G77" s="58"/>
      <c r="H77" s="49"/>
      <c r="I77" s="49"/>
      <c r="J77" s="49"/>
    </row>
    <row r="78" spans="1:10">
      <c r="A78" s="26"/>
      <c r="B78" s="27"/>
      <c r="C78" s="27"/>
      <c r="D78" s="55"/>
      <c r="E78" s="83"/>
      <c r="F78" s="84">
        <f>SUM(F73:F77)</f>
        <v>494.2</v>
      </c>
      <c r="G78" s="58"/>
      <c r="H78" s="49"/>
      <c r="I78" s="49"/>
      <c r="J78" s="49"/>
    </row>
    <row r="79" spans="1:10">
      <c r="A79" s="26"/>
      <c r="B79" s="27"/>
      <c r="C79" s="27"/>
      <c r="D79" s="55"/>
      <c r="E79" s="56"/>
      <c r="F79" s="84"/>
      <c r="G79" s="58"/>
      <c r="H79" s="59"/>
      <c r="I79" s="59"/>
      <c r="J79" s="59"/>
    </row>
    <row r="80" spans="1:10" ht="25.5">
      <c r="A80" s="31">
        <f>MAX(A$1:A79)+1</f>
        <v>11</v>
      </c>
      <c r="B80" s="27"/>
      <c r="C80" s="32" t="s">
        <v>40</v>
      </c>
      <c r="D80" s="33"/>
      <c r="E80" s="52" t="s">
        <v>41</v>
      </c>
      <c r="F80" s="146"/>
      <c r="G80" s="24" t="s">
        <v>5</v>
      </c>
      <c r="H80" s="36">
        <v>37.1</v>
      </c>
      <c r="I80" s="380"/>
      <c r="J80" s="36">
        <f t="shared" ref="J80:J132" si="1">I80*H80</f>
        <v>0</v>
      </c>
    </row>
    <row r="81" spans="1:12" ht="25.5">
      <c r="A81" s="26"/>
      <c r="B81" s="27"/>
      <c r="C81" s="32"/>
      <c r="D81" s="55" t="s">
        <v>42</v>
      </c>
      <c r="E81" s="56" t="s">
        <v>43</v>
      </c>
      <c r="F81" s="152"/>
      <c r="G81" s="58" t="s">
        <v>5</v>
      </c>
      <c r="H81" s="59">
        <v>37.1</v>
      </c>
      <c r="I81" s="59"/>
      <c r="J81" s="59"/>
    </row>
    <row r="82" spans="1:12">
      <c r="A82" s="26"/>
      <c r="B82" s="27"/>
      <c r="C82" s="32"/>
      <c r="D82" s="55"/>
      <c r="E82" s="151" t="s">
        <v>142</v>
      </c>
      <c r="F82" s="152"/>
      <c r="G82" s="58"/>
      <c r="H82" s="59"/>
      <c r="I82" s="59"/>
      <c r="J82" s="59"/>
    </row>
    <row r="83" spans="1:12">
      <c r="A83" s="26"/>
      <c r="B83" s="27"/>
      <c r="C83" s="32"/>
      <c r="D83" s="55"/>
      <c r="E83" s="62" t="s">
        <v>143</v>
      </c>
      <c r="F83" s="84"/>
      <c r="G83" s="58"/>
      <c r="H83" s="59"/>
      <c r="I83" s="59"/>
      <c r="J83" s="59"/>
    </row>
    <row r="84" spans="1:12">
      <c r="A84" s="26"/>
      <c r="B84" s="27"/>
      <c r="C84" s="32"/>
      <c r="D84" s="55"/>
      <c r="E84" s="62" t="s">
        <v>285</v>
      </c>
      <c r="F84" s="84">
        <v>37.1</v>
      </c>
      <c r="G84" s="58"/>
      <c r="H84" s="59"/>
      <c r="I84" s="59"/>
      <c r="J84" s="59"/>
    </row>
    <row r="85" spans="1:12">
      <c r="A85" s="26"/>
      <c r="B85" s="27"/>
      <c r="C85" s="32"/>
      <c r="D85" s="33"/>
      <c r="E85" s="83"/>
      <c r="F85" s="84"/>
      <c r="G85" s="24"/>
      <c r="H85" s="49"/>
      <c r="I85" s="49"/>
      <c r="J85" s="49"/>
    </row>
    <row r="86" spans="1:12">
      <c r="A86" s="26"/>
      <c r="B86" s="27"/>
      <c r="C86" s="32"/>
      <c r="D86" s="33"/>
      <c r="E86" s="52"/>
      <c r="F86" s="84"/>
      <c r="G86" s="24"/>
      <c r="H86" s="49"/>
      <c r="I86" s="49"/>
      <c r="J86" s="49"/>
    </row>
    <row r="87" spans="1:12">
      <c r="A87" s="26"/>
      <c r="B87" s="121" t="s">
        <v>44</v>
      </c>
      <c r="C87" s="75"/>
      <c r="D87" s="33"/>
      <c r="E87" s="128" t="s">
        <v>45</v>
      </c>
      <c r="F87" s="158"/>
      <c r="G87" s="48"/>
      <c r="H87" s="49"/>
      <c r="I87" s="49"/>
      <c r="J87" s="49"/>
    </row>
    <row r="88" spans="1:12">
      <c r="A88" s="26"/>
      <c r="B88" s="27"/>
      <c r="C88" s="27"/>
      <c r="D88" s="45"/>
      <c r="E88" s="154"/>
      <c r="F88" s="84"/>
      <c r="G88" s="48"/>
      <c r="H88" s="49"/>
      <c r="I88" s="49"/>
      <c r="J88" s="49"/>
    </row>
    <row r="89" spans="1:12">
      <c r="A89" s="31">
        <f>MAX(A$1:A88)+1</f>
        <v>12</v>
      </c>
      <c r="B89" s="27"/>
      <c r="C89" s="32" t="s">
        <v>46</v>
      </c>
      <c r="D89" s="33"/>
      <c r="E89" s="52" t="s">
        <v>47</v>
      </c>
      <c r="F89" s="146"/>
      <c r="G89" s="24" t="s">
        <v>1</v>
      </c>
      <c r="H89" s="36">
        <v>701.33</v>
      </c>
      <c r="I89" s="380"/>
      <c r="J89" s="36">
        <f t="shared" si="1"/>
        <v>0</v>
      </c>
    </row>
    <row r="90" spans="1:12">
      <c r="A90" s="26"/>
      <c r="B90" s="27"/>
      <c r="C90" s="54"/>
      <c r="D90" s="55" t="s">
        <v>48</v>
      </c>
      <c r="E90" s="56" t="s">
        <v>49</v>
      </c>
      <c r="F90" s="152"/>
      <c r="G90" s="58" t="s">
        <v>1</v>
      </c>
      <c r="H90" s="59">
        <v>701.33</v>
      </c>
      <c r="I90" s="59"/>
      <c r="J90" s="59"/>
    </row>
    <row r="91" spans="1:12">
      <c r="A91" s="26"/>
      <c r="B91" s="27"/>
      <c r="C91" s="27"/>
      <c r="D91" s="45"/>
      <c r="E91" s="153" t="s">
        <v>109</v>
      </c>
      <c r="F91" s="84"/>
      <c r="G91" s="48"/>
      <c r="H91" s="49"/>
      <c r="I91" s="49"/>
      <c r="J91" s="49"/>
      <c r="L91" s="137"/>
    </row>
    <row r="92" spans="1:12">
      <c r="A92" s="26"/>
      <c r="B92" s="27"/>
      <c r="C92" s="27"/>
      <c r="D92" s="45"/>
      <c r="E92" s="154" t="s">
        <v>110</v>
      </c>
      <c r="F92" s="84"/>
      <c r="G92" s="48"/>
      <c r="H92" s="49"/>
      <c r="I92" s="49"/>
      <c r="J92" s="49"/>
    </row>
    <row r="93" spans="1:12">
      <c r="A93" s="26"/>
      <c r="B93" s="27"/>
      <c r="C93" s="27"/>
      <c r="D93" s="45"/>
      <c r="E93" s="154" t="s">
        <v>286</v>
      </c>
      <c r="F93" s="84">
        <f>52.6/0.15*2</f>
        <v>701.33</v>
      </c>
      <c r="G93" s="48"/>
      <c r="H93" s="49"/>
      <c r="I93" s="49"/>
      <c r="J93" s="49"/>
    </row>
    <row r="94" spans="1:12">
      <c r="A94" s="26"/>
      <c r="B94" s="27"/>
      <c r="C94" s="27"/>
      <c r="D94" s="45"/>
      <c r="E94" s="154"/>
      <c r="F94" s="84"/>
      <c r="G94" s="48"/>
      <c r="H94" s="49"/>
      <c r="I94" s="49"/>
      <c r="J94" s="49"/>
    </row>
    <row r="95" spans="1:12">
      <c r="A95" s="31">
        <f>MAX(A$1:A94)+1</f>
        <v>13</v>
      </c>
      <c r="B95" s="27"/>
      <c r="C95" s="32" t="s">
        <v>50</v>
      </c>
      <c r="D95" s="33"/>
      <c r="E95" s="52" t="s">
        <v>51</v>
      </c>
      <c r="F95" s="146"/>
      <c r="G95" s="24" t="s">
        <v>7</v>
      </c>
      <c r="H95" s="36">
        <v>52.6</v>
      </c>
      <c r="I95" s="380"/>
      <c r="J95" s="36">
        <f t="shared" si="1"/>
        <v>0</v>
      </c>
    </row>
    <row r="96" spans="1:12">
      <c r="A96" s="26"/>
      <c r="B96" s="27"/>
      <c r="C96" s="54"/>
      <c r="D96" s="55" t="s">
        <v>52</v>
      </c>
      <c r="E96" s="56" t="s">
        <v>53</v>
      </c>
      <c r="F96" s="152"/>
      <c r="G96" s="58" t="s">
        <v>7</v>
      </c>
      <c r="H96" s="59">
        <v>52.6</v>
      </c>
      <c r="I96" s="59"/>
      <c r="J96" s="59"/>
    </row>
    <row r="97" spans="1:10">
      <c r="A97" s="26"/>
      <c r="B97" s="27"/>
      <c r="C97" s="27"/>
      <c r="D97" s="45"/>
      <c r="E97" s="153" t="s">
        <v>111</v>
      </c>
      <c r="F97" s="84"/>
      <c r="G97" s="48"/>
      <c r="H97" s="49"/>
      <c r="I97" s="49"/>
      <c r="J97" s="49"/>
    </row>
    <row r="98" spans="1:10">
      <c r="A98" s="26"/>
      <c r="B98" s="27"/>
      <c r="C98" s="27"/>
      <c r="D98" s="45"/>
      <c r="E98" s="154" t="s">
        <v>287</v>
      </c>
      <c r="F98" s="84">
        <f>350.666*0.15</f>
        <v>52.6</v>
      </c>
      <c r="G98" s="48"/>
      <c r="H98" s="49"/>
      <c r="I98" s="49"/>
      <c r="J98" s="49"/>
    </row>
    <row r="99" spans="1:10">
      <c r="A99" s="26"/>
      <c r="B99" s="27"/>
      <c r="C99" s="27"/>
      <c r="D99" s="45"/>
      <c r="E99" s="154"/>
      <c r="F99" s="84"/>
      <c r="G99" s="48"/>
      <c r="H99" s="49"/>
      <c r="I99" s="49"/>
      <c r="J99" s="49"/>
    </row>
    <row r="100" spans="1:10">
      <c r="A100" s="31">
        <f>MAX(A$1:A99)+1</f>
        <v>14</v>
      </c>
      <c r="B100" s="27"/>
      <c r="C100" s="32" t="s">
        <v>54</v>
      </c>
      <c r="D100" s="33"/>
      <c r="E100" s="52" t="s">
        <v>55</v>
      </c>
      <c r="F100" s="146"/>
      <c r="G100" s="24" t="s">
        <v>7</v>
      </c>
      <c r="H100" s="36">
        <v>52.6</v>
      </c>
      <c r="I100" s="380"/>
      <c r="J100" s="36">
        <f t="shared" si="1"/>
        <v>0</v>
      </c>
    </row>
    <row r="101" spans="1:10" ht="25.5">
      <c r="A101" s="26"/>
      <c r="B101" s="27"/>
      <c r="C101" s="27"/>
      <c r="D101" s="55" t="s">
        <v>56</v>
      </c>
      <c r="E101" s="56" t="s">
        <v>57</v>
      </c>
      <c r="F101" s="152"/>
      <c r="G101" s="58" t="s">
        <v>7</v>
      </c>
      <c r="H101" s="59">
        <v>52.6</v>
      </c>
      <c r="I101" s="59"/>
      <c r="J101" s="59"/>
    </row>
    <row r="102" spans="1:10">
      <c r="A102" s="26"/>
      <c r="B102" s="27"/>
      <c r="C102" s="27"/>
      <c r="D102" s="45"/>
      <c r="E102" s="153" t="s">
        <v>124</v>
      </c>
      <c r="F102" s="84"/>
      <c r="G102" s="48"/>
      <c r="H102" s="49"/>
      <c r="I102" s="49"/>
      <c r="J102" s="49"/>
    </row>
    <row r="103" spans="1:10">
      <c r="A103" s="26"/>
      <c r="B103" s="27"/>
      <c r="C103" s="27"/>
      <c r="D103" s="45"/>
      <c r="E103" s="154" t="s">
        <v>287</v>
      </c>
      <c r="F103" s="84">
        <f>350.666*0.15</f>
        <v>52.6</v>
      </c>
      <c r="G103" s="48"/>
      <c r="H103" s="49"/>
      <c r="I103" s="49"/>
      <c r="J103" s="49"/>
    </row>
    <row r="104" spans="1:10">
      <c r="A104" s="26"/>
      <c r="B104" s="27"/>
      <c r="C104" s="27"/>
      <c r="D104" s="45"/>
      <c r="E104" s="154"/>
      <c r="F104" s="84"/>
      <c r="G104" s="48"/>
      <c r="H104" s="49"/>
      <c r="I104" s="49"/>
      <c r="J104" s="49"/>
    </row>
    <row r="105" spans="1:10">
      <c r="A105" s="31">
        <f>MAX(A$1:A104)+1</f>
        <v>15</v>
      </c>
      <c r="B105" s="27"/>
      <c r="C105" s="32" t="s">
        <v>58</v>
      </c>
      <c r="D105" s="33"/>
      <c r="E105" s="52" t="s">
        <v>59</v>
      </c>
      <c r="F105" s="146"/>
      <c r="G105" s="24" t="s">
        <v>7</v>
      </c>
      <c r="H105" s="36">
        <v>52.6</v>
      </c>
      <c r="I105" s="380"/>
      <c r="J105" s="36">
        <f t="shared" si="1"/>
        <v>0</v>
      </c>
    </row>
    <row r="106" spans="1:10" ht="25.5">
      <c r="A106" s="26"/>
      <c r="B106" s="27"/>
      <c r="C106" s="54"/>
      <c r="D106" s="55" t="s">
        <v>60</v>
      </c>
      <c r="E106" s="56" t="s">
        <v>61</v>
      </c>
      <c r="F106" s="152"/>
      <c r="G106" s="58" t="s">
        <v>7</v>
      </c>
      <c r="H106" s="59">
        <v>52.6</v>
      </c>
      <c r="I106" s="59"/>
      <c r="J106" s="59"/>
    </row>
    <row r="107" spans="1:10">
      <c r="A107" s="26"/>
      <c r="B107" s="27"/>
      <c r="C107" s="27"/>
      <c r="D107" s="45"/>
      <c r="E107" s="154" t="s">
        <v>131</v>
      </c>
      <c r="F107" s="84"/>
      <c r="G107" s="48"/>
      <c r="H107" s="49"/>
      <c r="I107" s="49"/>
      <c r="J107" s="49"/>
    </row>
    <row r="108" spans="1:10">
      <c r="A108" s="26"/>
      <c r="B108" s="27"/>
      <c r="C108" s="27"/>
      <c r="D108" s="45"/>
      <c r="E108" s="154" t="s">
        <v>288</v>
      </c>
      <c r="F108" s="84">
        <v>52.6</v>
      </c>
      <c r="G108" s="48"/>
      <c r="H108" s="49"/>
      <c r="I108" s="49"/>
      <c r="J108" s="49"/>
    </row>
    <row r="109" spans="1:10">
      <c r="A109" s="26"/>
      <c r="B109" s="27"/>
      <c r="C109" s="27"/>
      <c r="D109" s="45"/>
      <c r="E109" s="154"/>
      <c r="F109" s="84"/>
      <c r="G109" s="48"/>
      <c r="H109" s="49"/>
      <c r="I109" s="49"/>
      <c r="J109" s="49"/>
    </row>
    <row r="110" spans="1:10">
      <c r="A110" s="69"/>
      <c r="B110" s="70"/>
      <c r="C110" s="71"/>
      <c r="D110" s="72"/>
      <c r="E110" s="83"/>
      <c r="F110" s="84"/>
      <c r="G110" s="45"/>
      <c r="H110" s="46"/>
      <c r="I110" s="46"/>
      <c r="J110" s="46"/>
    </row>
    <row r="111" spans="1:10">
      <c r="A111" s="73"/>
      <c r="B111" s="121" t="s">
        <v>82</v>
      </c>
      <c r="C111" s="75"/>
      <c r="D111" s="33"/>
      <c r="E111" s="52" t="s">
        <v>83</v>
      </c>
      <c r="F111" s="145"/>
      <c r="G111" s="24"/>
      <c r="H111" s="76"/>
      <c r="I111" s="76"/>
      <c r="J111" s="76"/>
    </row>
    <row r="112" spans="1:10">
      <c r="A112" s="73"/>
      <c r="B112" s="74"/>
      <c r="C112" s="75"/>
      <c r="D112" s="33"/>
      <c r="E112" s="52"/>
      <c r="F112" s="145"/>
      <c r="G112" s="24"/>
      <c r="H112" s="76"/>
      <c r="I112" s="76"/>
      <c r="J112" s="76"/>
    </row>
    <row r="113" spans="1:10">
      <c r="A113" s="31">
        <f>MAX(A$1:A112)+1</f>
        <v>16</v>
      </c>
      <c r="B113" s="50"/>
      <c r="C113" s="32" t="s">
        <v>289</v>
      </c>
      <c r="D113" s="54"/>
      <c r="E113" s="52" t="s">
        <v>290</v>
      </c>
      <c r="F113" s="146"/>
      <c r="G113" s="24" t="s">
        <v>7</v>
      </c>
      <c r="H113" s="30">
        <v>143.1</v>
      </c>
      <c r="I113" s="379"/>
      <c r="J113" s="30">
        <f t="shared" si="1"/>
        <v>0</v>
      </c>
    </row>
    <row r="114" spans="1:10" ht="25.5">
      <c r="A114" s="31"/>
      <c r="B114" s="50"/>
      <c r="C114" s="33"/>
      <c r="D114" s="55" t="s">
        <v>291</v>
      </c>
      <c r="E114" s="56" t="s">
        <v>292</v>
      </c>
      <c r="F114" s="152"/>
      <c r="G114" s="58" t="s">
        <v>7</v>
      </c>
      <c r="H114" s="79">
        <v>143.1</v>
      </c>
      <c r="I114" s="79"/>
      <c r="J114" s="79"/>
    </row>
    <row r="115" spans="1:10">
      <c r="A115" s="73"/>
      <c r="B115" s="74"/>
      <c r="C115" s="75"/>
      <c r="D115" s="33"/>
      <c r="E115" s="92" t="s">
        <v>293</v>
      </c>
      <c r="F115" s="145"/>
      <c r="G115" s="24"/>
      <c r="H115" s="76"/>
      <c r="I115" s="76"/>
      <c r="J115" s="76"/>
    </row>
    <row r="116" spans="1:10">
      <c r="A116" s="73"/>
      <c r="B116" s="74"/>
      <c r="C116" s="75"/>
      <c r="D116" s="33"/>
      <c r="E116" s="92" t="s">
        <v>294</v>
      </c>
      <c r="F116" s="84">
        <v>143.1</v>
      </c>
      <c r="G116" s="24"/>
      <c r="H116" s="76"/>
      <c r="I116" s="76"/>
      <c r="J116" s="76"/>
    </row>
    <row r="117" spans="1:10">
      <c r="A117" s="73"/>
      <c r="B117" s="74"/>
      <c r="C117" s="75"/>
      <c r="D117" s="33"/>
      <c r="E117" s="52"/>
      <c r="F117" s="145"/>
      <c r="G117" s="24"/>
      <c r="H117" s="76"/>
      <c r="I117" s="76"/>
      <c r="J117" s="76"/>
    </row>
    <row r="118" spans="1:10">
      <c r="A118" s="31">
        <f>MAX(A$1:A117)+1</f>
        <v>17</v>
      </c>
      <c r="B118" s="78"/>
      <c r="C118" s="32" t="s">
        <v>74</v>
      </c>
      <c r="D118" s="54"/>
      <c r="E118" s="52" t="s">
        <v>75</v>
      </c>
      <c r="F118" s="146"/>
      <c r="G118" s="24" t="s">
        <v>7</v>
      </c>
      <c r="H118" s="30">
        <v>873.6</v>
      </c>
      <c r="I118" s="379"/>
      <c r="J118" s="30">
        <f t="shared" si="1"/>
        <v>0</v>
      </c>
    </row>
    <row r="119" spans="1:10" ht="25.5">
      <c r="A119" s="26"/>
      <c r="B119" s="78"/>
      <c r="C119" s="54"/>
      <c r="D119" s="54" t="s">
        <v>76</v>
      </c>
      <c r="E119" s="56" t="s">
        <v>77</v>
      </c>
      <c r="F119" s="152"/>
      <c r="G119" s="58" t="s">
        <v>7</v>
      </c>
      <c r="H119" s="79">
        <v>873.6</v>
      </c>
      <c r="I119" s="79"/>
      <c r="J119" s="79"/>
    </row>
    <row r="120" spans="1:10">
      <c r="A120" s="31"/>
      <c r="B120" s="27"/>
      <c r="C120" s="54"/>
      <c r="D120" s="55"/>
      <c r="E120" s="83" t="s">
        <v>112</v>
      </c>
      <c r="F120" s="155"/>
      <c r="G120" s="58"/>
      <c r="H120" s="49"/>
      <c r="I120" s="49"/>
      <c r="J120" s="49"/>
    </row>
    <row r="121" spans="1:10">
      <c r="A121" s="73"/>
      <c r="B121" s="74"/>
      <c r="C121" s="75"/>
      <c r="D121" s="33"/>
      <c r="E121" s="92" t="s">
        <v>295</v>
      </c>
      <c r="F121" s="47">
        <v>2.4</v>
      </c>
      <c r="G121" s="24"/>
      <c r="H121" s="76"/>
      <c r="I121" s="76"/>
      <c r="J121" s="76"/>
    </row>
    <row r="122" spans="1:10">
      <c r="A122" s="73"/>
      <c r="B122" s="74"/>
      <c r="C122" s="75"/>
      <c r="D122" s="33"/>
      <c r="E122" s="92" t="s">
        <v>296</v>
      </c>
      <c r="F122" s="156">
        <v>157.5</v>
      </c>
      <c r="G122" s="24"/>
      <c r="H122" s="76"/>
      <c r="I122" s="76"/>
      <c r="J122" s="76"/>
    </row>
    <row r="123" spans="1:10">
      <c r="A123" s="73"/>
      <c r="B123" s="74"/>
      <c r="C123" s="75"/>
      <c r="D123" s="33"/>
      <c r="E123" s="92"/>
      <c r="F123" s="84">
        <f>SUM(F121:F122)</f>
        <v>159.9</v>
      </c>
      <c r="G123" s="24"/>
      <c r="H123" s="76"/>
      <c r="I123" s="76"/>
      <c r="J123" s="76"/>
    </row>
    <row r="124" spans="1:10" ht="25.5">
      <c r="A124" s="73"/>
      <c r="B124" s="74"/>
      <c r="C124" s="75"/>
      <c r="D124" s="33"/>
      <c r="E124" s="151" t="s">
        <v>297</v>
      </c>
      <c r="F124" s="84"/>
      <c r="G124" s="24"/>
      <c r="H124" s="76"/>
      <c r="I124" s="76"/>
      <c r="J124" s="76"/>
    </row>
    <row r="125" spans="1:10">
      <c r="A125" s="73"/>
      <c r="B125" s="74"/>
      <c r="C125" s="75"/>
      <c r="D125" s="33"/>
      <c r="E125" s="83" t="s">
        <v>298</v>
      </c>
      <c r="F125" s="84"/>
      <c r="G125" s="24"/>
      <c r="H125" s="76"/>
      <c r="I125" s="76"/>
      <c r="J125" s="76"/>
    </row>
    <row r="126" spans="1:10">
      <c r="A126" s="73"/>
      <c r="B126" s="74"/>
      <c r="C126" s="75"/>
      <c r="D126" s="33"/>
      <c r="E126" s="92" t="s">
        <v>299</v>
      </c>
      <c r="F126" s="84">
        <f>241.1+207.5+91.8</f>
        <v>540.4</v>
      </c>
      <c r="G126" s="24"/>
      <c r="H126" s="76"/>
      <c r="I126" s="76"/>
      <c r="J126" s="76"/>
    </row>
    <row r="127" spans="1:10" ht="25.5">
      <c r="A127" s="73"/>
      <c r="B127" s="74"/>
      <c r="C127" s="75"/>
      <c r="D127" s="33"/>
      <c r="E127" s="151" t="s">
        <v>300</v>
      </c>
      <c r="F127" s="84"/>
      <c r="G127" s="24"/>
      <c r="H127" s="76"/>
      <c r="I127" s="76"/>
      <c r="J127" s="76"/>
    </row>
    <row r="128" spans="1:10">
      <c r="A128" s="73"/>
      <c r="B128" s="74"/>
      <c r="C128" s="75"/>
      <c r="D128" s="33"/>
      <c r="E128" s="92" t="s">
        <v>301</v>
      </c>
      <c r="F128" s="103">
        <f>14.6+14.7+72+72</f>
        <v>173.3</v>
      </c>
      <c r="G128" s="24"/>
      <c r="H128" s="76"/>
      <c r="I128" s="76"/>
      <c r="J128" s="76"/>
    </row>
    <row r="129" spans="1:10">
      <c r="A129" s="73"/>
      <c r="B129" s="74"/>
      <c r="C129" s="75"/>
      <c r="D129" s="33"/>
      <c r="E129" s="92"/>
      <c r="F129" s="84">
        <f>SUM(F126:F128)</f>
        <v>713.7</v>
      </c>
      <c r="G129" s="24"/>
      <c r="H129" s="76"/>
      <c r="I129" s="76"/>
      <c r="J129" s="76"/>
    </row>
    <row r="130" spans="1:10">
      <c r="A130" s="73"/>
      <c r="B130" s="74"/>
      <c r="C130" s="75"/>
      <c r="D130" s="33"/>
      <c r="E130" s="157" t="s">
        <v>229</v>
      </c>
      <c r="F130" s="158">
        <f>F123+F129</f>
        <v>873.6</v>
      </c>
      <c r="G130" s="24"/>
      <c r="H130" s="76"/>
      <c r="I130" s="76"/>
      <c r="J130" s="76"/>
    </row>
    <row r="131" spans="1:10">
      <c r="A131" s="73"/>
      <c r="B131" s="74"/>
      <c r="C131" s="75"/>
      <c r="D131" s="33"/>
      <c r="E131" s="92"/>
      <c r="F131" s="84"/>
      <c r="G131" s="24"/>
      <c r="H131" s="76"/>
      <c r="I131" s="76"/>
      <c r="J131" s="76"/>
    </row>
    <row r="132" spans="1:10">
      <c r="A132" s="31">
        <f>MAX(A$1:A123)+1</f>
        <v>18</v>
      </c>
      <c r="B132" s="87"/>
      <c r="C132" s="32" t="s">
        <v>302</v>
      </c>
      <c r="D132" s="33"/>
      <c r="E132" s="52" t="s">
        <v>303</v>
      </c>
      <c r="F132" s="146"/>
      <c r="G132" s="24" t="s">
        <v>7</v>
      </c>
      <c r="H132" s="30">
        <v>92.8</v>
      </c>
      <c r="I132" s="379"/>
      <c r="J132" s="30">
        <f t="shared" si="1"/>
        <v>0</v>
      </c>
    </row>
    <row r="133" spans="1:10">
      <c r="A133" s="73"/>
      <c r="B133" s="74"/>
      <c r="C133" s="75"/>
      <c r="D133" s="55" t="s">
        <v>304</v>
      </c>
      <c r="E133" s="56" t="s">
        <v>305</v>
      </c>
      <c r="F133" s="152"/>
      <c r="G133" s="58" t="s">
        <v>7</v>
      </c>
      <c r="H133" s="79">
        <v>92.8</v>
      </c>
      <c r="I133" s="79"/>
      <c r="J133" s="79"/>
    </row>
    <row r="134" spans="1:10">
      <c r="A134" s="73"/>
      <c r="B134" s="74"/>
      <c r="C134" s="75"/>
      <c r="D134" s="33"/>
      <c r="E134" s="83" t="s">
        <v>112</v>
      </c>
      <c r="F134" s="84"/>
      <c r="G134" s="24"/>
      <c r="H134" s="76"/>
      <c r="I134" s="76"/>
      <c r="J134" s="76"/>
    </row>
    <row r="135" spans="1:10">
      <c r="A135" s="73"/>
      <c r="B135" s="74"/>
      <c r="C135" s="75"/>
      <c r="D135" s="33"/>
      <c r="E135" s="97" t="s">
        <v>306</v>
      </c>
      <c r="F135" s="84"/>
      <c r="G135" s="24"/>
      <c r="H135" s="76"/>
      <c r="I135" s="76"/>
      <c r="J135" s="76"/>
    </row>
    <row r="136" spans="1:10">
      <c r="A136" s="73"/>
      <c r="B136" s="74"/>
      <c r="C136" s="75"/>
      <c r="D136" s="33"/>
      <c r="E136" s="92">
        <v>92.8</v>
      </c>
      <c r="F136" s="47">
        <f>92.8</f>
        <v>92.8</v>
      </c>
      <c r="G136" s="24"/>
      <c r="H136" s="76"/>
      <c r="I136" s="76"/>
      <c r="J136" s="76"/>
    </row>
    <row r="137" spans="1:10">
      <c r="A137" s="73"/>
      <c r="B137" s="74"/>
      <c r="C137" s="75"/>
      <c r="D137" s="33"/>
      <c r="E137" s="92"/>
      <c r="F137" s="84"/>
      <c r="G137" s="24"/>
      <c r="H137" s="76"/>
      <c r="I137" s="76"/>
      <c r="J137" s="76"/>
    </row>
    <row r="138" spans="1:10">
      <c r="A138" s="31">
        <f>MAX(A$1:A137)+1</f>
        <v>19</v>
      </c>
      <c r="B138" s="74"/>
      <c r="C138" s="32" t="s">
        <v>307</v>
      </c>
      <c r="D138" s="33"/>
      <c r="E138" s="52" t="s">
        <v>308</v>
      </c>
      <c r="F138" s="146"/>
      <c r="G138" s="24" t="s">
        <v>7</v>
      </c>
      <c r="H138" s="30">
        <v>67.7</v>
      </c>
      <c r="I138" s="379"/>
      <c r="J138" s="30">
        <f t="shared" ref="J138:J191" si="2">I138*H138</f>
        <v>0</v>
      </c>
    </row>
    <row r="139" spans="1:10">
      <c r="A139" s="73"/>
      <c r="B139" s="74"/>
      <c r="C139" s="75"/>
      <c r="D139" s="55" t="s">
        <v>309</v>
      </c>
      <c r="E139" s="56" t="s">
        <v>310</v>
      </c>
      <c r="F139" s="152"/>
      <c r="G139" s="58" t="s">
        <v>7</v>
      </c>
      <c r="H139" s="79">
        <v>67.7</v>
      </c>
      <c r="I139" s="79"/>
      <c r="J139" s="79"/>
    </row>
    <row r="140" spans="1:10">
      <c r="A140" s="73"/>
      <c r="B140" s="74"/>
      <c r="C140" s="75"/>
      <c r="D140" s="33"/>
      <c r="E140" s="97" t="s">
        <v>311</v>
      </c>
      <c r="F140" s="84"/>
      <c r="G140" s="24"/>
      <c r="H140" s="76"/>
      <c r="I140" s="76"/>
      <c r="J140" s="76"/>
    </row>
    <row r="141" spans="1:10">
      <c r="A141" s="73"/>
      <c r="B141" s="74"/>
      <c r="C141" s="75"/>
      <c r="D141" s="33"/>
      <c r="E141" s="92" t="s">
        <v>312</v>
      </c>
      <c r="F141" s="84">
        <f>59.8+7.9</f>
        <v>67.7</v>
      </c>
      <c r="G141" s="24"/>
      <c r="H141" s="76"/>
      <c r="I141" s="76"/>
      <c r="J141" s="76"/>
    </row>
    <row r="142" spans="1:10">
      <c r="A142" s="73"/>
      <c r="B142" s="74"/>
      <c r="C142" s="75"/>
      <c r="D142" s="33"/>
      <c r="E142" s="92"/>
      <c r="F142" s="84"/>
      <c r="G142" s="24"/>
      <c r="H142" s="76"/>
      <c r="I142" s="76"/>
      <c r="J142" s="76"/>
    </row>
    <row r="143" spans="1:10">
      <c r="A143" s="31">
        <f>MAX(A$1:A142)+1</f>
        <v>20</v>
      </c>
      <c r="B143" s="74"/>
      <c r="C143" s="32" t="s">
        <v>313</v>
      </c>
      <c r="D143" s="33"/>
      <c r="E143" s="52" t="s">
        <v>314</v>
      </c>
      <c r="F143" s="146"/>
      <c r="G143" s="24" t="s">
        <v>7</v>
      </c>
      <c r="H143" s="30">
        <v>3</v>
      </c>
      <c r="I143" s="379"/>
      <c r="J143" s="30">
        <f t="shared" si="2"/>
        <v>0</v>
      </c>
    </row>
    <row r="144" spans="1:10">
      <c r="A144" s="73"/>
      <c r="B144" s="74"/>
      <c r="C144" s="32"/>
      <c r="D144" s="55" t="s">
        <v>315</v>
      </c>
      <c r="E144" s="56" t="s">
        <v>316</v>
      </c>
      <c r="F144" s="152"/>
      <c r="G144" s="58" t="s">
        <v>7</v>
      </c>
      <c r="H144" s="79">
        <v>3</v>
      </c>
      <c r="I144" s="79"/>
      <c r="J144" s="79"/>
    </row>
    <row r="145" spans="1:10">
      <c r="A145" s="73"/>
      <c r="B145" s="74"/>
      <c r="C145" s="32"/>
      <c r="D145" s="55"/>
      <c r="E145" s="97" t="s">
        <v>317</v>
      </c>
      <c r="F145" s="152"/>
      <c r="G145" s="58"/>
      <c r="H145" s="79"/>
      <c r="I145" s="79"/>
      <c r="J145" s="79"/>
    </row>
    <row r="146" spans="1:10">
      <c r="A146" s="73"/>
      <c r="B146" s="74"/>
      <c r="C146" s="32"/>
      <c r="D146" s="55"/>
      <c r="E146" s="154" t="s">
        <v>318</v>
      </c>
      <c r="F146" s="47">
        <v>1.5</v>
      </c>
      <c r="G146" s="58"/>
      <c r="H146" s="79"/>
      <c r="I146" s="79"/>
      <c r="J146" s="79"/>
    </row>
    <row r="147" spans="1:10">
      <c r="A147" s="73"/>
      <c r="B147" s="74"/>
      <c r="C147" s="32"/>
      <c r="D147" s="33"/>
      <c r="E147" s="97" t="s">
        <v>319</v>
      </c>
      <c r="F147" s="146"/>
      <c r="G147" s="24"/>
      <c r="H147" s="76"/>
      <c r="I147" s="76"/>
      <c r="J147" s="76"/>
    </row>
    <row r="148" spans="1:10">
      <c r="A148" s="73"/>
      <c r="B148" s="74"/>
      <c r="C148" s="32"/>
      <c r="D148" s="33"/>
      <c r="E148" s="154" t="s">
        <v>318</v>
      </c>
      <c r="F148" s="156">
        <v>1.5</v>
      </c>
      <c r="G148" s="24"/>
      <c r="H148" s="76"/>
      <c r="I148" s="76"/>
      <c r="J148" s="76"/>
    </row>
    <row r="149" spans="1:10">
      <c r="A149" s="73"/>
      <c r="B149" s="74"/>
      <c r="C149" s="32"/>
      <c r="D149" s="33"/>
      <c r="E149" s="97"/>
      <c r="F149" s="84">
        <f>SUM(F146:F148)</f>
        <v>3</v>
      </c>
      <c r="G149" s="24"/>
      <c r="H149" s="76"/>
      <c r="I149" s="76"/>
      <c r="J149" s="76"/>
    </row>
    <row r="150" spans="1:10">
      <c r="A150" s="73"/>
      <c r="B150" s="74"/>
      <c r="C150" s="75"/>
      <c r="D150" s="33"/>
      <c r="E150" s="154"/>
      <c r="F150" s="84"/>
      <c r="G150" s="24"/>
      <c r="H150" s="76"/>
      <c r="I150" s="76"/>
      <c r="J150" s="76"/>
    </row>
    <row r="151" spans="1:10">
      <c r="A151" s="31">
        <f>MAX(A$1:A150)+1</f>
        <v>21</v>
      </c>
      <c r="B151" s="27"/>
      <c r="C151" s="32" t="s">
        <v>6</v>
      </c>
      <c r="D151" s="33"/>
      <c r="E151" s="52" t="s">
        <v>4</v>
      </c>
      <c r="F151" s="146"/>
      <c r="G151" s="24" t="s">
        <v>7</v>
      </c>
      <c r="H151" s="30">
        <v>261.5</v>
      </c>
      <c r="I151" s="379"/>
      <c r="J151" s="30">
        <f t="shared" si="2"/>
        <v>0</v>
      </c>
    </row>
    <row r="152" spans="1:10" ht="25.5">
      <c r="A152" s="26"/>
      <c r="B152" s="27"/>
      <c r="C152" s="54"/>
      <c r="D152" s="55" t="s">
        <v>320</v>
      </c>
      <c r="E152" s="56" t="s">
        <v>321</v>
      </c>
      <c r="F152" s="152"/>
      <c r="G152" s="58" t="s">
        <v>7</v>
      </c>
      <c r="H152" s="79">
        <v>2.4</v>
      </c>
      <c r="I152" s="79"/>
      <c r="J152" s="79"/>
    </row>
    <row r="153" spans="1:10">
      <c r="A153" s="26"/>
      <c r="B153" s="78"/>
      <c r="C153" s="54"/>
      <c r="D153" s="55"/>
      <c r="E153" s="83" t="s">
        <v>322</v>
      </c>
      <c r="F153" s="57">
        <v>2.4</v>
      </c>
      <c r="G153" s="58"/>
      <c r="H153" s="79"/>
      <c r="I153" s="79"/>
      <c r="J153" s="79"/>
    </row>
    <row r="154" spans="1:10" ht="25.5">
      <c r="A154" s="31"/>
      <c r="B154" s="78"/>
      <c r="C154" s="27"/>
      <c r="D154" s="55" t="s">
        <v>3</v>
      </c>
      <c r="E154" s="56" t="s">
        <v>2</v>
      </c>
      <c r="F154" s="152"/>
      <c r="G154" s="58" t="s">
        <v>7</v>
      </c>
      <c r="H154" s="79">
        <v>259.10000000000002</v>
      </c>
      <c r="I154" s="79"/>
      <c r="J154" s="79"/>
    </row>
    <row r="155" spans="1:10">
      <c r="A155" s="31"/>
      <c r="B155" s="78"/>
      <c r="C155" s="27"/>
      <c r="D155" s="55"/>
      <c r="E155" s="83" t="s">
        <v>323</v>
      </c>
      <c r="F155" s="152"/>
      <c r="G155" s="58"/>
      <c r="H155" s="79"/>
      <c r="I155" s="79"/>
      <c r="J155" s="79"/>
    </row>
    <row r="156" spans="1:10">
      <c r="A156" s="31"/>
      <c r="B156" s="78"/>
      <c r="C156" s="27"/>
      <c r="D156" s="55"/>
      <c r="E156" s="83" t="s">
        <v>324</v>
      </c>
      <c r="F156" s="57">
        <f>261.5-2.4</f>
        <v>259.10000000000002</v>
      </c>
      <c r="G156" s="58"/>
      <c r="H156" s="79"/>
      <c r="I156" s="79"/>
      <c r="J156" s="79"/>
    </row>
    <row r="157" spans="1:10">
      <c r="A157" s="31"/>
      <c r="B157" s="78"/>
      <c r="C157" s="27"/>
      <c r="D157" s="45"/>
      <c r="E157" s="83"/>
      <c r="F157" s="84"/>
      <c r="G157" s="48"/>
      <c r="H157" s="49"/>
      <c r="I157" s="49"/>
      <c r="J157" s="49"/>
    </row>
    <row r="158" spans="1:10">
      <c r="A158" s="31">
        <f>MAX(A$1:A157)+1</f>
        <v>22</v>
      </c>
      <c r="B158" s="78"/>
      <c r="C158" s="32" t="s">
        <v>325</v>
      </c>
      <c r="D158" s="33"/>
      <c r="E158" s="52" t="s">
        <v>326</v>
      </c>
      <c r="F158" s="146"/>
      <c r="G158" s="24" t="s">
        <v>7</v>
      </c>
      <c r="H158" s="30">
        <v>163.5</v>
      </c>
      <c r="I158" s="379"/>
      <c r="J158" s="30">
        <f t="shared" si="2"/>
        <v>0</v>
      </c>
    </row>
    <row r="159" spans="1:10">
      <c r="A159" s="31"/>
      <c r="B159" s="78"/>
      <c r="C159" s="27"/>
      <c r="D159" s="55" t="s">
        <v>327</v>
      </c>
      <c r="E159" s="56" t="s">
        <v>328</v>
      </c>
      <c r="F159" s="152"/>
      <c r="G159" s="58" t="s">
        <v>7</v>
      </c>
      <c r="H159" s="79">
        <v>163.5</v>
      </c>
      <c r="I159" s="79"/>
      <c r="J159" s="79"/>
    </row>
    <row r="160" spans="1:10">
      <c r="A160" s="31"/>
      <c r="B160" s="78"/>
      <c r="C160" s="27"/>
      <c r="D160" s="55"/>
      <c r="E160" s="151" t="s">
        <v>255</v>
      </c>
      <c r="F160" s="152"/>
      <c r="G160" s="58"/>
      <c r="H160" s="79"/>
      <c r="I160" s="79"/>
      <c r="J160" s="79"/>
    </row>
    <row r="161" spans="1:10">
      <c r="A161" s="31"/>
      <c r="B161" s="78"/>
      <c r="C161" s="27"/>
      <c r="D161" s="55"/>
      <c r="E161" s="92" t="s">
        <v>329</v>
      </c>
      <c r="F161" s="84"/>
      <c r="G161" s="58"/>
      <c r="H161" s="49"/>
      <c r="I161" s="49"/>
      <c r="J161" s="49"/>
    </row>
    <row r="162" spans="1:10">
      <c r="A162" s="31"/>
      <c r="B162" s="78"/>
      <c r="C162" s="27"/>
      <c r="D162" s="55"/>
      <c r="E162" s="92" t="s">
        <v>330</v>
      </c>
      <c r="F162" s="84">
        <f>59.8+92.8+7.9+1.5+1.5</f>
        <v>163.5</v>
      </c>
      <c r="G162" s="58"/>
      <c r="H162" s="49"/>
      <c r="I162" s="49"/>
      <c r="J162" s="49"/>
    </row>
    <row r="163" spans="1:10">
      <c r="A163" s="31"/>
      <c r="B163" s="78"/>
      <c r="C163" s="27"/>
      <c r="D163" s="45"/>
      <c r="E163" s="83"/>
      <c r="F163" s="84"/>
      <c r="G163" s="48"/>
      <c r="H163" s="49"/>
      <c r="I163" s="49"/>
      <c r="J163" s="49"/>
    </row>
    <row r="164" spans="1:10">
      <c r="A164" s="31">
        <f>MAX(A$1:A163)+1</f>
        <v>23</v>
      </c>
      <c r="B164" s="78"/>
      <c r="C164" s="32" t="s">
        <v>331</v>
      </c>
      <c r="D164" s="33"/>
      <c r="E164" s="52" t="s">
        <v>332</v>
      </c>
      <c r="F164" s="146"/>
      <c r="G164" s="24" t="s">
        <v>7</v>
      </c>
      <c r="H164" s="30">
        <v>144</v>
      </c>
      <c r="I164" s="379"/>
      <c r="J164" s="30">
        <f t="shared" si="2"/>
        <v>0</v>
      </c>
    </row>
    <row r="165" spans="1:10">
      <c r="A165" s="31"/>
      <c r="B165" s="78"/>
      <c r="C165" s="32"/>
      <c r="D165" s="55" t="s">
        <v>333</v>
      </c>
      <c r="E165" s="56" t="s">
        <v>334</v>
      </c>
      <c r="F165" s="152"/>
      <c r="G165" s="58" t="s">
        <v>7</v>
      </c>
      <c r="H165" s="79">
        <v>144</v>
      </c>
      <c r="I165" s="79"/>
      <c r="J165" s="79"/>
    </row>
    <row r="166" spans="1:10">
      <c r="A166" s="31"/>
      <c r="B166" s="78"/>
      <c r="C166" s="32"/>
      <c r="D166" s="33"/>
      <c r="E166" s="97" t="s">
        <v>311</v>
      </c>
      <c r="F166" s="84"/>
      <c r="G166" s="24"/>
      <c r="H166" s="49"/>
      <c r="I166" s="49"/>
      <c r="J166" s="49"/>
    </row>
    <row r="167" spans="1:10" ht="25.5">
      <c r="A167" s="31"/>
      <c r="B167" s="78"/>
      <c r="C167" s="32"/>
      <c r="D167" s="33"/>
      <c r="E167" s="92" t="s">
        <v>335</v>
      </c>
      <c r="F167" s="84">
        <v>72</v>
      </c>
      <c r="G167" s="24"/>
      <c r="H167" s="49"/>
      <c r="I167" s="49"/>
      <c r="J167" s="49"/>
    </row>
    <row r="168" spans="1:10">
      <c r="A168" s="31"/>
      <c r="B168" s="78"/>
      <c r="C168" s="32"/>
      <c r="D168" s="33"/>
      <c r="E168" s="97" t="s">
        <v>306</v>
      </c>
      <c r="F168" s="103"/>
      <c r="G168" s="24"/>
      <c r="H168" s="49"/>
      <c r="I168" s="49"/>
      <c r="J168" s="49"/>
    </row>
    <row r="169" spans="1:10" ht="25.5">
      <c r="A169" s="31"/>
      <c r="B169" s="78"/>
      <c r="C169" s="32"/>
      <c r="D169" s="33"/>
      <c r="E169" s="92" t="s">
        <v>335</v>
      </c>
      <c r="F169" s="159">
        <v>72</v>
      </c>
      <c r="G169" s="24"/>
      <c r="H169" s="49"/>
      <c r="I169" s="49"/>
      <c r="J169" s="49"/>
    </row>
    <row r="170" spans="1:10">
      <c r="A170" s="31"/>
      <c r="B170" s="78"/>
      <c r="C170" s="32"/>
      <c r="D170" s="33"/>
      <c r="E170" s="92"/>
      <c r="F170" s="84">
        <f>SUM(F167:F169)</f>
        <v>144</v>
      </c>
      <c r="G170" s="24"/>
      <c r="H170" s="49"/>
      <c r="I170" s="49"/>
      <c r="J170" s="49"/>
    </row>
    <row r="171" spans="1:10">
      <c r="A171" s="31"/>
      <c r="B171" s="78"/>
      <c r="C171" s="27"/>
      <c r="D171" s="45"/>
      <c r="E171" s="83"/>
      <c r="F171" s="84"/>
      <c r="G171" s="48"/>
      <c r="H171" s="49"/>
      <c r="I171" s="49"/>
      <c r="J171" s="49"/>
    </row>
    <row r="172" spans="1:10" ht="25.5">
      <c r="A172" s="31">
        <f>MAX(A$1:A171)+1</f>
        <v>24</v>
      </c>
      <c r="B172" s="78"/>
      <c r="C172" s="32" t="s">
        <v>336</v>
      </c>
      <c r="D172" s="33"/>
      <c r="E172" s="52" t="s">
        <v>337</v>
      </c>
      <c r="F172" s="146"/>
      <c r="G172" s="24" t="s">
        <v>1</v>
      </c>
      <c r="H172" s="30">
        <v>22.4</v>
      </c>
      <c r="I172" s="379"/>
      <c r="J172" s="30">
        <f t="shared" si="2"/>
        <v>0</v>
      </c>
    </row>
    <row r="173" spans="1:10" ht="25.5">
      <c r="A173" s="26"/>
      <c r="B173" s="78"/>
      <c r="C173" s="54"/>
      <c r="D173" s="55" t="s">
        <v>338</v>
      </c>
      <c r="E173" s="56" t="s">
        <v>339</v>
      </c>
      <c r="F173" s="152"/>
      <c r="G173" s="58" t="s">
        <v>1</v>
      </c>
      <c r="H173" s="79">
        <v>22.4</v>
      </c>
      <c r="I173" s="79"/>
      <c r="J173" s="79"/>
    </row>
    <row r="174" spans="1:10">
      <c r="A174" s="26"/>
      <c r="B174" s="78"/>
      <c r="C174" s="126"/>
      <c r="D174" s="126"/>
      <c r="E174" s="97" t="s">
        <v>306</v>
      </c>
      <c r="F174" s="84"/>
      <c r="G174" s="45"/>
      <c r="H174" s="79"/>
      <c r="I174" s="79"/>
      <c r="J174" s="79"/>
    </row>
    <row r="175" spans="1:10">
      <c r="A175" s="26"/>
      <c r="B175" s="78"/>
      <c r="C175" s="126"/>
      <c r="D175" s="126"/>
      <c r="E175" s="92" t="s">
        <v>340</v>
      </c>
      <c r="F175" s="47"/>
      <c r="G175" s="45"/>
      <c r="H175" s="79"/>
      <c r="I175" s="79"/>
      <c r="J175" s="79"/>
    </row>
    <row r="176" spans="1:10">
      <c r="A176" s="26"/>
      <c r="B176" s="78"/>
      <c r="C176" s="126"/>
      <c r="D176" s="126"/>
      <c r="E176" s="154" t="s">
        <v>341</v>
      </c>
      <c r="F176" s="160">
        <f>8*2.8</f>
        <v>22.4</v>
      </c>
      <c r="G176" s="45"/>
      <c r="H176" s="79"/>
      <c r="I176" s="79"/>
      <c r="J176" s="79"/>
    </row>
    <row r="177" spans="1:10">
      <c r="A177" s="26"/>
      <c r="B177" s="78"/>
      <c r="C177" s="126"/>
      <c r="D177" s="126"/>
      <c r="E177" s="92"/>
      <c r="F177" s="160"/>
      <c r="G177" s="45"/>
      <c r="H177" s="79"/>
      <c r="I177" s="79"/>
      <c r="J177" s="79"/>
    </row>
    <row r="178" spans="1:10" ht="25.5">
      <c r="A178" s="31">
        <f>MAX(A$1:A177)+1</f>
        <v>25</v>
      </c>
      <c r="B178" s="87"/>
      <c r="C178" s="32" t="s">
        <v>66</v>
      </c>
      <c r="D178" s="33"/>
      <c r="E178" s="52" t="s">
        <v>67</v>
      </c>
      <c r="F178" s="146"/>
      <c r="G178" s="24" t="s">
        <v>1</v>
      </c>
      <c r="H178" s="51">
        <v>477.4</v>
      </c>
      <c r="I178" s="381"/>
      <c r="J178" s="51">
        <f t="shared" si="2"/>
        <v>0</v>
      </c>
    </row>
    <row r="179" spans="1:10" ht="25.5">
      <c r="A179" s="88"/>
      <c r="B179" s="89"/>
      <c r="C179" s="54"/>
      <c r="D179" s="55" t="s">
        <v>68</v>
      </c>
      <c r="E179" s="56" t="s">
        <v>69</v>
      </c>
      <c r="F179" s="152"/>
      <c r="G179" s="58" t="s">
        <v>1</v>
      </c>
      <c r="H179" s="46">
        <v>477.4</v>
      </c>
      <c r="I179" s="46"/>
      <c r="J179" s="46"/>
    </row>
    <row r="180" spans="1:10">
      <c r="A180" s="88"/>
      <c r="B180" s="89"/>
      <c r="C180" s="54"/>
      <c r="D180" s="55"/>
      <c r="E180" s="83" t="s">
        <v>112</v>
      </c>
      <c r="F180" s="155"/>
      <c r="G180" s="58"/>
      <c r="H180" s="46"/>
      <c r="I180" s="46"/>
      <c r="J180" s="46"/>
    </row>
    <row r="181" spans="1:10">
      <c r="A181" s="88"/>
      <c r="B181" s="89"/>
      <c r="C181" s="54"/>
      <c r="D181" s="55"/>
      <c r="E181" s="147" t="s">
        <v>132</v>
      </c>
      <c r="F181" s="155"/>
      <c r="G181" s="58"/>
      <c r="H181" s="46"/>
      <c r="I181" s="46"/>
      <c r="J181" s="46"/>
    </row>
    <row r="182" spans="1:10">
      <c r="A182" s="88"/>
      <c r="B182" s="89"/>
      <c r="C182" s="54"/>
      <c r="D182" s="55"/>
      <c r="E182" s="92" t="s">
        <v>342</v>
      </c>
      <c r="F182" s="160">
        <v>7.7</v>
      </c>
      <c r="G182" s="58"/>
      <c r="H182" s="46"/>
      <c r="I182" s="46"/>
      <c r="J182" s="46"/>
    </row>
    <row r="183" spans="1:10">
      <c r="A183" s="88"/>
      <c r="B183" s="89"/>
      <c r="C183" s="54"/>
      <c r="D183" s="55"/>
      <c r="E183" s="147" t="s">
        <v>113</v>
      </c>
      <c r="F183" s="155"/>
      <c r="G183" s="58"/>
      <c r="H183" s="46"/>
      <c r="I183" s="46"/>
      <c r="J183" s="46"/>
    </row>
    <row r="184" spans="1:10">
      <c r="A184" s="26"/>
      <c r="B184" s="27"/>
      <c r="C184" s="126"/>
      <c r="D184" s="126"/>
      <c r="E184" s="92" t="s">
        <v>343</v>
      </c>
      <c r="F184" s="161">
        <v>469.7</v>
      </c>
      <c r="G184" s="45"/>
      <c r="H184" s="79"/>
      <c r="I184" s="79"/>
      <c r="J184" s="79"/>
    </row>
    <row r="185" spans="1:10">
      <c r="A185" s="26"/>
      <c r="B185" s="27"/>
      <c r="C185" s="126"/>
      <c r="D185" s="126"/>
      <c r="E185" s="92"/>
      <c r="F185" s="160">
        <f>SUM(F182:F184)</f>
        <v>477.4</v>
      </c>
      <c r="G185" s="45"/>
      <c r="H185" s="79"/>
      <c r="I185" s="79"/>
      <c r="J185" s="79"/>
    </row>
    <row r="186" spans="1:10">
      <c r="A186" s="26"/>
      <c r="B186" s="27"/>
      <c r="C186" s="126"/>
      <c r="D186" s="126"/>
      <c r="E186" s="174"/>
      <c r="F186" s="84"/>
      <c r="G186" s="45"/>
      <c r="H186" s="79"/>
      <c r="I186" s="79"/>
      <c r="J186" s="79"/>
    </row>
    <row r="187" spans="1:10">
      <c r="A187" s="31">
        <f>MAX(A$1:A186)+1</f>
        <v>26</v>
      </c>
      <c r="B187" s="87"/>
      <c r="C187" s="32" t="s">
        <v>70</v>
      </c>
      <c r="D187" s="33"/>
      <c r="E187" s="52" t="s">
        <v>71</v>
      </c>
      <c r="F187" s="146"/>
      <c r="G187" s="24" t="s">
        <v>1</v>
      </c>
      <c r="H187" s="51">
        <v>678.5</v>
      </c>
      <c r="I187" s="381"/>
      <c r="J187" s="51">
        <f t="shared" si="2"/>
        <v>0</v>
      </c>
    </row>
    <row r="188" spans="1:10">
      <c r="A188" s="88"/>
      <c r="B188" s="89"/>
      <c r="C188" s="54"/>
      <c r="D188" s="55" t="s">
        <v>72</v>
      </c>
      <c r="E188" s="56" t="s">
        <v>73</v>
      </c>
      <c r="F188" s="152"/>
      <c r="G188" s="58" t="s">
        <v>1</v>
      </c>
      <c r="H188" s="46">
        <v>678.5</v>
      </c>
      <c r="I188" s="46"/>
      <c r="J188" s="46"/>
    </row>
    <row r="189" spans="1:10">
      <c r="A189" s="88"/>
      <c r="B189" s="89"/>
      <c r="C189" s="54"/>
      <c r="D189" s="55"/>
      <c r="E189" s="92" t="s">
        <v>114</v>
      </c>
      <c r="F189" s="57">
        <v>678.5</v>
      </c>
      <c r="G189" s="58"/>
      <c r="H189" s="46"/>
      <c r="I189" s="46"/>
      <c r="J189" s="46"/>
    </row>
    <row r="190" spans="1:10">
      <c r="A190" s="31"/>
      <c r="B190" s="78"/>
      <c r="C190" s="54"/>
      <c r="D190" s="55"/>
      <c r="E190" s="83"/>
      <c r="F190" s="84"/>
      <c r="G190" s="58"/>
      <c r="H190" s="49"/>
      <c r="I190" s="49"/>
      <c r="J190" s="49"/>
    </row>
    <row r="191" spans="1:10">
      <c r="A191" s="31">
        <f>MAX(A$1:A190)+1</f>
        <v>27</v>
      </c>
      <c r="B191" s="78"/>
      <c r="C191" s="32" t="s">
        <v>78</v>
      </c>
      <c r="D191" s="33"/>
      <c r="E191" s="52" t="s">
        <v>79</v>
      </c>
      <c r="F191" s="146"/>
      <c r="G191" s="24" t="s">
        <v>1</v>
      </c>
      <c r="H191" s="51">
        <v>352.6</v>
      </c>
      <c r="I191" s="381"/>
      <c r="J191" s="51">
        <f t="shared" si="2"/>
        <v>0</v>
      </c>
    </row>
    <row r="192" spans="1:10" ht="25.5">
      <c r="A192" s="26"/>
      <c r="B192" s="78"/>
      <c r="C192" s="54"/>
      <c r="D192" s="55" t="s">
        <v>80</v>
      </c>
      <c r="E192" s="56" t="s">
        <v>81</v>
      </c>
      <c r="F192" s="152"/>
      <c r="G192" s="58" t="s">
        <v>1</v>
      </c>
      <c r="H192" s="46">
        <v>352.6</v>
      </c>
      <c r="I192" s="46"/>
      <c r="J192" s="46"/>
    </row>
    <row r="193" spans="1:10">
      <c r="A193" s="26"/>
      <c r="B193" s="78"/>
      <c r="C193" s="54"/>
      <c r="D193" s="55"/>
      <c r="E193" s="83" t="s">
        <v>112</v>
      </c>
      <c r="F193" s="160"/>
      <c r="G193" s="58"/>
      <c r="H193" s="46"/>
      <c r="I193" s="46"/>
      <c r="J193" s="46"/>
    </row>
    <row r="194" spans="1:10">
      <c r="A194" s="26"/>
      <c r="B194" s="78"/>
      <c r="C194" s="54"/>
      <c r="D194" s="55"/>
      <c r="E194" s="92" t="s">
        <v>115</v>
      </c>
      <c r="F194" s="160"/>
      <c r="G194" s="58"/>
      <c r="H194" s="46"/>
      <c r="I194" s="46"/>
      <c r="J194" s="46"/>
    </row>
    <row r="195" spans="1:10">
      <c r="A195" s="26"/>
      <c r="B195" s="78"/>
      <c r="C195" s="54"/>
      <c r="D195" s="55"/>
      <c r="E195" s="92" t="s">
        <v>344</v>
      </c>
      <c r="F195" s="160"/>
      <c r="G195" s="58"/>
      <c r="H195" s="46"/>
      <c r="I195" s="46"/>
      <c r="J195" s="46"/>
    </row>
    <row r="196" spans="1:10">
      <c r="A196" s="26"/>
      <c r="B196" s="78"/>
      <c r="C196" s="54"/>
      <c r="D196" s="55"/>
      <c r="E196" s="92" t="s">
        <v>345</v>
      </c>
      <c r="F196" s="160">
        <v>352.6</v>
      </c>
      <c r="G196" s="58"/>
      <c r="H196" s="46"/>
      <c r="I196" s="46"/>
      <c r="J196" s="46"/>
    </row>
    <row r="197" spans="1:10">
      <c r="A197" s="26"/>
      <c r="B197" s="78"/>
      <c r="C197" s="54"/>
      <c r="D197" s="55"/>
      <c r="E197" s="92"/>
      <c r="F197" s="160"/>
      <c r="G197" s="58"/>
      <c r="H197" s="46"/>
      <c r="I197" s="46"/>
      <c r="J197" s="46"/>
    </row>
    <row r="198" spans="1:10">
      <c r="A198" s="26"/>
      <c r="B198" s="78"/>
      <c r="C198" s="54"/>
      <c r="D198" s="55"/>
      <c r="E198" s="92"/>
      <c r="F198" s="160"/>
      <c r="G198" s="58"/>
      <c r="H198" s="46"/>
      <c r="I198" s="46"/>
      <c r="J198" s="46"/>
    </row>
    <row r="199" spans="1:10">
      <c r="A199" s="26"/>
      <c r="B199" s="121" t="s">
        <v>84</v>
      </c>
      <c r="C199" s="75"/>
      <c r="D199" s="33"/>
      <c r="E199" s="128" t="s">
        <v>85</v>
      </c>
      <c r="F199" s="155"/>
      <c r="G199" s="58"/>
      <c r="H199" s="59"/>
      <c r="I199" s="59"/>
      <c r="J199" s="59"/>
    </row>
    <row r="200" spans="1:10">
      <c r="A200" s="26"/>
      <c r="B200" s="121"/>
      <c r="C200" s="75"/>
      <c r="D200" s="33"/>
      <c r="E200" s="128"/>
      <c r="F200" s="155"/>
      <c r="G200" s="58"/>
      <c r="H200" s="59"/>
      <c r="I200" s="59"/>
      <c r="J200" s="59"/>
    </row>
    <row r="201" spans="1:10">
      <c r="A201" s="31">
        <f>MAX(A$1:A200)+1</f>
        <v>28</v>
      </c>
      <c r="B201" s="121"/>
      <c r="C201" s="32" t="s">
        <v>50</v>
      </c>
      <c r="D201" s="33"/>
      <c r="E201" s="52" t="s">
        <v>51</v>
      </c>
      <c r="F201" s="146"/>
      <c r="G201" s="24" t="s">
        <v>7</v>
      </c>
      <c r="H201" s="30">
        <v>143.1</v>
      </c>
      <c r="I201" s="379"/>
      <c r="J201" s="30">
        <f t="shared" ref="J201:J256" si="3">I201*H201</f>
        <v>0</v>
      </c>
    </row>
    <row r="202" spans="1:10">
      <c r="A202" s="26"/>
      <c r="B202" s="121"/>
      <c r="C202" s="54"/>
      <c r="D202" s="55" t="s">
        <v>52</v>
      </c>
      <c r="E202" s="56" t="s">
        <v>53</v>
      </c>
      <c r="F202" s="152"/>
      <c r="G202" s="58" t="s">
        <v>7</v>
      </c>
      <c r="H202" s="79">
        <v>143.1</v>
      </c>
      <c r="I202" s="79"/>
      <c r="J202" s="79"/>
    </row>
    <row r="203" spans="1:10">
      <c r="A203" s="26"/>
      <c r="B203" s="121"/>
      <c r="C203" s="54"/>
      <c r="D203" s="55"/>
      <c r="E203" s="92" t="s">
        <v>346</v>
      </c>
      <c r="F203" s="84"/>
      <c r="G203" s="58"/>
      <c r="H203" s="79"/>
      <c r="I203" s="79"/>
      <c r="J203" s="79"/>
    </row>
    <row r="204" spans="1:10">
      <c r="A204" s="26"/>
      <c r="B204" s="121"/>
      <c r="C204" s="54"/>
      <c r="D204" s="55"/>
      <c r="E204" s="92" t="s">
        <v>347</v>
      </c>
      <c r="F204" s="84">
        <v>143.1</v>
      </c>
      <c r="G204" s="58"/>
      <c r="H204" s="79"/>
      <c r="I204" s="79"/>
      <c r="J204" s="79"/>
    </row>
    <row r="205" spans="1:10">
      <c r="A205" s="26"/>
      <c r="B205" s="27"/>
      <c r="C205" s="54"/>
      <c r="D205" s="55"/>
      <c r="E205" s="175"/>
      <c r="F205" s="155"/>
      <c r="G205" s="58"/>
      <c r="H205" s="59"/>
      <c r="I205" s="59"/>
      <c r="J205" s="59"/>
    </row>
    <row r="206" spans="1:10">
      <c r="A206" s="31">
        <f>MAX(A$1:A205)+1</f>
        <v>29</v>
      </c>
      <c r="B206" s="125"/>
      <c r="C206" s="32" t="s">
        <v>144</v>
      </c>
      <c r="D206" s="33"/>
      <c r="E206" s="52" t="s">
        <v>145</v>
      </c>
      <c r="F206" s="146"/>
      <c r="G206" s="24" t="s">
        <v>7</v>
      </c>
      <c r="H206" s="51">
        <v>143.1</v>
      </c>
      <c r="I206" s="381"/>
      <c r="J206" s="51">
        <f t="shared" si="3"/>
        <v>0</v>
      </c>
    </row>
    <row r="207" spans="1:10" ht="25.5">
      <c r="A207" s="88"/>
      <c r="B207" s="126"/>
      <c r="C207" s="54"/>
      <c r="D207" s="55" t="s">
        <v>146</v>
      </c>
      <c r="E207" s="56" t="s">
        <v>147</v>
      </c>
      <c r="F207" s="152"/>
      <c r="G207" s="58" t="s">
        <v>7</v>
      </c>
      <c r="H207" s="46">
        <v>143.1</v>
      </c>
      <c r="I207" s="46"/>
      <c r="J207" s="46"/>
    </row>
    <row r="208" spans="1:10">
      <c r="A208" s="88"/>
      <c r="B208" s="126"/>
      <c r="C208" s="54"/>
      <c r="D208" s="55"/>
      <c r="E208" s="92" t="s">
        <v>348</v>
      </c>
      <c r="F208" s="84">
        <v>143.1</v>
      </c>
      <c r="G208" s="58"/>
      <c r="H208" s="46"/>
      <c r="I208" s="46"/>
      <c r="J208" s="46"/>
    </row>
    <row r="209" spans="1:10">
      <c r="A209" s="88"/>
      <c r="B209" s="126"/>
      <c r="C209" s="54"/>
      <c r="D209" s="55"/>
      <c r="E209" s="56"/>
      <c r="F209" s="152"/>
      <c r="G209" s="58"/>
      <c r="H209" s="46"/>
      <c r="I209" s="46"/>
      <c r="J209" s="46"/>
    </row>
    <row r="210" spans="1:10">
      <c r="A210" s="31">
        <f>MAX(A$1:A209)+1</f>
        <v>30</v>
      </c>
      <c r="B210" s="27"/>
      <c r="C210" s="32" t="s">
        <v>54</v>
      </c>
      <c r="D210" s="33"/>
      <c r="E210" s="52" t="s">
        <v>55</v>
      </c>
      <c r="F210" s="146"/>
      <c r="G210" s="24" t="s">
        <v>7</v>
      </c>
      <c r="H210" s="51">
        <v>353.3</v>
      </c>
      <c r="I210" s="381"/>
      <c r="J210" s="51">
        <f t="shared" si="3"/>
        <v>0</v>
      </c>
    </row>
    <row r="211" spans="1:10" ht="25.5">
      <c r="A211" s="26"/>
      <c r="B211" s="27"/>
      <c r="C211" s="54"/>
      <c r="D211" s="55" t="s">
        <v>56</v>
      </c>
      <c r="E211" s="56" t="s">
        <v>57</v>
      </c>
      <c r="F211" s="152"/>
      <c r="G211" s="58" t="s">
        <v>7</v>
      </c>
      <c r="H211" s="46">
        <v>353.3</v>
      </c>
      <c r="I211" s="46"/>
      <c r="J211" s="46"/>
    </row>
    <row r="212" spans="1:10">
      <c r="A212" s="26"/>
      <c r="B212" s="27"/>
      <c r="C212" s="54"/>
      <c r="D212" s="55"/>
      <c r="E212" s="92" t="s">
        <v>349</v>
      </c>
      <c r="F212" s="84">
        <v>261.5</v>
      </c>
      <c r="G212" s="58"/>
      <c r="H212" s="46"/>
      <c r="I212" s="46"/>
      <c r="J212" s="46"/>
    </row>
    <row r="213" spans="1:10" ht="25.5">
      <c r="A213" s="26"/>
      <c r="B213" s="27"/>
      <c r="C213" s="54"/>
      <c r="D213" s="55"/>
      <c r="E213" s="92" t="s">
        <v>243</v>
      </c>
      <c r="F213" s="103">
        <v>91.8</v>
      </c>
      <c r="G213" s="58"/>
      <c r="H213" s="46"/>
      <c r="I213" s="46"/>
      <c r="J213" s="46"/>
    </row>
    <row r="214" spans="1:10">
      <c r="A214" s="26"/>
      <c r="B214" s="27"/>
      <c r="C214" s="126"/>
      <c r="D214" s="126"/>
      <c r="E214" s="92"/>
      <c r="F214" s="84">
        <f>SUM(F212:F213)</f>
        <v>353.3</v>
      </c>
      <c r="G214" s="45"/>
      <c r="H214" s="79"/>
      <c r="I214" s="79"/>
      <c r="J214" s="79"/>
    </row>
    <row r="215" spans="1:10" ht="15.95" customHeight="1">
      <c r="A215" s="26"/>
      <c r="B215" s="27"/>
      <c r="C215" s="126"/>
      <c r="D215" s="126"/>
      <c r="E215" s="92"/>
      <c r="F215" s="84"/>
      <c r="G215" s="45"/>
      <c r="H215" s="79"/>
      <c r="I215" s="79"/>
      <c r="J215" s="79"/>
    </row>
    <row r="216" spans="1:10">
      <c r="A216" s="31">
        <f>MAX(A$1:A215)+1</f>
        <v>31</v>
      </c>
      <c r="B216" s="78"/>
      <c r="C216" s="32" t="s">
        <v>62</v>
      </c>
      <c r="D216" s="33"/>
      <c r="E216" s="52" t="s">
        <v>63</v>
      </c>
      <c r="F216" s="146"/>
      <c r="G216" s="24" t="s">
        <v>7</v>
      </c>
      <c r="H216" s="51">
        <v>143.1</v>
      </c>
      <c r="I216" s="381"/>
      <c r="J216" s="51">
        <f t="shared" si="3"/>
        <v>0</v>
      </c>
    </row>
    <row r="217" spans="1:10" ht="25.5">
      <c r="A217" s="26"/>
      <c r="B217" s="78"/>
      <c r="C217" s="54"/>
      <c r="D217" s="55" t="s">
        <v>64</v>
      </c>
      <c r="E217" s="56" t="s">
        <v>65</v>
      </c>
      <c r="F217" s="152"/>
      <c r="G217" s="58" t="s">
        <v>7</v>
      </c>
      <c r="H217" s="46">
        <v>143.1</v>
      </c>
      <c r="I217" s="46"/>
      <c r="J217" s="46"/>
    </row>
    <row r="218" spans="1:10">
      <c r="A218" s="26"/>
      <c r="B218" s="27"/>
      <c r="C218" s="126"/>
      <c r="D218" s="126"/>
      <c r="E218" s="92" t="s">
        <v>350</v>
      </c>
      <c r="F218" s="160"/>
      <c r="G218" s="45"/>
      <c r="H218" s="79"/>
      <c r="I218" s="79"/>
      <c r="J218" s="79"/>
    </row>
    <row r="219" spans="1:10">
      <c r="A219" s="26"/>
      <c r="B219" s="27"/>
      <c r="C219" s="126"/>
      <c r="D219" s="126"/>
      <c r="E219" s="92" t="s">
        <v>351</v>
      </c>
      <c r="F219" s="160">
        <v>143.1</v>
      </c>
      <c r="G219" s="45"/>
      <c r="H219" s="79"/>
      <c r="I219" s="79"/>
      <c r="J219" s="79"/>
    </row>
    <row r="220" spans="1:10">
      <c r="A220" s="26"/>
      <c r="B220" s="27"/>
      <c r="C220" s="126"/>
      <c r="D220" s="126"/>
      <c r="E220" s="129"/>
      <c r="F220" s="158"/>
      <c r="G220" s="45"/>
      <c r="H220" s="79"/>
      <c r="I220" s="79"/>
      <c r="J220" s="79"/>
    </row>
    <row r="221" spans="1:10">
      <c r="A221" s="26"/>
      <c r="B221" s="27"/>
      <c r="C221" s="126"/>
      <c r="D221" s="126"/>
      <c r="E221" s="129"/>
      <c r="F221" s="158"/>
      <c r="G221" s="45"/>
      <c r="H221" s="79"/>
      <c r="I221" s="79"/>
      <c r="J221" s="79"/>
    </row>
    <row r="222" spans="1:10" ht="25.5">
      <c r="A222" s="88"/>
      <c r="B222" s="121" t="s">
        <v>352</v>
      </c>
      <c r="C222" s="75"/>
      <c r="D222" s="33"/>
      <c r="E222" s="52" t="s">
        <v>353</v>
      </c>
      <c r="F222" s="145"/>
      <c r="G222" s="24"/>
      <c r="H222" s="76"/>
      <c r="I222" s="76"/>
      <c r="J222" s="76"/>
    </row>
    <row r="223" spans="1:10">
      <c r="A223" s="26"/>
      <c r="B223" s="78"/>
      <c r="C223" s="126"/>
      <c r="D223" s="55"/>
      <c r="E223" s="92"/>
      <c r="F223" s="84"/>
      <c r="G223" s="58"/>
      <c r="H223" s="59"/>
      <c r="I223" s="59"/>
      <c r="J223" s="59"/>
    </row>
    <row r="224" spans="1:10" ht="25.5">
      <c r="A224" s="31">
        <f>MAX(A$1:A222)+1</f>
        <v>32</v>
      </c>
      <c r="B224" s="78"/>
      <c r="C224" s="32" t="s">
        <v>354</v>
      </c>
      <c r="D224" s="33"/>
      <c r="E224" s="52" t="s">
        <v>355</v>
      </c>
      <c r="F224" s="146"/>
      <c r="G224" s="24" t="s">
        <v>7</v>
      </c>
      <c r="H224" s="36">
        <v>29.3</v>
      </c>
      <c r="I224" s="380"/>
      <c r="J224" s="36">
        <f t="shared" si="3"/>
        <v>0</v>
      </c>
    </row>
    <row r="225" spans="1:10">
      <c r="A225" s="26"/>
      <c r="B225" s="78"/>
      <c r="C225" s="32"/>
      <c r="D225" s="33"/>
      <c r="E225" s="92" t="s">
        <v>356</v>
      </c>
      <c r="F225" s="84"/>
      <c r="G225" s="24"/>
      <c r="H225" s="59"/>
      <c r="I225" s="59"/>
      <c r="J225" s="59"/>
    </row>
    <row r="226" spans="1:10">
      <c r="A226" s="26"/>
      <c r="B226" s="78"/>
      <c r="C226" s="32"/>
      <c r="D226" s="33"/>
      <c r="E226" s="97" t="s">
        <v>357</v>
      </c>
      <c r="F226" s="84"/>
      <c r="G226" s="24"/>
      <c r="H226" s="59"/>
      <c r="I226" s="59"/>
      <c r="J226" s="59"/>
    </row>
    <row r="227" spans="1:10">
      <c r="A227" s="26"/>
      <c r="B227" s="78"/>
      <c r="C227" s="32"/>
      <c r="D227" s="33"/>
      <c r="E227" s="154" t="s">
        <v>358</v>
      </c>
      <c r="F227" s="84">
        <v>14.6</v>
      </c>
      <c r="G227" s="24"/>
      <c r="H227" s="59"/>
      <c r="I227" s="59"/>
      <c r="J227" s="59"/>
    </row>
    <row r="228" spans="1:10">
      <c r="A228" s="26"/>
      <c r="B228" s="78"/>
      <c r="C228" s="32"/>
      <c r="D228" s="33"/>
      <c r="E228" s="97" t="s">
        <v>359</v>
      </c>
      <c r="F228" s="84"/>
      <c r="G228" s="24"/>
      <c r="H228" s="59"/>
      <c r="I228" s="59"/>
      <c r="J228" s="59"/>
    </row>
    <row r="229" spans="1:10">
      <c r="A229" s="26"/>
      <c r="B229" s="78"/>
      <c r="C229" s="32"/>
      <c r="D229" s="33"/>
      <c r="E229" s="154" t="s">
        <v>360</v>
      </c>
      <c r="F229" s="103">
        <v>14.7</v>
      </c>
      <c r="G229" s="24"/>
      <c r="H229" s="59"/>
      <c r="I229" s="59"/>
      <c r="J229" s="59"/>
    </row>
    <row r="230" spans="1:10">
      <c r="A230" s="26"/>
      <c r="B230" s="78"/>
      <c r="C230" s="32"/>
      <c r="D230" s="33"/>
      <c r="E230" s="176"/>
      <c r="F230" s="84">
        <f>SUM(F227:F229)</f>
        <v>29.3</v>
      </c>
      <c r="G230" s="24"/>
      <c r="H230" s="59"/>
      <c r="I230" s="59"/>
      <c r="J230" s="59"/>
    </row>
    <row r="231" spans="1:10">
      <c r="A231" s="26"/>
      <c r="B231" s="78"/>
      <c r="C231" s="126"/>
      <c r="D231" s="55"/>
      <c r="E231" s="92"/>
      <c r="F231" s="84"/>
      <c r="G231" s="58"/>
      <c r="H231" s="59"/>
      <c r="I231" s="59"/>
      <c r="J231" s="59"/>
    </row>
    <row r="232" spans="1:10">
      <c r="A232" s="26"/>
      <c r="B232" s="78"/>
      <c r="C232" s="54"/>
      <c r="D232" s="55"/>
      <c r="E232" s="175"/>
      <c r="F232" s="84"/>
      <c r="G232" s="58"/>
      <c r="H232" s="59"/>
      <c r="I232" s="59"/>
      <c r="J232" s="59"/>
    </row>
    <row r="233" spans="1:10" ht="25.5">
      <c r="A233" s="26"/>
      <c r="B233" s="121" t="s">
        <v>102</v>
      </c>
      <c r="C233" s="121"/>
      <c r="D233" s="33"/>
      <c r="E233" s="52" t="s">
        <v>103</v>
      </c>
      <c r="F233" s="160"/>
      <c r="G233" s="58"/>
      <c r="H233" s="46"/>
      <c r="I233" s="46"/>
      <c r="J233" s="46"/>
    </row>
    <row r="234" spans="1:10">
      <c r="A234" s="26"/>
      <c r="B234" s="93"/>
      <c r="C234" s="102"/>
      <c r="D234" s="71"/>
      <c r="E234" s="52"/>
      <c r="F234" s="84"/>
      <c r="G234" s="45"/>
      <c r="H234" s="79"/>
      <c r="I234" s="79"/>
      <c r="J234" s="79"/>
    </row>
    <row r="235" spans="1:10" ht="25.5">
      <c r="A235" s="31">
        <f>MAX(A$1:A234)+1</f>
        <v>33</v>
      </c>
      <c r="B235" s="93"/>
      <c r="C235" s="32" t="s">
        <v>95</v>
      </c>
      <c r="D235" s="33"/>
      <c r="E235" s="52" t="s">
        <v>96</v>
      </c>
      <c r="F235" s="146"/>
      <c r="G235" s="24" t="s">
        <v>1</v>
      </c>
      <c r="H235" s="30">
        <v>242.3</v>
      </c>
      <c r="I235" s="379"/>
      <c r="J235" s="30">
        <f t="shared" si="3"/>
        <v>0</v>
      </c>
    </row>
    <row r="236" spans="1:10" ht="25.5">
      <c r="A236" s="31"/>
      <c r="B236" s="93"/>
      <c r="C236" s="32"/>
      <c r="D236" s="55" t="s">
        <v>129</v>
      </c>
      <c r="E236" s="56" t="s">
        <v>130</v>
      </c>
      <c r="F236" s="152"/>
      <c r="G236" s="58" t="s">
        <v>1</v>
      </c>
      <c r="H236" s="79">
        <v>242.3</v>
      </c>
      <c r="I236" s="79"/>
      <c r="J236" s="79"/>
    </row>
    <row r="237" spans="1:10">
      <c r="A237" s="31"/>
      <c r="B237" s="93"/>
      <c r="C237" s="32"/>
      <c r="D237" s="33"/>
      <c r="E237" s="97" t="s">
        <v>125</v>
      </c>
      <c r="F237" s="84"/>
      <c r="G237" s="24"/>
      <c r="H237" s="30"/>
      <c r="I237" s="30"/>
      <c r="J237" s="30"/>
    </row>
    <row r="238" spans="1:10">
      <c r="A238" s="31"/>
      <c r="B238" s="93"/>
      <c r="C238" s="32"/>
      <c r="D238" s="33"/>
      <c r="E238" s="92" t="s">
        <v>135</v>
      </c>
      <c r="F238" s="84"/>
      <c r="G238" s="24"/>
      <c r="H238" s="30"/>
      <c r="I238" s="30"/>
      <c r="J238" s="30"/>
    </row>
    <row r="239" spans="1:10">
      <c r="A239" s="31"/>
      <c r="B239" s="93"/>
      <c r="C239" s="32"/>
      <c r="D239" s="33"/>
      <c r="E239" s="92" t="s">
        <v>126</v>
      </c>
      <c r="F239" s="84">
        <v>242.3</v>
      </c>
      <c r="G239" s="24"/>
      <c r="H239" s="30"/>
      <c r="I239" s="30"/>
      <c r="J239" s="30"/>
    </row>
    <row r="240" spans="1:10">
      <c r="A240" s="26"/>
      <c r="B240" s="93"/>
      <c r="C240" s="102"/>
      <c r="D240" s="71"/>
      <c r="E240" s="92"/>
      <c r="F240" s="84"/>
      <c r="G240" s="45"/>
      <c r="H240" s="79"/>
      <c r="I240" s="79"/>
      <c r="J240" s="79"/>
    </row>
    <row r="241" spans="1:10" ht="25.5">
      <c r="A241" s="31">
        <f>MAX(A$1:A240)+1</f>
        <v>34</v>
      </c>
      <c r="B241" s="27"/>
      <c r="C241" s="32" t="s">
        <v>97</v>
      </c>
      <c r="D241" s="33"/>
      <c r="E241" s="52" t="s">
        <v>98</v>
      </c>
      <c r="F241" s="146"/>
      <c r="G241" s="24" t="s">
        <v>7</v>
      </c>
      <c r="H241" s="30">
        <v>31.98</v>
      </c>
      <c r="I241" s="379"/>
      <c r="J241" s="30">
        <f t="shared" si="3"/>
        <v>0</v>
      </c>
    </row>
    <row r="242" spans="1:10" ht="25.5">
      <c r="A242" s="31"/>
      <c r="B242" s="27"/>
      <c r="C242" s="32"/>
      <c r="D242" s="55" t="s">
        <v>127</v>
      </c>
      <c r="E242" s="56" t="s">
        <v>128</v>
      </c>
      <c r="F242" s="152"/>
      <c r="G242" s="58" t="s">
        <v>7</v>
      </c>
      <c r="H242" s="79">
        <v>31.98</v>
      </c>
      <c r="I242" s="79"/>
      <c r="J242" s="79"/>
    </row>
    <row r="243" spans="1:10">
      <c r="A243" s="31"/>
      <c r="B243" s="27"/>
      <c r="C243" s="32"/>
      <c r="D243" s="55"/>
      <c r="E243" s="97" t="s">
        <v>136</v>
      </c>
      <c r="F243" s="152"/>
      <c r="G243" s="58"/>
      <c r="H243" s="30"/>
      <c r="I243" s="30"/>
      <c r="J243" s="30"/>
    </row>
    <row r="244" spans="1:10">
      <c r="A244" s="31"/>
      <c r="B244" s="27"/>
      <c r="C244" s="32"/>
      <c r="D244" s="55"/>
      <c r="E244" s="97" t="s">
        <v>138</v>
      </c>
      <c r="F244" s="152"/>
      <c r="G244" s="58"/>
      <c r="H244" s="30"/>
      <c r="I244" s="30"/>
      <c r="J244" s="30"/>
    </row>
    <row r="245" spans="1:10">
      <c r="A245" s="31"/>
      <c r="B245" s="27"/>
      <c r="C245" s="32"/>
      <c r="D245" s="33"/>
      <c r="E245" s="97" t="s">
        <v>137</v>
      </c>
      <c r="F245" s="84"/>
      <c r="G245" s="24"/>
      <c r="H245" s="30"/>
      <c r="I245" s="30"/>
      <c r="J245" s="30"/>
    </row>
    <row r="246" spans="1:10">
      <c r="A246" s="31"/>
      <c r="B246" s="27"/>
      <c r="C246" s="32"/>
      <c r="D246" s="33"/>
      <c r="E246" s="92" t="s">
        <v>361</v>
      </c>
      <c r="F246" s="84">
        <f>251.9*0.05</f>
        <v>12.6</v>
      </c>
      <c r="G246" s="24"/>
      <c r="H246" s="30"/>
      <c r="I246" s="30"/>
      <c r="J246" s="30"/>
    </row>
    <row r="247" spans="1:10">
      <c r="A247" s="31"/>
      <c r="B247" s="27"/>
      <c r="C247" s="32"/>
      <c r="D247" s="33"/>
      <c r="E247" s="97" t="s">
        <v>362</v>
      </c>
      <c r="F247" s="84"/>
      <c r="G247" s="24"/>
      <c r="H247" s="30"/>
      <c r="I247" s="30"/>
      <c r="J247" s="30"/>
    </row>
    <row r="248" spans="1:10">
      <c r="A248" s="31"/>
      <c r="B248" s="27"/>
      <c r="C248" s="32"/>
      <c r="D248" s="33"/>
      <c r="E248" s="92" t="s">
        <v>363</v>
      </c>
      <c r="F248" s="84"/>
      <c r="G248" s="24"/>
      <c r="H248" s="30"/>
      <c r="I248" s="30"/>
      <c r="J248" s="30"/>
    </row>
    <row r="249" spans="1:10">
      <c r="A249" s="31"/>
      <c r="B249" s="27"/>
      <c r="C249" s="32"/>
      <c r="D249" s="33"/>
      <c r="E249" s="92" t="s">
        <v>364</v>
      </c>
      <c r="F249" s="103">
        <f>242.3*0.08</f>
        <v>19.38</v>
      </c>
      <c r="G249" s="24"/>
      <c r="H249" s="30"/>
      <c r="I249" s="30"/>
      <c r="J249" s="30"/>
    </row>
    <row r="250" spans="1:10">
      <c r="A250" s="31"/>
      <c r="B250" s="27"/>
      <c r="C250" s="32"/>
      <c r="D250" s="33"/>
      <c r="E250" s="92"/>
      <c r="F250" s="84">
        <f>SUM(F246:F249)</f>
        <v>31.98</v>
      </c>
      <c r="G250" s="24"/>
      <c r="H250" s="30"/>
      <c r="I250" s="30"/>
      <c r="J250" s="30"/>
    </row>
    <row r="251" spans="1:10">
      <c r="A251" s="26"/>
      <c r="B251" s="27"/>
      <c r="C251" s="32"/>
      <c r="D251" s="33"/>
      <c r="E251" s="92"/>
      <c r="F251" s="146"/>
      <c r="G251" s="24"/>
      <c r="H251" s="36"/>
      <c r="I251" s="36"/>
      <c r="J251" s="36"/>
    </row>
    <row r="252" spans="1:10" ht="25.5">
      <c r="A252" s="31">
        <f>MAX(A$1:A251)+1</f>
        <v>35</v>
      </c>
      <c r="B252" s="27"/>
      <c r="C252" s="32" t="s">
        <v>236</v>
      </c>
      <c r="D252" s="33"/>
      <c r="E252" s="52" t="s">
        <v>244</v>
      </c>
      <c r="F252" s="146"/>
      <c r="G252" s="24" t="s">
        <v>5</v>
      </c>
      <c r="H252" s="36">
        <v>37.1</v>
      </c>
      <c r="I252" s="380"/>
      <c r="J252" s="36">
        <f t="shared" si="3"/>
        <v>0</v>
      </c>
    </row>
    <row r="253" spans="1:10" ht="38.25">
      <c r="A253" s="26"/>
      <c r="B253" s="27"/>
      <c r="C253" s="33"/>
      <c r="D253" s="55" t="s">
        <v>237</v>
      </c>
      <c r="E253" s="56" t="s">
        <v>245</v>
      </c>
      <c r="F253" s="152"/>
      <c r="G253" s="58" t="s">
        <v>5</v>
      </c>
      <c r="H253" s="59">
        <v>37.1</v>
      </c>
      <c r="I253" s="36"/>
      <c r="J253" s="36"/>
    </row>
    <row r="254" spans="1:10">
      <c r="A254" s="26"/>
      <c r="B254" s="27"/>
      <c r="C254" s="32"/>
      <c r="D254" s="33"/>
      <c r="E254" s="92" t="s">
        <v>365</v>
      </c>
      <c r="F254" s="84">
        <v>37.1</v>
      </c>
      <c r="G254" s="24"/>
      <c r="H254" s="36"/>
      <c r="I254" s="36"/>
      <c r="J254" s="36"/>
    </row>
    <row r="255" spans="1:10">
      <c r="A255" s="26"/>
      <c r="B255" s="27"/>
      <c r="C255" s="102"/>
      <c r="D255" s="55"/>
      <c r="E255" s="56"/>
      <c r="F255" s="152"/>
      <c r="G255" s="58"/>
      <c r="H255" s="79"/>
      <c r="I255" s="79"/>
      <c r="J255" s="79"/>
    </row>
    <row r="256" spans="1:10">
      <c r="A256" s="31">
        <f>MAX(A$1:A255)+1</f>
        <v>36</v>
      </c>
      <c r="B256" s="27"/>
      <c r="C256" s="32" t="s">
        <v>99</v>
      </c>
      <c r="D256" s="33"/>
      <c r="E256" s="52" t="s">
        <v>86</v>
      </c>
      <c r="F256" s="146"/>
      <c r="G256" s="24" t="s">
        <v>5</v>
      </c>
      <c r="H256" s="30">
        <v>124</v>
      </c>
      <c r="I256" s="379"/>
      <c r="J256" s="30">
        <f t="shared" si="3"/>
        <v>0</v>
      </c>
    </row>
    <row r="257" spans="1:11">
      <c r="A257" s="26"/>
      <c r="B257" s="27"/>
      <c r="C257" s="54"/>
      <c r="D257" s="55" t="s">
        <v>100</v>
      </c>
      <c r="E257" s="56" t="s">
        <v>101</v>
      </c>
      <c r="F257" s="152"/>
      <c r="G257" s="58" t="s">
        <v>5</v>
      </c>
      <c r="H257" s="79">
        <v>124</v>
      </c>
      <c r="I257" s="79"/>
      <c r="J257" s="79"/>
    </row>
    <row r="258" spans="1:11">
      <c r="A258" s="26"/>
      <c r="B258" s="27"/>
      <c r="C258" s="126"/>
      <c r="D258" s="126"/>
      <c r="E258" s="97" t="s">
        <v>366</v>
      </c>
      <c r="F258" s="84"/>
      <c r="G258" s="45"/>
      <c r="H258" s="79"/>
      <c r="I258" s="79"/>
      <c r="J258" s="79"/>
    </row>
    <row r="259" spans="1:11">
      <c r="A259" s="26"/>
      <c r="B259" s="27"/>
      <c r="C259" s="126"/>
      <c r="D259" s="126"/>
      <c r="E259" s="92" t="s">
        <v>367</v>
      </c>
      <c r="F259" s="84">
        <v>124</v>
      </c>
      <c r="G259" s="45"/>
      <c r="H259" s="79"/>
      <c r="I259" s="79"/>
      <c r="J259" s="79"/>
    </row>
    <row r="260" spans="1:11">
      <c r="A260" s="26"/>
      <c r="B260" s="27"/>
      <c r="C260" s="126"/>
      <c r="D260" s="126"/>
      <c r="E260" s="92"/>
      <c r="F260" s="84"/>
      <c r="G260" s="45"/>
      <c r="H260" s="79"/>
      <c r="I260" s="79"/>
      <c r="J260" s="79"/>
    </row>
    <row r="261" spans="1:11">
      <c r="A261" s="26"/>
      <c r="B261" s="27"/>
      <c r="C261" s="32"/>
      <c r="D261" s="33"/>
      <c r="E261" s="52"/>
      <c r="F261" s="146"/>
      <c r="G261" s="24"/>
      <c r="H261" s="79"/>
      <c r="I261" s="79"/>
      <c r="J261" s="79"/>
    </row>
    <row r="262" spans="1:11" ht="25.5">
      <c r="A262" s="26"/>
      <c r="B262" s="121" t="s">
        <v>104</v>
      </c>
      <c r="C262" s="121"/>
      <c r="D262" s="33"/>
      <c r="E262" s="52" t="s">
        <v>107</v>
      </c>
      <c r="F262" s="84"/>
      <c r="G262" s="45"/>
      <c r="H262" s="79"/>
      <c r="I262" s="79"/>
      <c r="J262" s="79"/>
      <c r="K262" s="113"/>
    </row>
    <row r="263" spans="1:11">
      <c r="A263" s="26"/>
      <c r="B263" s="121"/>
      <c r="C263" s="121"/>
      <c r="D263" s="33"/>
      <c r="E263" s="52"/>
      <c r="F263" s="84"/>
      <c r="G263" s="45"/>
      <c r="H263" s="79"/>
      <c r="I263" s="79"/>
      <c r="J263" s="79"/>
    </row>
    <row r="264" spans="1:11" ht="25.5">
      <c r="A264" s="31">
        <f>MAX(A$1:A263)+1</f>
        <v>37</v>
      </c>
      <c r="B264" s="93"/>
      <c r="C264" s="32" t="s">
        <v>87</v>
      </c>
      <c r="D264" s="33"/>
      <c r="E264" s="52" t="s">
        <v>88</v>
      </c>
      <c r="F264" s="146"/>
      <c r="G264" s="24" t="s">
        <v>7</v>
      </c>
      <c r="H264" s="30">
        <v>97.36</v>
      </c>
      <c r="I264" s="379"/>
      <c r="J264" s="30">
        <f t="shared" ref="J264:J317" si="4">I264*H264</f>
        <v>0</v>
      </c>
    </row>
    <row r="265" spans="1:11">
      <c r="A265" s="31"/>
      <c r="B265" s="93"/>
      <c r="C265" s="32"/>
      <c r="D265" s="33"/>
      <c r="E265" s="97" t="s">
        <v>116</v>
      </c>
      <c r="F265" s="145"/>
      <c r="G265" s="24"/>
      <c r="H265" s="30"/>
      <c r="I265" s="30"/>
      <c r="J265" s="30"/>
    </row>
    <row r="266" spans="1:11">
      <c r="A266" s="26"/>
      <c r="B266" s="93"/>
      <c r="C266" s="32"/>
      <c r="D266" s="33"/>
      <c r="E266" s="92" t="s">
        <v>368</v>
      </c>
      <c r="F266" s="84"/>
      <c r="G266" s="24"/>
      <c r="H266" s="79"/>
      <c r="I266" s="79"/>
      <c r="J266" s="79"/>
    </row>
    <row r="267" spans="1:11">
      <c r="A267" s="26"/>
      <c r="B267" s="93"/>
      <c r="C267" s="126"/>
      <c r="D267" s="130"/>
      <c r="E267" s="105" t="s">
        <v>369</v>
      </c>
      <c r="F267" s="162">
        <f>262.4*0.15</f>
        <v>39.36</v>
      </c>
      <c r="G267" s="131"/>
      <c r="H267" s="79"/>
      <c r="I267" s="79"/>
      <c r="J267" s="79"/>
    </row>
    <row r="268" spans="1:11">
      <c r="A268" s="26"/>
      <c r="B268" s="93"/>
      <c r="C268" s="126"/>
      <c r="D268" s="130"/>
      <c r="E268" s="92" t="s">
        <v>370</v>
      </c>
      <c r="F268" s="84"/>
      <c r="G268" s="131"/>
      <c r="H268" s="79"/>
      <c r="I268" s="79"/>
      <c r="J268" s="79"/>
    </row>
    <row r="269" spans="1:11">
      <c r="A269" s="26"/>
      <c r="B269" s="93"/>
      <c r="C269" s="126"/>
      <c r="D269" s="130"/>
      <c r="E269" s="105" t="s">
        <v>371</v>
      </c>
      <c r="F269" s="163">
        <f>290*0.2</f>
        <v>58</v>
      </c>
      <c r="G269" s="131"/>
      <c r="H269" s="79"/>
      <c r="I269" s="79"/>
      <c r="J269" s="79"/>
    </row>
    <row r="270" spans="1:11">
      <c r="A270" s="26"/>
      <c r="B270" s="93"/>
      <c r="C270" s="126"/>
      <c r="D270" s="130"/>
      <c r="E270" s="105"/>
      <c r="F270" s="162">
        <f>SUM(F267:F269)</f>
        <v>97.36</v>
      </c>
      <c r="G270" s="131"/>
      <c r="H270" s="79"/>
      <c r="I270" s="79"/>
      <c r="J270" s="79"/>
    </row>
    <row r="271" spans="1:11">
      <c r="A271" s="26"/>
      <c r="B271" s="93"/>
      <c r="C271" s="32"/>
      <c r="D271" s="33"/>
      <c r="E271" s="177"/>
      <c r="F271" s="84"/>
      <c r="G271" s="24"/>
      <c r="H271" s="79"/>
      <c r="I271" s="79"/>
      <c r="J271" s="79"/>
    </row>
    <row r="272" spans="1:11" ht="25.5">
      <c r="A272" s="31">
        <f>MAX(A$1:A271)+1</f>
        <v>38</v>
      </c>
      <c r="B272" s="93"/>
      <c r="C272" s="32" t="s">
        <v>89</v>
      </c>
      <c r="D272" s="33"/>
      <c r="E272" s="52" t="s">
        <v>90</v>
      </c>
      <c r="F272" s="146"/>
      <c r="G272" s="24" t="s">
        <v>7</v>
      </c>
      <c r="H272" s="30">
        <v>91.8</v>
      </c>
      <c r="I272" s="379"/>
      <c r="J272" s="30">
        <f t="shared" si="4"/>
        <v>0</v>
      </c>
    </row>
    <row r="273" spans="1:10" ht="25.5">
      <c r="A273" s="31"/>
      <c r="B273" s="93"/>
      <c r="C273" s="54"/>
      <c r="D273" s="55" t="s">
        <v>91</v>
      </c>
      <c r="E273" s="56" t="s">
        <v>92</v>
      </c>
      <c r="F273" s="152"/>
      <c r="G273" s="58" t="s">
        <v>7</v>
      </c>
      <c r="H273" s="101">
        <v>91.8</v>
      </c>
      <c r="I273" s="101"/>
      <c r="J273" s="101"/>
    </row>
    <row r="274" spans="1:10" ht="25.5">
      <c r="A274" s="26"/>
      <c r="B274" s="93"/>
      <c r="C274" s="32"/>
      <c r="D274" s="33"/>
      <c r="E274" s="97" t="s">
        <v>117</v>
      </c>
      <c r="F274" s="84"/>
      <c r="G274" s="24"/>
      <c r="H274" s="79"/>
      <c r="I274" s="79"/>
      <c r="J274" s="79"/>
    </row>
    <row r="275" spans="1:10">
      <c r="A275" s="26"/>
      <c r="B275" s="93"/>
      <c r="C275" s="32"/>
      <c r="D275" s="33"/>
      <c r="E275" s="92" t="s">
        <v>372</v>
      </c>
      <c r="F275" s="84">
        <v>91.8</v>
      </c>
      <c r="G275" s="24"/>
      <c r="H275" s="79"/>
      <c r="I275" s="79"/>
      <c r="J275" s="79"/>
    </row>
    <row r="276" spans="1:10">
      <c r="A276" s="26"/>
      <c r="B276" s="93"/>
      <c r="C276" s="102"/>
      <c r="D276" s="71"/>
      <c r="E276" s="52"/>
      <c r="F276" s="84"/>
      <c r="G276" s="45"/>
      <c r="H276" s="79"/>
      <c r="I276" s="79"/>
      <c r="J276" s="79"/>
    </row>
    <row r="277" spans="1:10" ht="25.5">
      <c r="A277" s="31">
        <f>MAX(A$1:A276)+1</f>
        <v>39</v>
      </c>
      <c r="B277" s="93"/>
      <c r="C277" s="32" t="s">
        <v>93</v>
      </c>
      <c r="D277" s="33"/>
      <c r="E277" s="52" t="s">
        <v>105</v>
      </c>
      <c r="F277" s="146"/>
      <c r="G277" s="24" t="s">
        <v>1</v>
      </c>
      <c r="H277" s="30">
        <v>262.39999999999998</v>
      </c>
      <c r="I277" s="379"/>
      <c r="J277" s="30">
        <f t="shared" si="4"/>
        <v>0</v>
      </c>
    </row>
    <row r="278" spans="1:10" ht="25.5">
      <c r="A278" s="26"/>
      <c r="B278" s="93"/>
      <c r="C278" s="102"/>
      <c r="D278" s="55" t="s">
        <v>94</v>
      </c>
      <c r="E278" s="56" t="s">
        <v>106</v>
      </c>
      <c r="F278" s="152"/>
      <c r="G278" s="58" t="s">
        <v>1</v>
      </c>
      <c r="H278" s="79">
        <v>262.39999999999998</v>
      </c>
      <c r="I278" s="79"/>
      <c r="J278" s="79"/>
    </row>
    <row r="279" spans="1:10">
      <c r="A279" s="26"/>
      <c r="B279" s="93"/>
      <c r="C279" s="102"/>
      <c r="D279" s="55"/>
      <c r="E279" s="97" t="s">
        <v>116</v>
      </c>
      <c r="F279" s="155"/>
      <c r="G279" s="58"/>
      <c r="H279" s="79"/>
      <c r="I279" s="79"/>
      <c r="J279" s="79"/>
    </row>
    <row r="280" spans="1:10">
      <c r="A280" s="26"/>
      <c r="B280" s="93"/>
      <c r="C280" s="102"/>
      <c r="D280" s="71"/>
      <c r="E280" s="97" t="s">
        <v>373</v>
      </c>
      <c r="F280" s="84"/>
      <c r="G280" s="45"/>
      <c r="H280" s="79"/>
      <c r="I280" s="79"/>
      <c r="J280" s="79"/>
    </row>
    <row r="281" spans="1:10">
      <c r="A281" s="26"/>
      <c r="B281" s="93"/>
      <c r="C281" s="102"/>
      <c r="D281" s="71"/>
      <c r="E281" s="92" t="s">
        <v>374</v>
      </c>
      <c r="F281" s="84">
        <v>262.39999999999998</v>
      </c>
      <c r="G281" s="45"/>
      <c r="H281" s="79"/>
      <c r="I281" s="79"/>
      <c r="J281" s="79"/>
    </row>
    <row r="282" spans="1:10">
      <c r="A282" s="26"/>
      <c r="B282" s="93"/>
      <c r="C282" s="102"/>
      <c r="D282" s="71"/>
      <c r="E282" s="97"/>
      <c r="F282" s="84"/>
      <c r="G282" s="45"/>
      <c r="H282" s="79"/>
      <c r="I282" s="79"/>
      <c r="J282" s="79"/>
    </row>
    <row r="283" spans="1:10" ht="25.5">
      <c r="A283" s="31">
        <f>MAX(A$1:A282)+1</f>
        <v>40</v>
      </c>
      <c r="B283" s="89"/>
      <c r="C283" s="32" t="s">
        <v>375</v>
      </c>
      <c r="D283" s="33"/>
      <c r="E283" s="52" t="s">
        <v>376</v>
      </c>
      <c r="F283" s="146"/>
      <c r="G283" s="24" t="s">
        <v>5</v>
      </c>
      <c r="H283" s="30">
        <v>30.8</v>
      </c>
      <c r="I283" s="379"/>
      <c r="J283" s="30">
        <f t="shared" si="4"/>
        <v>0</v>
      </c>
    </row>
    <row r="284" spans="1:10" ht="25.5">
      <c r="A284" s="88"/>
      <c r="B284" s="89"/>
      <c r="C284" s="54"/>
      <c r="D284" s="55" t="s">
        <v>377</v>
      </c>
      <c r="E284" s="56" t="s">
        <v>378</v>
      </c>
      <c r="F284" s="152"/>
      <c r="G284" s="58" t="s">
        <v>5</v>
      </c>
      <c r="H284" s="79">
        <v>30.8</v>
      </c>
      <c r="I284" s="79"/>
      <c r="J284" s="79"/>
    </row>
    <row r="285" spans="1:10">
      <c r="A285" s="88"/>
      <c r="B285" s="89"/>
      <c r="C285" s="54"/>
      <c r="D285" s="55"/>
      <c r="E285" s="97" t="s">
        <v>311</v>
      </c>
      <c r="F285" s="152"/>
      <c r="G285" s="58"/>
      <c r="H285" s="79"/>
      <c r="I285" s="79"/>
      <c r="J285" s="79"/>
    </row>
    <row r="286" spans="1:10">
      <c r="A286" s="88"/>
      <c r="B286" s="89"/>
      <c r="C286" s="54"/>
      <c r="D286" s="55"/>
      <c r="E286" s="92" t="s">
        <v>379</v>
      </c>
      <c r="F286" s="160">
        <v>15.3</v>
      </c>
      <c r="G286" s="58"/>
      <c r="H286" s="79"/>
      <c r="I286" s="79"/>
      <c r="J286" s="79"/>
    </row>
    <row r="287" spans="1:10">
      <c r="A287" s="88"/>
      <c r="B287" s="89"/>
      <c r="C287" s="54"/>
      <c r="D287" s="55"/>
      <c r="E287" s="97" t="s">
        <v>306</v>
      </c>
      <c r="F287" s="84"/>
      <c r="G287" s="58"/>
      <c r="H287" s="79"/>
      <c r="I287" s="79"/>
      <c r="J287" s="79"/>
    </row>
    <row r="288" spans="1:10">
      <c r="A288" s="88"/>
      <c r="B288" s="89"/>
      <c r="C288" s="54"/>
      <c r="D288" s="55"/>
      <c r="E288" s="92" t="s">
        <v>379</v>
      </c>
      <c r="F288" s="103">
        <v>15.5</v>
      </c>
      <c r="G288" s="58"/>
      <c r="H288" s="79"/>
      <c r="I288" s="79"/>
      <c r="J288" s="79"/>
    </row>
    <row r="289" spans="1:11">
      <c r="A289" s="88"/>
      <c r="B289" s="89"/>
      <c r="C289" s="54"/>
      <c r="D289" s="55"/>
      <c r="E289" s="92"/>
      <c r="F289" s="84">
        <f>SUM(F288+F286)</f>
        <v>30.8</v>
      </c>
      <c r="G289" s="58"/>
      <c r="H289" s="79"/>
      <c r="I289" s="79"/>
      <c r="J289" s="79"/>
    </row>
    <row r="290" spans="1:11">
      <c r="A290" s="88"/>
      <c r="B290" s="89"/>
      <c r="C290" s="54"/>
      <c r="D290" s="55"/>
      <c r="E290" s="56"/>
      <c r="F290" s="152"/>
      <c r="G290" s="58"/>
      <c r="H290" s="79"/>
      <c r="I290" s="79"/>
      <c r="J290" s="79"/>
    </row>
    <row r="291" spans="1:11">
      <c r="A291" s="26"/>
      <c r="B291" s="27"/>
      <c r="C291" s="126"/>
      <c r="D291" s="126"/>
      <c r="E291" s="92"/>
      <c r="F291" s="84"/>
      <c r="G291" s="45"/>
      <c r="H291" s="79"/>
      <c r="I291" s="79"/>
      <c r="J291" s="79"/>
    </row>
    <row r="292" spans="1:11" ht="25.5">
      <c r="A292" s="26"/>
      <c r="B292" s="121" t="s">
        <v>380</v>
      </c>
      <c r="C292" s="121"/>
      <c r="D292" s="33"/>
      <c r="E292" s="52" t="s">
        <v>381</v>
      </c>
      <c r="F292" s="84"/>
      <c r="G292" s="45"/>
      <c r="H292" s="79"/>
      <c r="I292" s="79"/>
      <c r="J292" s="79"/>
      <c r="K292" s="113"/>
    </row>
    <row r="293" spans="1:11">
      <c r="A293" s="26"/>
      <c r="B293" s="27"/>
      <c r="C293" s="126"/>
      <c r="D293" s="126"/>
      <c r="E293" s="175"/>
      <c r="F293" s="84"/>
      <c r="G293" s="45"/>
      <c r="H293" s="79"/>
      <c r="I293" s="79"/>
      <c r="J293" s="79"/>
    </row>
    <row r="294" spans="1:11" ht="25.5">
      <c r="A294" s="31">
        <f>MAX(A$1:A293)+1</f>
        <v>41</v>
      </c>
      <c r="B294" s="74"/>
      <c r="C294" s="32" t="s">
        <v>382</v>
      </c>
      <c r="D294" s="33"/>
      <c r="E294" s="52" t="s">
        <v>383</v>
      </c>
      <c r="F294" s="146"/>
      <c r="G294" s="24" t="s">
        <v>7</v>
      </c>
      <c r="H294" s="30">
        <v>0.64</v>
      </c>
      <c r="I294" s="379"/>
      <c r="J294" s="30">
        <f t="shared" si="4"/>
        <v>0</v>
      </c>
    </row>
    <row r="295" spans="1:11" ht="25.5">
      <c r="A295" s="26"/>
      <c r="B295" s="74"/>
      <c r="C295" s="32"/>
      <c r="D295" s="130" t="s">
        <v>384</v>
      </c>
      <c r="E295" s="164" t="s">
        <v>385</v>
      </c>
      <c r="F295" s="165"/>
      <c r="G295" s="45" t="s">
        <v>7</v>
      </c>
      <c r="H295" s="79">
        <v>0.64</v>
      </c>
      <c r="I295" s="79"/>
      <c r="J295" s="79"/>
    </row>
    <row r="296" spans="1:11">
      <c r="A296" s="26"/>
      <c r="B296" s="74"/>
      <c r="C296" s="32"/>
      <c r="D296" s="33"/>
      <c r="E296" s="97" t="s">
        <v>311</v>
      </c>
      <c r="F296" s="165"/>
      <c r="G296" s="24"/>
      <c r="H296" s="30"/>
      <c r="I296" s="30"/>
      <c r="J296" s="30"/>
    </row>
    <row r="297" spans="1:11">
      <c r="A297" s="26"/>
      <c r="B297" s="74"/>
      <c r="C297" s="32"/>
      <c r="D297" s="33"/>
      <c r="E297" s="92" t="s">
        <v>386</v>
      </c>
      <c r="F297" s="165"/>
      <c r="G297" s="24"/>
      <c r="H297" s="30"/>
      <c r="I297" s="30"/>
      <c r="J297" s="30"/>
    </row>
    <row r="298" spans="1:11">
      <c r="A298" s="26"/>
      <c r="B298" s="74"/>
      <c r="C298" s="32"/>
      <c r="D298" s="33"/>
      <c r="E298" s="92" t="s">
        <v>387</v>
      </c>
      <c r="F298" s="84">
        <f>2*2*0.08</f>
        <v>0.32</v>
      </c>
      <c r="G298" s="24"/>
      <c r="H298" s="30"/>
      <c r="I298" s="30"/>
      <c r="J298" s="30"/>
    </row>
    <row r="299" spans="1:11">
      <c r="A299" s="26"/>
      <c r="B299" s="74"/>
      <c r="C299" s="32"/>
      <c r="D299" s="33"/>
      <c r="E299" s="97" t="s">
        <v>306</v>
      </c>
      <c r="F299" s="84"/>
      <c r="G299" s="24"/>
      <c r="H299" s="30"/>
      <c r="I299" s="30"/>
      <c r="J299" s="30"/>
    </row>
    <row r="300" spans="1:11">
      <c r="A300" s="26"/>
      <c r="B300" s="74"/>
      <c r="C300" s="32"/>
      <c r="D300" s="33"/>
      <c r="E300" s="92" t="s">
        <v>386</v>
      </c>
      <c r="F300" s="84"/>
      <c r="G300" s="24"/>
      <c r="H300" s="30"/>
      <c r="I300" s="30"/>
      <c r="J300" s="30"/>
    </row>
    <row r="301" spans="1:11">
      <c r="A301" s="26"/>
      <c r="B301" s="74"/>
      <c r="C301" s="32"/>
      <c r="D301" s="33"/>
      <c r="E301" s="92" t="s">
        <v>387</v>
      </c>
      <c r="F301" s="103">
        <f>2*2*0.08</f>
        <v>0.32</v>
      </c>
      <c r="G301" s="24"/>
      <c r="H301" s="30"/>
      <c r="I301" s="30"/>
      <c r="J301" s="30"/>
    </row>
    <row r="302" spans="1:11">
      <c r="A302" s="26"/>
      <c r="B302" s="74"/>
      <c r="C302" s="32"/>
      <c r="D302" s="33"/>
      <c r="E302" s="92"/>
      <c r="F302" s="84">
        <f>SUM(F298:F301)</f>
        <v>0.64</v>
      </c>
      <c r="G302" s="24"/>
      <c r="H302" s="30"/>
      <c r="I302" s="30"/>
      <c r="J302" s="30"/>
    </row>
    <row r="303" spans="1:11">
      <c r="A303" s="26"/>
      <c r="B303" s="74"/>
      <c r="C303" s="32"/>
      <c r="D303" s="33"/>
      <c r="E303" s="52"/>
      <c r="F303" s="146"/>
      <c r="G303" s="24"/>
      <c r="H303" s="79"/>
      <c r="I303" s="79"/>
      <c r="J303" s="79"/>
    </row>
    <row r="304" spans="1:11" ht="25.5">
      <c r="A304" s="31">
        <f>MAX(A$1:A294)+1</f>
        <v>42</v>
      </c>
      <c r="B304" s="87"/>
      <c r="C304" s="32" t="s">
        <v>388</v>
      </c>
      <c r="D304" s="33"/>
      <c r="E304" s="52" t="s">
        <v>389</v>
      </c>
      <c r="F304" s="146"/>
      <c r="G304" s="24" t="s">
        <v>7</v>
      </c>
      <c r="H304" s="51">
        <v>2.2999999999999998</v>
      </c>
      <c r="I304" s="381"/>
      <c r="J304" s="51">
        <f t="shared" si="4"/>
        <v>0</v>
      </c>
    </row>
    <row r="305" spans="1:10" ht="25.5">
      <c r="A305" s="88"/>
      <c r="B305" s="166"/>
      <c r="C305" s="54"/>
      <c r="D305" s="130" t="s">
        <v>390</v>
      </c>
      <c r="E305" s="167" t="s">
        <v>391</v>
      </c>
      <c r="F305" s="165"/>
      <c r="G305" s="45" t="s">
        <v>7</v>
      </c>
      <c r="H305" s="46">
        <v>2.2999999999999998</v>
      </c>
      <c r="I305" s="46"/>
      <c r="J305" s="46"/>
    </row>
    <row r="306" spans="1:10">
      <c r="A306" s="88"/>
      <c r="B306" s="166"/>
      <c r="C306" s="54"/>
      <c r="D306" s="130"/>
      <c r="E306" s="97" t="s">
        <v>311</v>
      </c>
      <c r="F306" s="165"/>
      <c r="G306" s="45"/>
      <c r="H306" s="46"/>
      <c r="I306" s="46"/>
      <c r="J306" s="46"/>
    </row>
    <row r="307" spans="1:10">
      <c r="A307" s="88"/>
      <c r="B307" s="166"/>
      <c r="C307" s="54"/>
      <c r="D307" s="130"/>
      <c r="E307" s="92" t="s">
        <v>392</v>
      </c>
      <c r="F307" s="84">
        <f>2*(0.8*0.4*1.8)</f>
        <v>1.1499999999999999</v>
      </c>
      <c r="G307" s="45"/>
      <c r="H307" s="46"/>
      <c r="I307" s="46"/>
      <c r="J307" s="46"/>
    </row>
    <row r="308" spans="1:10">
      <c r="A308" s="88"/>
      <c r="B308" s="166"/>
      <c r="C308" s="54"/>
      <c r="D308" s="130"/>
      <c r="E308" s="97" t="s">
        <v>306</v>
      </c>
      <c r="F308" s="165"/>
      <c r="G308" s="45"/>
      <c r="H308" s="46"/>
      <c r="I308" s="46"/>
      <c r="J308" s="46"/>
    </row>
    <row r="309" spans="1:10">
      <c r="A309" s="88"/>
      <c r="B309" s="166"/>
      <c r="C309" s="54"/>
      <c r="D309" s="130"/>
      <c r="E309" s="92" t="s">
        <v>392</v>
      </c>
      <c r="F309" s="103">
        <f>2*(0.8*0.4*1.8)</f>
        <v>1.1499999999999999</v>
      </c>
      <c r="G309" s="45"/>
      <c r="H309" s="46"/>
      <c r="I309" s="46"/>
      <c r="J309" s="46"/>
    </row>
    <row r="310" spans="1:10">
      <c r="A310" s="88"/>
      <c r="B310" s="166"/>
      <c r="C310" s="54"/>
      <c r="D310" s="130"/>
      <c r="E310" s="92"/>
      <c r="F310" s="84">
        <f>SUM(F307:F309)</f>
        <v>2.2999999999999998</v>
      </c>
      <c r="G310" s="45"/>
      <c r="H310" s="46"/>
      <c r="I310" s="46"/>
      <c r="J310" s="46"/>
    </row>
    <row r="311" spans="1:10">
      <c r="A311" s="178"/>
      <c r="B311" s="179"/>
      <c r="C311" s="71"/>
      <c r="D311" s="72"/>
      <c r="E311" s="154"/>
      <c r="F311" s="84"/>
      <c r="G311" s="45"/>
      <c r="H311" s="46"/>
      <c r="I311" s="46"/>
      <c r="J311" s="46"/>
    </row>
    <row r="312" spans="1:10">
      <c r="A312" s="31">
        <f>MAX(A$1:A311)+1</f>
        <v>43</v>
      </c>
      <c r="B312" s="179"/>
      <c r="C312" s="32" t="s">
        <v>393</v>
      </c>
      <c r="D312" s="33"/>
      <c r="E312" s="52" t="s">
        <v>394</v>
      </c>
      <c r="F312" s="146"/>
      <c r="G312" s="24" t="s">
        <v>7</v>
      </c>
      <c r="H312" s="51">
        <v>95</v>
      </c>
      <c r="I312" s="381"/>
      <c r="J312" s="51">
        <f t="shared" si="4"/>
        <v>0</v>
      </c>
    </row>
    <row r="313" spans="1:10">
      <c r="A313" s="178"/>
      <c r="B313" s="179"/>
      <c r="C313" s="54"/>
      <c r="D313" s="55" t="s">
        <v>395</v>
      </c>
      <c r="E313" s="56" t="s">
        <v>396</v>
      </c>
      <c r="F313" s="152"/>
      <c r="G313" s="58" t="s">
        <v>7</v>
      </c>
      <c r="H313" s="46">
        <v>95</v>
      </c>
      <c r="I313" s="46"/>
      <c r="J313" s="46"/>
    </row>
    <row r="314" spans="1:10">
      <c r="A314" s="178"/>
      <c r="B314" s="179"/>
      <c r="C314" s="54"/>
      <c r="D314" s="55"/>
      <c r="E314" s="97" t="s">
        <v>311</v>
      </c>
      <c r="F314" s="152"/>
      <c r="G314" s="58"/>
      <c r="H314" s="46"/>
      <c r="I314" s="46"/>
      <c r="J314" s="46"/>
    </row>
    <row r="315" spans="1:10" ht="25.5">
      <c r="A315" s="178"/>
      <c r="B315" s="179"/>
      <c r="C315" s="54"/>
      <c r="D315" s="55"/>
      <c r="E315" s="168" t="s">
        <v>397</v>
      </c>
      <c r="F315" s="169">
        <v>95</v>
      </c>
      <c r="G315" s="58"/>
      <c r="H315" s="46"/>
      <c r="I315" s="46"/>
      <c r="J315" s="46"/>
    </row>
    <row r="316" spans="1:10">
      <c r="A316" s="178"/>
      <c r="B316" s="179"/>
      <c r="C316" s="71"/>
      <c r="D316" s="72"/>
      <c r="E316" s="154"/>
      <c r="F316" s="84"/>
      <c r="G316" s="45"/>
      <c r="H316" s="46"/>
      <c r="I316" s="46"/>
      <c r="J316" s="46"/>
    </row>
    <row r="317" spans="1:10">
      <c r="A317" s="31">
        <f>MAX(A$1:A316)+1</f>
        <v>44</v>
      </c>
      <c r="B317" s="93"/>
      <c r="C317" s="32" t="s">
        <v>398</v>
      </c>
      <c r="D317" s="33"/>
      <c r="E317" s="52" t="s">
        <v>399</v>
      </c>
      <c r="F317" s="146"/>
      <c r="G317" s="24" t="s">
        <v>1</v>
      </c>
      <c r="H317" s="51">
        <v>100.2</v>
      </c>
      <c r="I317" s="381"/>
      <c r="J317" s="51">
        <f t="shared" si="4"/>
        <v>0</v>
      </c>
    </row>
    <row r="318" spans="1:10">
      <c r="A318" s="69"/>
      <c r="B318" s="93"/>
      <c r="C318" s="54"/>
      <c r="D318" s="55" t="s">
        <v>400</v>
      </c>
      <c r="E318" s="56" t="s">
        <v>401</v>
      </c>
      <c r="F318" s="152"/>
      <c r="G318" s="58" t="s">
        <v>1</v>
      </c>
      <c r="H318" s="46">
        <v>100.2</v>
      </c>
      <c r="I318" s="46"/>
      <c r="J318" s="46"/>
    </row>
    <row r="319" spans="1:10" ht="25.5">
      <c r="A319" s="69"/>
      <c r="B319" s="93"/>
      <c r="C319" s="54"/>
      <c r="D319" s="55"/>
      <c r="E319" s="168" t="s">
        <v>402</v>
      </c>
      <c r="F319" s="152"/>
      <c r="G319" s="58"/>
      <c r="H319" s="46"/>
      <c r="I319" s="46"/>
      <c r="J319" s="46"/>
    </row>
    <row r="320" spans="1:10">
      <c r="A320" s="69"/>
      <c r="B320" s="93"/>
      <c r="C320" s="54"/>
      <c r="D320" s="55"/>
      <c r="E320" s="97" t="s">
        <v>311</v>
      </c>
      <c r="F320" s="152"/>
      <c r="G320" s="58"/>
      <c r="H320" s="46"/>
      <c r="I320" s="46"/>
      <c r="J320" s="46"/>
    </row>
    <row r="321" spans="1:11">
      <c r="A321" s="69"/>
      <c r="B321" s="93"/>
      <c r="C321" s="54"/>
      <c r="D321" s="55"/>
      <c r="E321" s="92" t="s">
        <v>403</v>
      </c>
      <c r="F321" s="169">
        <v>71.900000000000006</v>
      </c>
      <c r="G321" s="58"/>
      <c r="H321" s="46"/>
      <c r="I321" s="46"/>
      <c r="J321" s="46"/>
    </row>
    <row r="322" spans="1:11">
      <c r="A322" s="69"/>
      <c r="B322" s="93"/>
      <c r="C322" s="54"/>
      <c r="D322" s="55"/>
      <c r="E322" s="97" t="s">
        <v>306</v>
      </c>
      <c r="F322" s="152"/>
      <c r="G322" s="58"/>
      <c r="H322" s="46"/>
      <c r="I322" s="46"/>
      <c r="J322" s="46"/>
    </row>
    <row r="323" spans="1:11">
      <c r="A323" s="69"/>
      <c r="B323" s="93"/>
      <c r="C323" s="54"/>
      <c r="D323" s="55"/>
      <c r="E323" s="92" t="s">
        <v>404</v>
      </c>
      <c r="F323" s="159">
        <v>28.3</v>
      </c>
      <c r="G323" s="58"/>
      <c r="H323" s="46"/>
      <c r="I323" s="46"/>
      <c r="J323" s="46"/>
    </row>
    <row r="324" spans="1:11">
      <c r="A324" s="69"/>
      <c r="B324" s="93"/>
      <c r="C324" s="54"/>
      <c r="D324" s="55"/>
      <c r="E324" s="97"/>
      <c r="F324" s="169">
        <f>SUM(F321:F323)</f>
        <v>100.2</v>
      </c>
      <c r="G324" s="58"/>
      <c r="H324" s="46"/>
      <c r="I324" s="46"/>
      <c r="J324" s="46"/>
    </row>
    <row r="325" spans="1:11">
      <c r="A325" s="26"/>
      <c r="B325" s="27"/>
      <c r="C325" s="32"/>
      <c r="D325" s="33"/>
      <c r="E325" s="154"/>
      <c r="F325" s="84"/>
      <c r="G325" s="24"/>
      <c r="H325" s="79"/>
      <c r="I325" s="79"/>
      <c r="J325" s="79"/>
    </row>
    <row r="326" spans="1:11">
      <c r="A326" s="26"/>
      <c r="B326" s="27"/>
      <c r="C326" s="32"/>
      <c r="D326" s="33"/>
      <c r="E326" s="154"/>
      <c r="F326" s="84"/>
      <c r="G326" s="24"/>
      <c r="H326" s="79"/>
      <c r="I326" s="79"/>
      <c r="J326" s="79"/>
    </row>
    <row r="327" spans="1:11">
      <c r="A327" s="26"/>
      <c r="B327" s="121" t="s">
        <v>122</v>
      </c>
      <c r="C327" s="121"/>
      <c r="D327" s="33"/>
      <c r="E327" s="52" t="s">
        <v>123</v>
      </c>
      <c r="F327" s="155"/>
      <c r="G327" s="58"/>
      <c r="H327" s="79"/>
      <c r="I327" s="79"/>
      <c r="J327" s="79"/>
      <c r="K327" s="113"/>
    </row>
    <row r="328" spans="1:11">
      <c r="A328" s="26"/>
      <c r="B328" s="27"/>
      <c r="C328" s="126"/>
      <c r="D328" s="126"/>
      <c r="E328" s="92"/>
      <c r="F328" s="84"/>
      <c r="G328" s="45"/>
      <c r="H328" s="79"/>
      <c r="I328" s="79"/>
      <c r="J328" s="79"/>
    </row>
    <row r="329" spans="1:11" ht="25.5">
      <c r="A329" s="31">
        <f>MAX(A$1:A328)+1</f>
        <v>45</v>
      </c>
      <c r="B329" s="27"/>
      <c r="C329" s="32" t="s">
        <v>118</v>
      </c>
      <c r="D329" s="33"/>
      <c r="E329" s="52" t="s">
        <v>119</v>
      </c>
      <c r="F329" s="146"/>
      <c r="G329" s="24" t="s">
        <v>1</v>
      </c>
      <c r="H329" s="30">
        <v>656</v>
      </c>
      <c r="I329" s="379"/>
      <c r="J329" s="30">
        <f t="shared" ref="J329:J335" si="5">I329*H329</f>
        <v>0</v>
      </c>
    </row>
    <row r="330" spans="1:11" ht="25.5">
      <c r="A330" s="26"/>
      <c r="B330" s="27"/>
      <c r="C330" s="170"/>
      <c r="D330" s="55" t="s">
        <v>120</v>
      </c>
      <c r="E330" s="56" t="s">
        <v>121</v>
      </c>
      <c r="F330" s="152"/>
      <c r="G330" s="58" t="s">
        <v>1</v>
      </c>
      <c r="H330" s="79">
        <v>656</v>
      </c>
      <c r="I330" s="79"/>
      <c r="J330" s="79"/>
    </row>
    <row r="331" spans="1:11">
      <c r="A331" s="26"/>
      <c r="B331" s="27"/>
      <c r="C331" s="170"/>
      <c r="D331" s="55"/>
      <c r="E331" s="97" t="s">
        <v>133</v>
      </c>
      <c r="F331" s="84"/>
      <c r="G331" s="58"/>
      <c r="H331" s="79"/>
      <c r="I331" s="79"/>
      <c r="J331" s="79"/>
    </row>
    <row r="332" spans="1:11">
      <c r="A332" s="26"/>
      <c r="B332" s="27"/>
      <c r="C332" s="170"/>
      <c r="D332" s="55"/>
      <c r="E332" s="105" t="s">
        <v>134</v>
      </c>
      <c r="F332" s="84"/>
      <c r="G332" s="58"/>
      <c r="H332" s="79"/>
      <c r="I332" s="79"/>
      <c r="J332" s="79"/>
    </row>
    <row r="333" spans="1:11">
      <c r="A333" s="26"/>
      <c r="B333" s="27"/>
      <c r="C333" s="170"/>
      <c r="D333" s="55"/>
      <c r="E333" s="105" t="s">
        <v>405</v>
      </c>
      <c r="F333" s="84">
        <v>656</v>
      </c>
      <c r="G333" s="58"/>
      <c r="H333" s="79"/>
      <c r="I333" s="79"/>
      <c r="J333" s="79"/>
    </row>
    <row r="334" spans="1:11">
      <c r="A334" s="26"/>
      <c r="B334" s="27"/>
      <c r="C334" s="126"/>
      <c r="D334" s="126"/>
      <c r="E334" s="177"/>
      <c r="F334" s="84"/>
      <c r="G334" s="45"/>
      <c r="H334" s="79"/>
      <c r="I334" s="79"/>
      <c r="J334" s="79"/>
    </row>
    <row r="335" spans="1:11" ht="25.5">
      <c r="A335" s="31">
        <f>MAX(A$1:A334)+1</f>
        <v>46</v>
      </c>
      <c r="B335" s="78"/>
      <c r="C335" s="32" t="s">
        <v>406</v>
      </c>
      <c r="D335" s="33"/>
      <c r="E335" s="52" t="s">
        <v>407</v>
      </c>
      <c r="F335" s="146"/>
      <c r="G335" s="24" t="s">
        <v>7</v>
      </c>
      <c r="H335" s="171">
        <v>308.60000000000002</v>
      </c>
      <c r="I335" s="382"/>
      <c r="J335" s="171">
        <f t="shared" si="5"/>
        <v>0</v>
      </c>
    </row>
    <row r="336" spans="1:11">
      <c r="A336" s="26"/>
      <c r="B336" s="27"/>
      <c r="C336" s="126"/>
      <c r="D336" s="126"/>
      <c r="E336" s="147" t="s">
        <v>408</v>
      </c>
      <c r="F336" s="84"/>
      <c r="G336" s="45"/>
      <c r="H336" s="79"/>
      <c r="I336" s="79"/>
      <c r="J336" s="79"/>
    </row>
    <row r="337" spans="1:10">
      <c r="A337" s="26"/>
      <c r="B337" s="27"/>
      <c r="C337" s="126"/>
      <c r="D337" s="126"/>
      <c r="E337" s="172" t="s">
        <v>409</v>
      </c>
      <c r="F337" s="47"/>
      <c r="G337" s="45"/>
      <c r="H337" s="79"/>
      <c r="I337" s="79"/>
      <c r="J337" s="79"/>
    </row>
    <row r="338" spans="1:10">
      <c r="A338" s="26"/>
      <c r="B338" s="27"/>
      <c r="C338" s="126"/>
      <c r="D338" s="126"/>
      <c r="E338" s="172" t="s">
        <v>410</v>
      </c>
      <c r="F338" s="84">
        <v>308.60000000000002</v>
      </c>
      <c r="G338" s="45"/>
      <c r="H338" s="79"/>
      <c r="I338" s="79"/>
      <c r="J338" s="79"/>
    </row>
    <row r="339" spans="1:10">
      <c r="A339" s="26"/>
      <c r="B339" s="27"/>
      <c r="C339" s="126"/>
      <c r="D339" s="126"/>
      <c r="E339" s="92"/>
      <c r="F339" s="84"/>
      <c r="G339" s="45"/>
      <c r="H339" s="79"/>
      <c r="I339" s="79"/>
      <c r="J339" s="79"/>
    </row>
    <row r="340" spans="1:10" ht="13.5" thickBot="1">
      <c r="A340" s="133"/>
      <c r="B340" s="106"/>
      <c r="C340" s="109"/>
      <c r="D340" s="110"/>
      <c r="E340" s="111"/>
      <c r="F340" s="107"/>
      <c r="G340" s="112"/>
      <c r="H340" s="134"/>
      <c r="I340" s="134"/>
      <c r="J340" s="134"/>
    </row>
    <row r="341" spans="1:10" s="226" customFormat="1" ht="13.5" thickBot="1">
      <c r="A341" s="222"/>
      <c r="B341" s="223"/>
      <c r="C341" s="223"/>
      <c r="D341" s="223" t="s">
        <v>739</v>
      </c>
      <c r="E341" s="223"/>
      <c r="F341" s="224"/>
      <c r="G341" s="223"/>
      <c r="H341" s="224"/>
      <c r="I341" s="224"/>
      <c r="J341" s="225">
        <f>SUM(J5:J340)</f>
        <v>0</v>
      </c>
    </row>
  </sheetData>
  <sheetProtection algorithmName="SHA-512" hashValue="4R7wXSOR6NOjzz22Tq44nCHu0bIUPTuoeohitWW6pVNwEDzp4NStBICs1AiKXRuZmdlJIvkco8TeHmNGZYG+ng==" saltValue="83iZgOVaZz+QVtl3ZaHpTw==" spinCount="100000" sheet="1" objects="1" scenarios="1"/>
  <mergeCells count="6">
    <mergeCell ref="J3:J4"/>
    <mergeCell ref="A3:C3"/>
    <mergeCell ref="E3:F4"/>
    <mergeCell ref="G3:G4"/>
    <mergeCell ref="H3:H4"/>
    <mergeCell ref="I3:I4"/>
  </mergeCells>
  <conditionalFormatting sqref="E87">
    <cfRule type="expression" priority="1" stopIfTrue="1">
      <formula>"a2"</formula>
    </cfRule>
  </conditionalFormatting>
  <pageMargins left="0.39370078740157483" right="0.19685039370078741" top="0.98425196850393704" bottom="0.98425196850393704" header="0.51181102362204722" footer="0.51181102362204722"/>
  <pageSetup paperSize="9" scale="72" orientation="portrait" r:id="rId1"/>
  <headerFooter>
    <oddHeader>&amp;LNÁZOV STAVIEB : Rekonštrukcia a obnova mostov na cestách III. triedy BBSK, oblasť JUH
STAVBA : Most ev.č.2610-12,C III/2610 v km 12,678 – Čeláre&amp;RO. Výkaz výmer a rozpočet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72ABB-8892-4D00-99CC-36A80CE21FB5}">
  <dimension ref="A1:J363"/>
  <sheetViews>
    <sheetView showGridLines="0" zoomScaleNormal="100" workbookViewId="0">
      <pane ySplit="4" topLeftCell="A5" activePane="bottomLeft" state="frozen"/>
      <selection pane="bottomLeft"/>
    </sheetView>
  </sheetViews>
  <sheetFormatPr defaultRowHeight="12.75"/>
  <cols>
    <col min="1" max="1" width="4.7109375" style="108" customWidth="1"/>
    <col min="2" max="2" width="9.28515625" style="108" customWidth="1"/>
    <col min="3" max="3" width="9" style="108" customWidth="1"/>
    <col min="4" max="4" width="10.85546875" style="108" customWidth="1"/>
    <col min="5" max="5" width="52.7109375" style="108" customWidth="1"/>
    <col min="6" max="6" width="9.85546875" style="113" customWidth="1"/>
    <col min="7" max="7" width="5.7109375" style="108" customWidth="1"/>
    <col min="8" max="9" width="10.140625" style="113" customWidth="1"/>
    <col min="10" max="10" width="14.85546875" style="113" customWidth="1"/>
    <col min="11" max="16384" width="9.140625" style="108"/>
  </cols>
  <sheetData>
    <row r="1" spans="1:10">
      <c r="A1" s="135" t="s">
        <v>8</v>
      </c>
      <c r="B1" s="135"/>
      <c r="C1" s="136"/>
      <c r="D1" s="137"/>
      <c r="E1" s="180" t="s">
        <v>411</v>
      </c>
      <c r="G1" s="139"/>
      <c r="H1" s="140"/>
      <c r="I1" s="140"/>
      <c r="J1" s="140"/>
    </row>
    <row r="2" spans="1:10" ht="13.5" thickBot="1">
      <c r="A2" s="8" t="s">
        <v>9</v>
      </c>
      <c r="B2" s="135"/>
      <c r="C2" s="136"/>
      <c r="D2" s="137"/>
      <c r="E2" s="141">
        <v>2141</v>
      </c>
      <c r="G2" s="10"/>
      <c r="H2" s="142"/>
      <c r="I2" s="142"/>
      <c r="J2" s="142"/>
    </row>
    <row r="3" spans="1:10">
      <c r="A3" s="377" t="s">
        <v>10</v>
      </c>
      <c r="B3" s="378"/>
      <c r="C3" s="378"/>
      <c r="D3" s="12"/>
      <c r="E3" s="369" t="s">
        <v>11</v>
      </c>
      <c r="F3" s="370"/>
      <c r="G3" s="373" t="s">
        <v>12</v>
      </c>
      <c r="H3" s="375" t="s">
        <v>13</v>
      </c>
      <c r="I3" s="354" t="s">
        <v>736</v>
      </c>
      <c r="J3" s="354" t="s">
        <v>737</v>
      </c>
    </row>
    <row r="4" spans="1:10" ht="13.5" thickBot="1">
      <c r="A4" s="13" t="s">
        <v>14</v>
      </c>
      <c r="B4" s="14" t="s">
        <v>17</v>
      </c>
      <c r="C4" s="14" t="s">
        <v>15</v>
      </c>
      <c r="D4" s="14" t="s">
        <v>16</v>
      </c>
      <c r="E4" s="371"/>
      <c r="F4" s="372"/>
      <c r="G4" s="374"/>
      <c r="H4" s="376"/>
      <c r="I4" s="355"/>
      <c r="J4" s="355"/>
    </row>
    <row r="5" spans="1:10">
      <c r="A5" s="15"/>
      <c r="B5" s="16"/>
      <c r="C5" s="16"/>
      <c r="D5" s="17"/>
      <c r="E5" s="18"/>
      <c r="F5" s="143"/>
      <c r="G5" s="20"/>
      <c r="H5" s="21"/>
      <c r="I5" s="21"/>
      <c r="J5" s="21"/>
    </row>
    <row r="6" spans="1:10">
      <c r="A6" s="31"/>
      <c r="B6" s="102" t="s">
        <v>18</v>
      </c>
      <c r="C6" s="114"/>
      <c r="D6" s="115"/>
      <c r="E6" s="173" t="s">
        <v>20</v>
      </c>
      <c r="F6" s="181"/>
      <c r="G6" s="182"/>
      <c r="H6" s="183"/>
      <c r="I6" s="183"/>
      <c r="J6" s="183"/>
    </row>
    <row r="7" spans="1:10">
      <c r="A7" s="31"/>
      <c r="B7" s="102"/>
      <c r="C7" s="114"/>
      <c r="D7" s="115"/>
      <c r="E7" s="173"/>
      <c r="F7" s="181"/>
      <c r="G7" s="182"/>
      <c r="H7" s="183"/>
      <c r="I7" s="183"/>
      <c r="J7" s="183"/>
    </row>
    <row r="8" spans="1:10">
      <c r="A8" s="31">
        <f>MAX(A$1:A7)+1</f>
        <v>1</v>
      </c>
      <c r="B8" s="102"/>
      <c r="C8" s="32" t="s">
        <v>734</v>
      </c>
      <c r="D8" s="33"/>
      <c r="E8" s="52" t="s">
        <v>412</v>
      </c>
      <c r="F8" s="184"/>
      <c r="G8" s="24" t="s">
        <v>413</v>
      </c>
      <c r="H8" s="30">
        <v>1</v>
      </c>
      <c r="I8" s="379"/>
      <c r="J8" s="30">
        <f t="shared" ref="J8:J60" si="0">I8*H8</f>
        <v>0</v>
      </c>
    </row>
    <row r="9" spans="1:10">
      <c r="A9" s="31"/>
      <c r="B9" s="102"/>
      <c r="C9" s="27"/>
      <c r="D9" s="45"/>
      <c r="E9" s="154" t="s">
        <v>414</v>
      </c>
      <c r="F9" s="185"/>
      <c r="G9" s="48"/>
      <c r="H9" s="186"/>
      <c r="I9" s="186"/>
      <c r="J9" s="186"/>
    </row>
    <row r="10" spans="1:10" ht="25.5">
      <c r="A10" s="31"/>
      <c r="B10" s="102"/>
      <c r="C10" s="27"/>
      <c r="D10" s="45"/>
      <c r="E10" s="154" t="s">
        <v>415</v>
      </c>
      <c r="F10" s="185"/>
      <c r="G10" s="48"/>
      <c r="H10" s="186"/>
      <c r="I10" s="186"/>
      <c r="J10" s="186"/>
    </row>
    <row r="11" spans="1:10">
      <c r="A11" s="31"/>
      <c r="B11" s="102"/>
      <c r="C11" s="27"/>
      <c r="D11" s="45"/>
      <c r="E11" s="154" t="s">
        <v>416</v>
      </c>
      <c r="F11" s="185"/>
      <c r="G11" s="48"/>
      <c r="H11" s="186"/>
      <c r="I11" s="186"/>
      <c r="J11" s="186"/>
    </row>
    <row r="12" spans="1:10">
      <c r="A12" s="31"/>
      <c r="B12" s="102"/>
      <c r="C12" s="114"/>
      <c r="D12" s="115"/>
      <c r="E12" s="173"/>
      <c r="F12" s="181"/>
      <c r="G12" s="182"/>
      <c r="H12" s="183"/>
      <c r="I12" s="183"/>
      <c r="J12" s="183"/>
    </row>
    <row r="13" spans="1:10">
      <c r="A13" s="31">
        <f>MAX(A$1:A12)+1</f>
        <v>2</v>
      </c>
      <c r="B13" s="102"/>
      <c r="C13" s="32" t="s">
        <v>735</v>
      </c>
      <c r="D13" s="33"/>
      <c r="E13" s="52" t="s">
        <v>417</v>
      </c>
      <c r="F13" s="184"/>
      <c r="G13" s="24" t="s">
        <v>413</v>
      </c>
      <c r="H13" s="30">
        <v>1</v>
      </c>
      <c r="I13" s="379"/>
      <c r="J13" s="30">
        <f t="shared" si="0"/>
        <v>0</v>
      </c>
    </row>
    <row r="14" spans="1:10">
      <c r="A14" s="31"/>
      <c r="B14" s="102"/>
      <c r="C14" s="125"/>
      <c r="D14" s="126"/>
      <c r="E14" s="154" t="s">
        <v>418</v>
      </c>
      <c r="F14" s="47"/>
      <c r="G14" s="27"/>
      <c r="H14" s="30"/>
      <c r="I14" s="30"/>
      <c r="J14" s="30"/>
    </row>
    <row r="15" spans="1:10">
      <c r="A15" s="42"/>
      <c r="B15" s="40"/>
      <c r="C15" s="43"/>
      <c r="D15" s="44"/>
      <c r="E15" s="97"/>
      <c r="F15" s="84"/>
      <c r="G15" s="45"/>
      <c r="H15" s="46"/>
      <c r="I15" s="46"/>
      <c r="J15" s="46"/>
    </row>
    <row r="16" spans="1:10" ht="25.5">
      <c r="A16" s="31">
        <f>MAX(A$1:A15)+1</f>
        <v>3</v>
      </c>
      <c r="B16" s="40"/>
      <c r="C16" s="32" t="s">
        <v>21</v>
      </c>
      <c r="D16" s="33"/>
      <c r="E16" s="52" t="s">
        <v>22</v>
      </c>
      <c r="F16" s="184"/>
      <c r="G16" s="24" t="s">
        <v>0</v>
      </c>
      <c r="H16" s="36">
        <v>180.87</v>
      </c>
      <c r="I16" s="380"/>
      <c r="J16" s="36">
        <f t="shared" si="0"/>
        <v>0</v>
      </c>
    </row>
    <row r="17" spans="1:10">
      <c r="A17" s="42"/>
      <c r="B17" s="40"/>
      <c r="C17" s="43"/>
      <c r="D17" s="44"/>
      <c r="E17" s="92" t="s">
        <v>419</v>
      </c>
      <c r="F17" s="84">
        <f>51.93*2.2</f>
        <v>114.25</v>
      </c>
      <c r="G17" s="45"/>
      <c r="H17" s="46"/>
      <c r="I17" s="46"/>
      <c r="J17" s="46"/>
    </row>
    <row r="18" spans="1:10">
      <c r="A18" s="42"/>
      <c r="B18" s="40"/>
      <c r="C18" s="43"/>
      <c r="D18" s="44"/>
      <c r="E18" s="92" t="s">
        <v>420</v>
      </c>
      <c r="F18" s="84">
        <f>11.533*2.4</f>
        <v>27.68</v>
      </c>
      <c r="G18" s="45"/>
      <c r="H18" s="46"/>
      <c r="I18" s="46"/>
      <c r="J18" s="46"/>
    </row>
    <row r="19" spans="1:10">
      <c r="A19" s="42"/>
      <c r="B19" s="40"/>
      <c r="C19" s="43"/>
      <c r="D19" s="44"/>
      <c r="E19" s="92" t="s">
        <v>421</v>
      </c>
      <c r="F19" s="84">
        <f>3.28*2.4</f>
        <v>7.87</v>
      </c>
      <c r="G19" s="45"/>
      <c r="H19" s="46"/>
      <c r="I19" s="46"/>
      <c r="J19" s="46"/>
    </row>
    <row r="20" spans="1:10">
      <c r="A20" s="42"/>
      <c r="B20" s="40"/>
      <c r="C20" s="43"/>
      <c r="D20" s="44"/>
      <c r="E20" s="92" t="s">
        <v>422</v>
      </c>
      <c r="F20" s="84">
        <f>16.25*0.054</f>
        <v>0.88</v>
      </c>
      <c r="G20" s="45"/>
      <c r="H20" s="46"/>
      <c r="I20" s="46"/>
      <c r="J20" s="46"/>
    </row>
    <row r="21" spans="1:10">
      <c r="A21" s="42"/>
      <c r="B21" s="40"/>
      <c r="C21" s="43"/>
      <c r="D21" s="44"/>
      <c r="E21" s="92" t="s">
        <v>423</v>
      </c>
      <c r="F21" s="84">
        <f>24*0.089</f>
        <v>2.14</v>
      </c>
      <c r="G21" s="45"/>
      <c r="H21" s="46"/>
      <c r="I21" s="46"/>
      <c r="J21" s="46"/>
    </row>
    <row r="22" spans="1:10">
      <c r="A22" s="42"/>
      <c r="B22" s="40"/>
      <c r="C22" s="43"/>
      <c r="D22" s="44"/>
      <c r="E22" s="92" t="s">
        <v>424</v>
      </c>
      <c r="F22" s="84">
        <f>6*0.408</f>
        <v>2.4500000000000002</v>
      </c>
      <c r="G22" s="45"/>
      <c r="H22" s="46"/>
      <c r="I22" s="46"/>
      <c r="J22" s="46"/>
    </row>
    <row r="23" spans="1:10">
      <c r="A23" s="42"/>
      <c r="B23" s="40"/>
      <c r="C23" s="43"/>
      <c r="D23" s="44"/>
      <c r="E23" s="92" t="s">
        <v>425</v>
      </c>
      <c r="F23" s="103">
        <f>201.7*0.127</f>
        <v>25.62</v>
      </c>
      <c r="G23" s="45"/>
      <c r="H23" s="46"/>
      <c r="I23" s="46"/>
      <c r="J23" s="46"/>
    </row>
    <row r="24" spans="1:10">
      <c r="A24" s="42"/>
      <c r="B24" s="40"/>
      <c r="C24" s="43"/>
      <c r="D24" s="44"/>
      <c r="E24" s="187" t="s">
        <v>229</v>
      </c>
      <c r="F24" s="84">
        <f>SUM(F17:F23)</f>
        <v>180.89</v>
      </c>
      <c r="G24" s="45"/>
      <c r="H24" s="46"/>
      <c r="I24" s="46"/>
      <c r="J24" s="46"/>
    </row>
    <row r="25" spans="1:10">
      <c r="A25" s="42"/>
      <c r="B25" s="40"/>
      <c r="C25" s="43"/>
      <c r="D25" s="44"/>
      <c r="E25" s="187"/>
      <c r="F25" s="84"/>
      <c r="G25" s="45"/>
      <c r="H25" s="46"/>
      <c r="I25" s="46"/>
      <c r="J25" s="46"/>
    </row>
    <row r="26" spans="1:10">
      <c r="A26" s="31">
        <f>MAX(A$1:A25)+1</f>
        <v>4</v>
      </c>
      <c r="B26" s="40"/>
      <c r="C26" s="32" t="s">
        <v>25</v>
      </c>
      <c r="D26" s="33"/>
      <c r="E26" s="52" t="s">
        <v>26</v>
      </c>
      <c r="F26" s="184"/>
      <c r="G26" s="24" t="s">
        <v>7</v>
      </c>
      <c r="H26" s="36">
        <v>293.02</v>
      </c>
      <c r="I26" s="380"/>
      <c r="J26" s="36">
        <f t="shared" si="0"/>
        <v>0</v>
      </c>
    </row>
    <row r="27" spans="1:10">
      <c r="A27" s="31"/>
      <c r="B27" s="40"/>
      <c r="C27" s="32"/>
      <c r="D27" s="33"/>
      <c r="E27" s="97" t="s">
        <v>426</v>
      </c>
      <c r="F27" s="184"/>
      <c r="G27" s="24"/>
      <c r="H27" s="36"/>
      <c r="I27" s="36"/>
      <c r="J27" s="36"/>
    </row>
    <row r="28" spans="1:10">
      <c r="A28" s="42"/>
      <c r="B28" s="40"/>
      <c r="C28" s="43"/>
      <c r="D28" s="44"/>
      <c r="E28" s="92" t="s">
        <v>427</v>
      </c>
      <c r="F28" s="84">
        <v>372.34</v>
      </c>
      <c r="G28" s="45"/>
      <c r="H28" s="46"/>
      <c r="I28" s="46"/>
      <c r="J28" s="46"/>
    </row>
    <row r="29" spans="1:10">
      <c r="A29" s="42"/>
      <c r="B29" s="40"/>
      <c r="C29" s="43"/>
      <c r="D29" s="44"/>
      <c r="E29" s="92" t="s">
        <v>428</v>
      </c>
      <c r="F29" s="84">
        <v>-92</v>
      </c>
      <c r="G29" s="45"/>
      <c r="H29" s="46"/>
      <c r="I29" s="46"/>
      <c r="J29" s="46"/>
    </row>
    <row r="30" spans="1:10">
      <c r="A30" s="42"/>
      <c r="B30" s="40"/>
      <c r="C30" s="43"/>
      <c r="D30" s="44"/>
      <c r="E30" s="92" t="s">
        <v>429</v>
      </c>
      <c r="F30" s="103">
        <v>12.68</v>
      </c>
      <c r="G30" s="45"/>
      <c r="H30" s="46"/>
      <c r="I30" s="46"/>
      <c r="J30" s="46"/>
    </row>
    <row r="31" spans="1:10">
      <c r="A31" s="42"/>
      <c r="B31" s="40"/>
      <c r="C31" s="43"/>
      <c r="D31" s="44"/>
      <c r="E31" s="187" t="s">
        <v>229</v>
      </c>
      <c r="F31" s="84">
        <f>SUM(F28:F30)</f>
        <v>293.02</v>
      </c>
      <c r="G31" s="45"/>
      <c r="H31" s="46"/>
      <c r="I31" s="46"/>
      <c r="J31" s="46"/>
    </row>
    <row r="32" spans="1:10">
      <c r="A32" s="42"/>
      <c r="B32" s="40"/>
      <c r="C32" s="43"/>
      <c r="D32" s="44"/>
      <c r="E32" s="187"/>
      <c r="F32" s="84"/>
      <c r="G32" s="45"/>
      <c r="H32" s="46"/>
      <c r="I32" s="46"/>
      <c r="J32" s="46"/>
    </row>
    <row r="33" spans="1:10">
      <c r="A33" s="42"/>
      <c r="B33" s="40"/>
      <c r="C33" s="43"/>
      <c r="D33" s="44"/>
      <c r="E33" s="187"/>
      <c r="F33" s="84"/>
      <c r="G33" s="45"/>
      <c r="H33" s="46"/>
      <c r="I33" s="46"/>
      <c r="J33" s="46"/>
    </row>
    <row r="34" spans="1:10" ht="15.75">
      <c r="A34" s="42"/>
      <c r="B34" s="102" t="s">
        <v>19</v>
      </c>
      <c r="C34" s="119"/>
      <c r="D34" s="120"/>
      <c r="E34" s="52" t="s">
        <v>27</v>
      </c>
      <c r="F34" s="84"/>
      <c r="G34" s="45"/>
      <c r="H34" s="46"/>
      <c r="I34" s="46"/>
      <c r="J34" s="46"/>
    </row>
    <row r="35" spans="1:10">
      <c r="A35" s="42"/>
      <c r="B35" s="40"/>
      <c r="C35" s="43"/>
      <c r="D35" s="44"/>
      <c r="E35" s="187"/>
      <c r="F35" s="84"/>
      <c r="G35" s="45"/>
      <c r="H35" s="46"/>
      <c r="I35" s="46"/>
      <c r="J35" s="46"/>
    </row>
    <row r="36" spans="1:10" ht="25.5">
      <c r="A36" s="31">
        <f>MAX(A$1:A35)+1</f>
        <v>5</v>
      </c>
      <c r="B36" s="40"/>
      <c r="C36" s="32" t="s">
        <v>430</v>
      </c>
      <c r="D36" s="33"/>
      <c r="E36" s="52" t="s">
        <v>431</v>
      </c>
      <c r="F36" s="184"/>
      <c r="G36" s="24" t="s">
        <v>7</v>
      </c>
      <c r="H36" s="51">
        <v>51.93</v>
      </c>
      <c r="I36" s="381"/>
      <c r="J36" s="51">
        <f t="shared" si="0"/>
        <v>0</v>
      </c>
    </row>
    <row r="37" spans="1:10">
      <c r="A37" s="42"/>
      <c r="B37" s="40"/>
      <c r="C37" s="43"/>
      <c r="D37" s="44"/>
      <c r="E37" s="92" t="s">
        <v>432</v>
      </c>
      <c r="F37" s="84">
        <f xml:space="preserve"> 2.15*0.8*6.17*2</f>
        <v>21.22</v>
      </c>
      <c r="G37" s="45"/>
      <c r="H37" s="46"/>
      <c r="I37" s="46"/>
      <c r="J37" s="46"/>
    </row>
    <row r="38" spans="1:10">
      <c r="A38" s="42"/>
      <c r="B38" s="40"/>
      <c r="C38" s="43"/>
      <c r="D38" s="44"/>
      <c r="E38" s="92" t="s">
        <v>433</v>
      </c>
      <c r="F38" s="84">
        <f xml:space="preserve"> 0.35*1.1*6.17*2</f>
        <v>4.75</v>
      </c>
      <c r="G38" s="45"/>
      <c r="H38" s="46"/>
      <c r="I38" s="46"/>
      <c r="J38" s="46"/>
    </row>
    <row r="39" spans="1:10">
      <c r="A39" s="42"/>
      <c r="B39" s="40"/>
      <c r="C39" s="43"/>
      <c r="D39" s="44"/>
      <c r="E39" s="92" t="s">
        <v>434</v>
      </c>
      <c r="F39" s="103">
        <f xml:space="preserve"> (2.75+1.85+1.8+2.55)*2.9</f>
        <v>25.96</v>
      </c>
      <c r="G39" s="45"/>
      <c r="H39" s="46"/>
      <c r="I39" s="46"/>
      <c r="J39" s="46"/>
    </row>
    <row r="40" spans="1:10">
      <c r="A40" s="42"/>
      <c r="B40" s="40"/>
      <c r="C40" s="43"/>
      <c r="D40" s="44"/>
      <c r="E40" s="187" t="s">
        <v>229</v>
      </c>
      <c r="F40" s="84">
        <f>SUM(F37:F39)</f>
        <v>51.93</v>
      </c>
      <c r="G40" s="45"/>
      <c r="H40" s="46"/>
      <c r="I40" s="46"/>
      <c r="J40" s="46"/>
    </row>
    <row r="41" spans="1:10">
      <c r="A41" s="42"/>
      <c r="B41" s="40"/>
      <c r="C41" s="43"/>
      <c r="D41" s="44"/>
      <c r="E41" s="187"/>
      <c r="F41" s="84"/>
      <c r="G41" s="45"/>
      <c r="H41" s="46"/>
      <c r="I41" s="46"/>
      <c r="J41" s="46"/>
    </row>
    <row r="42" spans="1:10" ht="25.5">
      <c r="A42" s="31">
        <f>MAX(A$1:A41)+1</f>
        <v>6</v>
      </c>
      <c r="B42" s="40"/>
      <c r="C42" s="32" t="s">
        <v>435</v>
      </c>
      <c r="D42" s="33"/>
      <c r="E42" s="52" t="s">
        <v>436</v>
      </c>
      <c r="F42" s="184"/>
      <c r="G42" s="24" t="s">
        <v>7</v>
      </c>
      <c r="H42" s="51">
        <v>11.53</v>
      </c>
      <c r="I42" s="381"/>
      <c r="J42" s="51">
        <f t="shared" si="0"/>
        <v>0</v>
      </c>
    </row>
    <row r="43" spans="1:10">
      <c r="A43" s="42"/>
      <c r="B43" s="40"/>
      <c r="C43" s="32"/>
      <c r="D43" s="33"/>
      <c r="E43" s="92" t="s">
        <v>437</v>
      </c>
      <c r="F43" s="84">
        <f xml:space="preserve"> 6.17*4.67*0.4</f>
        <v>11.53</v>
      </c>
      <c r="G43" s="24"/>
      <c r="H43" s="46"/>
      <c r="I43" s="46"/>
      <c r="J43" s="46"/>
    </row>
    <row r="44" spans="1:10">
      <c r="A44" s="42"/>
      <c r="B44" s="40"/>
      <c r="C44" s="43"/>
      <c r="D44" s="44"/>
      <c r="E44" s="187"/>
      <c r="F44" s="84"/>
      <c r="G44" s="45"/>
      <c r="H44" s="46"/>
      <c r="I44" s="46"/>
      <c r="J44" s="46"/>
    </row>
    <row r="45" spans="1:10" ht="25.5">
      <c r="A45" s="31">
        <f>MAX(A$1:A44)+1</f>
        <v>7</v>
      </c>
      <c r="B45" s="40"/>
      <c r="C45" s="32" t="s">
        <v>438</v>
      </c>
      <c r="D45" s="33"/>
      <c r="E45" s="52" t="s">
        <v>439</v>
      </c>
      <c r="F45" s="184"/>
      <c r="G45" s="24" t="s">
        <v>7</v>
      </c>
      <c r="H45" s="51">
        <v>3.28</v>
      </c>
      <c r="I45" s="381"/>
      <c r="J45" s="51">
        <f t="shared" si="0"/>
        <v>0</v>
      </c>
    </row>
    <row r="46" spans="1:10">
      <c r="A46" s="42"/>
      <c r="B46" s="40"/>
      <c r="C46" s="43"/>
      <c r="D46" s="44"/>
      <c r="E46" s="92" t="s">
        <v>440</v>
      </c>
      <c r="F46" s="84">
        <f xml:space="preserve"> 0.67*0.3*(8.47+7.85)</f>
        <v>3.28</v>
      </c>
      <c r="G46" s="45"/>
      <c r="H46" s="46"/>
      <c r="I46" s="46"/>
      <c r="J46" s="46"/>
    </row>
    <row r="47" spans="1:10">
      <c r="A47" s="42"/>
      <c r="B47" s="40"/>
      <c r="C47" s="43"/>
      <c r="D47" s="44"/>
      <c r="E47" s="92"/>
      <c r="F47" s="84"/>
      <c r="G47" s="45"/>
      <c r="H47" s="46"/>
      <c r="I47" s="46"/>
      <c r="J47" s="46"/>
    </row>
    <row r="48" spans="1:10" ht="25.5">
      <c r="A48" s="31">
        <f>MAX(A$1:A47)+1</f>
        <v>8</v>
      </c>
      <c r="B48" s="40"/>
      <c r="C48" s="32" t="s">
        <v>258</v>
      </c>
      <c r="D48" s="33"/>
      <c r="E48" s="52" t="s">
        <v>259</v>
      </c>
      <c r="F48" s="184"/>
      <c r="G48" s="24" t="s">
        <v>5</v>
      </c>
      <c r="H48" s="51">
        <v>24</v>
      </c>
      <c r="I48" s="381"/>
      <c r="J48" s="51">
        <f t="shared" si="0"/>
        <v>0</v>
      </c>
    </row>
    <row r="49" spans="1:10" ht="25.5">
      <c r="A49" s="42"/>
      <c r="B49" s="40"/>
      <c r="C49" s="43"/>
      <c r="D49" s="55" t="s">
        <v>260</v>
      </c>
      <c r="E49" s="56" t="s">
        <v>261</v>
      </c>
      <c r="F49" s="188"/>
      <c r="G49" s="58" t="s">
        <v>5</v>
      </c>
      <c r="H49" s="46">
        <v>24</v>
      </c>
      <c r="I49" s="46"/>
      <c r="J49" s="46"/>
    </row>
    <row r="50" spans="1:10">
      <c r="A50" s="42"/>
      <c r="B50" s="40"/>
      <c r="C50" s="43"/>
      <c r="D50" s="44"/>
      <c r="E50" s="92" t="s">
        <v>441</v>
      </c>
      <c r="F50" s="84">
        <v>24</v>
      </c>
      <c r="G50" s="45"/>
      <c r="H50" s="46"/>
      <c r="I50" s="46"/>
      <c r="J50" s="46"/>
    </row>
    <row r="51" spans="1:10">
      <c r="A51" s="42"/>
      <c r="B51" s="40"/>
      <c r="C51" s="43"/>
      <c r="D51" s="44"/>
      <c r="E51" s="92"/>
      <c r="F51" s="84"/>
      <c r="G51" s="45"/>
      <c r="H51" s="46"/>
      <c r="I51" s="46"/>
      <c r="J51" s="46"/>
    </row>
    <row r="52" spans="1:10" ht="25.5">
      <c r="A52" s="31">
        <f>MAX(A$1:A51)+1</f>
        <v>9</v>
      </c>
      <c r="B52" s="40"/>
      <c r="C52" s="32" t="s">
        <v>442</v>
      </c>
      <c r="D52" s="33"/>
      <c r="E52" s="52" t="s">
        <v>443</v>
      </c>
      <c r="F52" s="184"/>
      <c r="G52" s="24" t="s">
        <v>1</v>
      </c>
      <c r="H52" s="51">
        <v>6</v>
      </c>
      <c r="I52" s="381"/>
      <c r="J52" s="51">
        <f t="shared" si="0"/>
        <v>0</v>
      </c>
    </row>
    <row r="53" spans="1:10" ht="25.5">
      <c r="A53" s="42"/>
      <c r="B53" s="40"/>
      <c r="C53" s="43"/>
      <c r="D53" s="55" t="s">
        <v>444</v>
      </c>
      <c r="E53" s="56" t="s">
        <v>445</v>
      </c>
      <c r="F53" s="188"/>
      <c r="G53" s="58" t="s">
        <v>1</v>
      </c>
      <c r="H53" s="46">
        <v>6</v>
      </c>
      <c r="I53" s="46"/>
      <c r="J53" s="46"/>
    </row>
    <row r="54" spans="1:10">
      <c r="A54" s="42"/>
      <c r="B54" s="40"/>
      <c r="C54" s="43"/>
      <c r="D54" s="44"/>
      <c r="E54" s="92" t="s">
        <v>446</v>
      </c>
      <c r="F54" s="188"/>
      <c r="G54" s="45"/>
      <c r="H54" s="46"/>
      <c r="I54" s="46"/>
      <c r="J54" s="46"/>
    </row>
    <row r="55" spans="1:10">
      <c r="A55" s="42"/>
      <c r="B55" s="40"/>
      <c r="C55" s="43"/>
      <c r="D55" s="44"/>
      <c r="E55" s="92" t="s">
        <v>447</v>
      </c>
      <c r="F55" s="84">
        <f>2*3</f>
        <v>6</v>
      </c>
      <c r="G55" s="45"/>
      <c r="H55" s="46"/>
      <c r="I55" s="46"/>
      <c r="J55" s="46"/>
    </row>
    <row r="56" spans="1:10">
      <c r="A56" s="42"/>
      <c r="B56" s="40"/>
      <c r="C56" s="43"/>
      <c r="D56" s="44"/>
      <c r="E56" s="92"/>
      <c r="F56" s="84"/>
      <c r="G56" s="45"/>
      <c r="H56" s="46"/>
      <c r="I56" s="46"/>
      <c r="J56" s="46"/>
    </row>
    <row r="57" spans="1:10" ht="38.25">
      <c r="A57" s="31">
        <f>MAX(A$1:A56)+1</f>
        <v>10</v>
      </c>
      <c r="B57" s="40"/>
      <c r="C57" s="32" t="s">
        <v>32</v>
      </c>
      <c r="D57" s="33"/>
      <c r="E57" s="52" t="s">
        <v>33</v>
      </c>
      <c r="F57" s="184"/>
      <c r="G57" s="24" t="s">
        <v>5</v>
      </c>
      <c r="H57" s="51">
        <v>16.25</v>
      </c>
      <c r="I57" s="381"/>
      <c r="J57" s="51">
        <f t="shared" si="0"/>
        <v>0</v>
      </c>
    </row>
    <row r="58" spans="1:10">
      <c r="A58" s="42"/>
      <c r="B58" s="40"/>
      <c r="C58" s="43"/>
      <c r="D58" s="44"/>
      <c r="E58" s="92" t="s">
        <v>448</v>
      </c>
      <c r="F58" s="84">
        <f xml:space="preserve"> 8.4+7.85</f>
        <v>16.25</v>
      </c>
      <c r="G58" s="45"/>
      <c r="H58" s="46"/>
      <c r="I58" s="46"/>
      <c r="J58" s="46"/>
    </row>
    <row r="59" spans="1:10">
      <c r="A59" s="42"/>
      <c r="B59" s="40"/>
      <c r="C59" s="43"/>
      <c r="D59" s="44"/>
      <c r="E59" s="187"/>
      <c r="F59" s="84"/>
      <c r="G59" s="45"/>
      <c r="H59" s="46"/>
      <c r="I59" s="46"/>
      <c r="J59" s="46"/>
    </row>
    <row r="60" spans="1:10">
      <c r="A60" s="31">
        <f>MAX(A$1:A59)+1</f>
        <v>11</v>
      </c>
      <c r="B60" s="40"/>
      <c r="C60" s="32" t="s">
        <v>34</v>
      </c>
      <c r="D60" s="33"/>
      <c r="E60" s="52" t="s">
        <v>35</v>
      </c>
      <c r="F60" s="184"/>
      <c r="G60" s="24" t="s">
        <v>0</v>
      </c>
      <c r="H60" s="36">
        <v>180.87</v>
      </c>
      <c r="I60" s="380"/>
      <c r="J60" s="36">
        <f t="shared" si="0"/>
        <v>0</v>
      </c>
    </row>
    <row r="61" spans="1:10">
      <c r="A61" s="42" t="s">
        <v>219</v>
      </c>
      <c r="B61" s="40"/>
      <c r="C61" s="54"/>
      <c r="D61" s="55" t="s">
        <v>36</v>
      </c>
      <c r="E61" s="56" t="s">
        <v>37</v>
      </c>
      <c r="F61" s="188"/>
      <c r="G61" s="58" t="s">
        <v>0</v>
      </c>
      <c r="H61" s="46">
        <v>180.87</v>
      </c>
      <c r="I61" s="46"/>
      <c r="J61" s="46"/>
    </row>
    <row r="62" spans="1:10">
      <c r="A62" s="42"/>
      <c r="B62" s="40"/>
      <c r="C62" s="54"/>
      <c r="D62" s="55"/>
      <c r="E62" s="92" t="s">
        <v>449</v>
      </c>
      <c r="F62" s="188"/>
      <c r="G62" s="58"/>
      <c r="H62" s="46"/>
      <c r="I62" s="46"/>
      <c r="J62" s="46"/>
    </row>
    <row r="63" spans="1:10">
      <c r="A63" s="42"/>
      <c r="B63" s="40"/>
      <c r="C63" s="54"/>
      <c r="D63" s="55"/>
      <c r="E63" s="92" t="s">
        <v>419</v>
      </c>
      <c r="F63" s="84">
        <f>51.93*2.2</f>
        <v>114.25</v>
      </c>
      <c r="G63" s="58"/>
      <c r="H63" s="46"/>
      <c r="I63" s="46"/>
      <c r="J63" s="46"/>
    </row>
    <row r="64" spans="1:10">
      <c r="A64" s="42"/>
      <c r="B64" s="40"/>
      <c r="C64" s="54"/>
      <c r="D64" s="55"/>
      <c r="E64" s="92" t="s">
        <v>420</v>
      </c>
      <c r="F64" s="84">
        <f>11.533*2.4</f>
        <v>27.68</v>
      </c>
      <c r="G64" s="58"/>
      <c r="H64" s="46"/>
      <c r="I64" s="46"/>
      <c r="J64" s="46"/>
    </row>
    <row r="65" spans="1:10">
      <c r="A65" s="42"/>
      <c r="B65" s="40"/>
      <c r="C65" s="54"/>
      <c r="D65" s="55"/>
      <c r="E65" s="92" t="s">
        <v>421</v>
      </c>
      <c r="F65" s="84">
        <f>3.28*2.4</f>
        <v>7.87</v>
      </c>
      <c r="G65" s="58"/>
      <c r="H65" s="46"/>
      <c r="I65" s="46"/>
      <c r="J65" s="46"/>
    </row>
    <row r="66" spans="1:10">
      <c r="A66" s="42"/>
      <c r="B66" s="40"/>
      <c r="C66" s="54"/>
      <c r="D66" s="55"/>
      <c r="E66" s="92" t="s">
        <v>450</v>
      </c>
      <c r="F66" s="84">
        <f>24*0.089</f>
        <v>2.14</v>
      </c>
      <c r="G66" s="58"/>
      <c r="H66" s="46"/>
      <c r="I66" s="46"/>
      <c r="J66" s="46"/>
    </row>
    <row r="67" spans="1:10">
      <c r="A67" s="42"/>
      <c r="B67" s="40"/>
      <c r="C67" s="54"/>
      <c r="D67" s="55"/>
      <c r="E67" s="92" t="s">
        <v>424</v>
      </c>
      <c r="F67" s="84">
        <f>6*0.408</f>
        <v>2.4500000000000002</v>
      </c>
      <c r="G67" s="58"/>
      <c r="H67" s="46"/>
      <c r="I67" s="46"/>
      <c r="J67" s="46"/>
    </row>
    <row r="68" spans="1:10">
      <c r="A68" s="42"/>
      <c r="B68" s="40"/>
      <c r="C68" s="54"/>
      <c r="D68" s="55"/>
      <c r="E68" s="92" t="s">
        <v>422</v>
      </c>
      <c r="F68" s="84">
        <f>16.25*0.054</f>
        <v>0.88</v>
      </c>
      <c r="G68" s="58"/>
      <c r="H68" s="46"/>
      <c r="I68" s="46"/>
      <c r="J68" s="46"/>
    </row>
    <row r="69" spans="1:10">
      <c r="A69" s="42"/>
      <c r="B69" s="40"/>
      <c r="C69" s="54"/>
      <c r="D69" s="55"/>
      <c r="E69" s="92" t="s">
        <v>425</v>
      </c>
      <c r="F69" s="103">
        <f>201.7*0.127</f>
        <v>25.62</v>
      </c>
      <c r="G69" s="58"/>
      <c r="H69" s="46"/>
      <c r="I69" s="46"/>
      <c r="J69" s="46"/>
    </row>
    <row r="70" spans="1:10">
      <c r="A70" s="42"/>
      <c r="B70" s="40"/>
      <c r="C70" s="54"/>
      <c r="D70" s="55"/>
      <c r="E70" s="187" t="s">
        <v>229</v>
      </c>
      <c r="F70" s="84">
        <f>SUM(F63:F69)</f>
        <v>180.89</v>
      </c>
      <c r="G70" s="58"/>
      <c r="H70" s="46"/>
      <c r="I70" s="46"/>
      <c r="J70" s="46"/>
    </row>
    <row r="71" spans="1:10">
      <c r="A71" s="42"/>
      <c r="B71" s="40"/>
      <c r="C71" s="43"/>
      <c r="D71" s="44"/>
      <c r="E71" s="187"/>
      <c r="F71" s="84"/>
      <c r="G71" s="45"/>
      <c r="H71" s="46"/>
      <c r="I71" s="46"/>
      <c r="J71" s="46"/>
    </row>
    <row r="72" spans="1:10" ht="25.5">
      <c r="A72" s="31">
        <f>MAX(A$1:A71)+1</f>
        <v>12</v>
      </c>
      <c r="B72" s="40"/>
      <c r="C72" s="32" t="s">
        <v>38</v>
      </c>
      <c r="D72" s="33"/>
      <c r="E72" s="52" t="s">
        <v>39</v>
      </c>
      <c r="F72" s="184"/>
      <c r="G72" s="24" t="s">
        <v>1</v>
      </c>
      <c r="H72" s="36">
        <v>201.7</v>
      </c>
      <c r="I72" s="380"/>
      <c r="J72" s="36">
        <f t="shared" ref="J72:J128" si="1">I72*H72</f>
        <v>0</v>
      </c>
    </row>
    <row r="73" spans="1:10" ht="25.5">
      <c r="A73" s="42"/>
      <c r="B73" s="40"/>
      <c r="C73" s="32"/>
      <c r="D73" s="55" t="s">
        <v>139</v>
      </c>
      <c r="E73" s="56" t="s">
        <v>140</v>
      </c>
      <c r="F73" s="188"/>
      <c r="G73" s="58" t="s">
        <v>1</v>
      </c>
      <c r="H73" s="46">
        <v>201.7</v>
      </c>
      <c r="I73" s="46"/>
      <c r="J73" s="46"/>
    </row>
    <row r="74" spans="1:10">
      <c r="A74" s="42"/>
      <c r="B74" s="40"/>
      <c r="C74" s="32"/>
      <c r="D74" s="33"/>
      <c r="E74" s="92" t="s">
        <v>451</v>
      </c>
      <c r="F74" s="47">
        <f xml:space="preserve"> 4.67*6.17*7</f>
        <v>201.7</v>
      </c>
      <c r="G74" s="24"/>
      <c r="H74" s="46"/>
      <c r="I74" s="46"/>
      <c r="J74" s="46"/>
    </row>
    <row r="75" spans="1:10">
      <c r="A75" s="42"/>
      <c r="B75" s="40"/>
      <c r="C75" s="32"/>
      <c r="D75" s="33"/>
      <c r="E75" s="92"/>
      <c r="F75" s="84"/>
      <c r="G75" s="24"/>
      <c r="H75" s="46"/>
      <c r="I75" s="46"/>
      <c r="J75" s="46"/>
    </row>
    <row r="76" spans="1:10">
      <c r="A76" s="31"/>
      <c r="B76" s="50"/>
      <c r="C76" s="117"/>
      <c r="D76" s="117"/>
      <c r="E76" s="189"/>
      <c r="F76" s="190"/>
      <c r="G76" s="27"/>
      <c r="H76" s="51"/>
      <c r="I76" s="51"/>
      <c r="J76" s="51"/>
    </row>
    <row r="77" spans="1:10">
      <c r="A77" s="31"/>
      <c r="B77" s="121" t="s">
        <v>82</v>
      </c>
      <c r="C77" s="75"/>
      <c r="D77" s="33"/>
      <c r="E77" s="52" t="s">
        <v>83</v>
      </c>
      <c r="F77" s="144"/>
      <c r="G77" s="24"/>
      <c r="H77" s="25"/>
      <c r="I77" s="25"/>
      <c r="J77" s="25"/>
    </row>
    <row r="78" spans="1:10">
      <c r="A78" s="31"/>
      <c r="B78" s="121"/>
      <c r="C78" s="75"/>
      <c r="D78" s="33"/>
      <c r="E78" s="52"/>
      <c r="F78" s="144"/>
      <c r="G78" s="24"/>
      <c r="H78" s="25"/>
      <c r="I78" s="25"/>
      <c r="J78" s="25"/>
    </row>
    <row r="79" spans="1:10">
      <c r="A79" s="31">
        <f>MAX(A$1:A78)+1</f>
        <v>13</v>
      </c>
      <c r="B79" s="121"/>
      <c r="C79" s="32" t="s">
        <v>452</v>
      </c>
      <c r="D79" s="33"/>
      <c r="E79" s="52" t="s">
        <v>453</v>
      </c>
      <c r="F79" s="184"/>
      <c r="G79" s="24" t="s">
        <v>454</v>
      </c>
      <c r="H79" s="36">
        <v>76</v>
      </c>
      <c r="I79" s="380"/>
      <c r="J79" s="36">
        <f t="shared" si="1"/>
        <v>0</v>
      </c>
    </row>
    <row r="80" spans="1:10" ht="25.5">
      <c r="A80" s="31"/>
      <c r="B80" s="121"/>
      <c r="C80" s="54"/>
      <c r="D80" s="55" t="s">
        <v>455</v>
      </c>
      <c r="E80" s="56" t="s">
        <v>456</v>
      </c>
      <c r="F80" s="188"/>
      <c r="G80" s="58" t="s">
        <v>454</v>
      </c>
      <c r="H80" s="46">
        <v>76</v>
      </c>
      <c r="I80" s="46"/>
      <c r="J80" s="46"/>
    </row>
    <row r="81" spans="1:10">
      <c r="A81" s="31"/>
      <c r="B81" s="121"/>
      <c r="C81" s="75"/>
      <c r="D81" s="33"/>
      <c r="E81" s="92" t="s">
        <v>457</v>
      </c>
      <c r="F81" s="47"/>
      <c r="G81" s="24"/>
      <c r="H81" s="25"/>
      <c r="I81" s="25"/>
      <c r="J81" s="25"/>
    </row>
    <row r="82" spans="1:10">
      <c r="A82" s="31"/>
      <c r="B82" s="121"/>
      <c r="C82" s="75"/>
      <c r="D82" s="33"/>
      <c r="E82" s="92" t="s">
        <v>458</v>
      </c>
      <c r="F82" s="47">
        <f>38*2</f>
        <v>76</v>
      </c>
      <c r="G82" s="24"/>
      <c r="H82" s="25"/>
      <c r="I82" s="25"/>
      <c r="J82" s="25"/>
    </row>
    <row r="83" spans="1:10">
      <c r="A83" s="31"/>
      <c r="B83" s="121"/>
      <c r="C83" s="75"/>
      <c r="D83" s="33"/>
      <c r="E83" s="52"/>
      <c r="F83" s="144"/>
      <c r="G83" s="24"/>
      <c r="H83" s="25"/>
      <c r="I83" s="25"/>
      <c r="J83" s="25"/>
    </row>
    <row r="84" spans="1:10" ht="25.5">
      <c r="A84" s="31">
        <f>MAX(A$1:A83)+1</f>
        <v>14</v>
      </c>
      <c r="B84" s="121"/>
      <c r="C84" s="32" t="s">
        <v>459</v>
      </c>
      <c r="D84" s="33"/>
      <c r="E84" s="52" t="s">
        <v>460</v>
      </c>
      <c r="F84" s="184"/>
      <c r="G84" s="24" t="s">
        <v>5</v>
      </c>
      <c r="H84" s="36">
        <v>10</v>
      </c>
      <c r="I84" s="380"/>
      <c r="J84" s="36">
        <f t="shared" si="1"/>
        <v>0</v>
      </c>
    </row>
    <row r="85" spans="1:10" ht="25.5">
      <c r="A85" s="31"/>
      <c r="B85" s="121"/>
      <c r="C85" s="54"/>
      <c r="D85" s="55" t="s">
        <v>461</v>
      </c>
      <c r="E85" s="56" t="s">
        <v>462</v>
      </c>
      <c r="F85" s="188"/>
      <c r="G85" s="58" t="s">
        <v>5</v>
      </c>
      <c r="H85" s="46">
        <v>10</v>
      </c>
      <c r="I85" s="46"/>
      <c r="J85" s="46"/>
    </row>
    <row r="86" spans="1:10">
      <c r="A86" s="31"/>
      <c r="B86" s="121"/>
      <c r="C86" s="54"/>
      <c r="D86" s="55"/>
      <c r="E86" s="56"/>
      <c r="F86" s="188"/>
      <c r="G86" s="58"/>
      <c r="H86" s="46"/>
      <c r="I86" s="46"/>
      <c r="J86" s="46"/>
    </row>
    <row r="87" spans="1:10">
      <c r="A87" s="31">
        <f>MAX(A$1:A86)+1</f>
        <v>15</v>
      </c>
      <c r="B87" s="121"/>
      <c r="C87" s="32" t="s">
        <v>463</v>
      </c>
      <c r="D87" s="54"/>
      <c r="E87" s="52" t="s">
        <v>464</v>
      </c>
      <c r="F87" s="184"/>
      <c r="G87" s="24" t="s">
        <v>7</v>
      </c>
      <c r="H87" s="51">
        <v>12.68</v>
      </c>
      <c r="I87" s="381"/>
      <c r="J87" s="51">
        <f t="shared" si="1"/>
        <v>0</v>
      </c>
    </row>
    <row r="88" spans="1:10">
      <c r="A88" s="31"/>
      <c r="B88" s="121"/>
      <c r="C88" s="54"/>
      <c r="D88" s="54" t="s">
        <v>465</v>
      </c>
      <c r="E88" s="56" t="s">
        <v>466</v>
      </c>
      <c r="F88" s="188"/>
      <c r="G88" s="58" t="s">
        <v>7</v>
      </c>
      <c r="H88" s="46">
        <v>12.68</v>
      </c>
      <c r="I88" s="46"/>
      <c r="J88" s="46"/>
    </row>
    <row r="89" spans="1:10">
      <c r="A89" s="31"/>
      <c r="B89" s="121"/>
      <c r="C89" s="54"/>
      <c r="D89" s="55"/>
      <c r="E89" s="92" t="s">
        <v>467</v>
      </c>
      <c r="F89" s="188"/>
      <c r="G89" s="58"/>
      <c r="H89" s="46"/>
      <c r="I89" s="46"/>
      <c r="J89" s="46"/>
    </row>
    <row r="90" spans="1:10">
      <c r="A90" s="31"/>
      <c r="B90" s="121"/>
      <c r="C90" s="54"/>
      <c r="D90" s="55"/>
      <c r="E90" s="92" t="s">
        <v>468</v>
      </c>
      <c r="F90" s="47">
        <f>(14.5+5)/2*1.3</f>
        <v>12.68</v>
      </c>
      <c r="G90" s="58"/>
      <c r="H90" s="46"/>
      <c r="I90" s="46"/>
      <c r="J90" s="46"/>
    </row>
    <row r="91" spans="1:10">
      <c r="A91" s="31"/>
      <c r="B91" s="121"/>
      <c r="C91" s="75"/>
      <c r="D91" s="33"/>
      <c r="E91" s="52"/>
      <c r="F91" s="144"/>
      <c r="G91" s="24"/>
      <c r="H91" s="25"/>
      <c r="I91" s="25"/>
      <c r="J91" s="25"/>
    </row>
    <row r="92" spans="1:10">
      <c r="A92" s="31">
        <f>MAX(A$1:A91)+1</f>
        <v>16</v>
      </c>
      <c r="B92" s="40"/>
      <c r="C92" s="32" t="s">
        <v>307</v>
      </c>
      <c r="D92" s="33"/>
      <c r="E92" s="52" t="s">
        <v>308</v>
      </c>
      <c r="F92" s="184"/>
      <c r="G92" s="24" t="s">
        <v>7</v>
      </c>
      <c r="H92" s="51">
        <v>372.34</v>
      </c>
      <c r="I92" s="381"/>
      <c r="J92" s="51">
        <f t="shared" si="1"/>
        <v>0</v>
      </c>
    </row>
    <row r="93" spans="1:10">
      <c r="A93" s="42"/>
      <c r="B93" s="40"/>
      <c r="C93" s="43"/>
      <c r="D93" s="55" t="s">
        <v>309</v>
      </c>
      <c r="E93" s="56" t="s">
        <v>310</v>
      </c>
      <c r="F93" s="188"/>
      <c r="G93" s="58" t="s">
        <v>7</v>
      </c>
      <c r="H93" s="46">
        <v>372.34</v>
      </c>
      <c r="I93" s="46"/>
      <c r="J93" s="46"/>
    </row>
    <row r="94" spans="1:10">
      <c r="A94" s="42"/>
      <c r="B94" s="40"/>
      <c r="C94" s="43"/>
      <c r="D94" s="55"/>
      <c r="E94" s="92" t="s">
        <v>469</v>
      </c>
      <c r="F94" s="47"/>
      <c r="G94" s="58"/>
      <c r="H94" s="46"/>
      <c r="I94" s="46"/>
      <c r="J94" s="46"/>
    </row>
    <row r="95" spans="1:10">
      <c r="A95" s="42"/>
      <c r="B95" s="40"/>
      <c r="C95" s="43"/>
      <c r="D95" s="55"/>
      <c r="E95" s="92" t="s">
        <v>470</v>
      </c>
      <c r="F95" s="84">
        <f>7.856*11.2</f>
        <v>87.99</v>
      </c>
      <c r="G95" s="58"/>
      <c r="H95" s="46"/>
      <c r="I95" s="46"/>
      <c r="J95" s="46"/>
    </row>
    <row r="96" spans="1:10">
      <c r="A96" s="42"/>
      <c r="B96" s="40"/>
      <c r="C96" s="43"/>
      <c r="D96" s="55"/>
      <c r="E96" s="92" t="s">
        <v>471</v>
      </c>
      <c r="F96" s="84"/>
      <c r="G96" s="58"/>
      <c r="H96" s="46"/>
      <c r="I96" s="46"/>
      <c r="J96" s="46"/>
    </row>
    <row r="97" spans="1:10">
      <c r="A97" s="42"/>
      <c r="B97" s="40"/>
      <c r="C97" s="43"/>
      <c r="D97" s="55"/>
      <c r="E97" s="92" t="s">
        <v>472</v>
      </c>
      <c r="F97" s="84">
        <f>1.3*4.36*11.1</f>
        <v>62.91</v>
      </c>
      <c r="G97" s="58"/>
      <c r="H97" s="46"/>
      <c r="I97" s="46"/>
      <c r="J97" s="46"/>
    </row>
    <row r="98" spans="1:10">
      <c r="A98" s="42"/>
      <c r="B98" s="40"/>
      <c r="C98" s="43"/>
      <c r="D98" s="55"/>
      <c r="E98" s="92" t="s">
        <v>473</v>
      </c>
      <c r="F98" s="84"/>
      <c r="G98" s="58"/>
      <c r="H98" s="46"/>
      <c r="I98" s="46"/>
      <c r="J98" s="46"/>
    </row>
    <row r="99" spans="1:10">
      <c r="A99" s="42"/>
      <c r="B99" s="40"/>
      <c r="C99" s="43"/>
      <c r="D99" s="55"/>
      <c r="E99" s="92" t="s">
        <v>474</v>
      </c>
      <c r="F99" s="84">
        <f>2.56*1.23*9.33</f>
        <v>29.38</v>
      </c>
      <c r="G99" s="58"/>
      <c r="H99" s="46"/>
      <c r="I99" s="46"/>
      <c r="J99" s="46"/>
    </row>
    <row r="100" spans="1:10">
      <c r="A100" s="42"/>
      <c r="B100" s="40"/>
      <c r="C100" s="43"/>
      <c r="D100" s="55"/>
      <c r="E100" s="92" t="s">
        <v>475</v>
      </c>
      <c r="F100" s="84"/>
      <c r="G100" s="58"/>
      <c r="H100" s="46"/>
      <c r="I100" s="46"/>
      <c r="J100" s="46"/>
    </row>
    <row r="101" spans="1:10">
      <c r="A101" s="42"/>
      <c r="B101" s="40"/>
      <c r="C101" s="43"/>
      <c r="D101" s="44"/>
      <c r="E101" s="92" t="s">
        <v>476</v>
      </c>
      <c r="F101" s="84">
        <f>87.99+62.91</f>
        <v>150.9</v>
      </c>
      <c r="G101" s="45"/>
      <c r="H101" s="46"/>
      <c r="I101" s="46"/>
      <c r="J101" s="46"/>
    </row>
    <row r="102" spans="1:10">
      <c r="A102" s="42"/>
      <c r="B102" s="40"/>
      <c r="C102" s="43"/>
      <c r="D102" s="44"/>
      <c r="E102" s="92" t="s">
        <v>477</v>
      </c>
      <c r="F102" s="84"/>
      <c r="G102" s="45"/>
      <c r="H102" s="46"/>
      <c r="I102" s="46"/>
      <c r="J102" s="46"/>
    </row>
    <row r="103" spans="1:10">
      <c r="A103" s="42"/>
      <c r="B103" s="40"/>
      <c r="C103" s="43"/>
      <c r="D103" s="44"/>
      <c r="E103" s="92" t="s">
        <v>478</v>
      </c>
      <c r="F103" s="103">
        <f>(1.8+3.8)*0.5*1*14.7</f>
        <v>41.16</v>
      </c>
      <c r="G103" s="45"/>
      <c r="H103" s="46"/>
      <c r="I103" s="46"/>
      <c r="J103" s="46"/>
    </row>
    <row r="104" spans="1:10">
      <c r="A104" s="42"/>
      <c r="B104" s="40"/>
      <c r="C104" s="43"/>
      <c r="D104" s="44"/>
      <c r="E104" s="187" t="s">
        <v>229</v>
      </c>
      <c r="F104" s="84">
        <f>SUM(F95:F103)</f>
        <v>372.34</v>
      </c>
      <c r="G104" s="45"/>
      <c r="H104" s="46"/>
      <c r="I104" s="46"/>
      <c r="J104" s="46"/>
    </row>
    <row r="105" spans="1:10">
      <c r="A105" s="42"/>
      <c r="B105" s="40"/>
      <c r="C105" s="43"/>
      <c r="D105" s="44"/>
      <c r="E105" s="187"/>
      <c r="F105" s="84"/>
      <c r="G105" s="45"/>
      <c r="H105" s="46"/>
      <c r="I105" s="46"/>
      <c r="J105" s="46"/>
    </row>
    <row r="106" spans="1:10">
      <c r="A106" s="31">
        <f>MAX(A$1:A105)+1</f>
        <v>17</v>
      </c>
      <c r="B106" s="40"/>
      <c r="C106" s="32" t="s">
        <v>6</v>
      </c>
      <c r="D106" s="33"/>
      <c r="E106" s="52" t="s">
        <v>4</v>
      </c>
      <c r="F106" s="184"/>
      <c r="G106" s="24" t="s">
        <v>7</v>
      </c>
      <c r="H106" s="51">
        <v>17</v>
      </c>
      <c r="I106" s="381"/>
      <c r="J106" s="51">
        <f t="shared" si="1"/>
        <v>0</v>
      </c>
    </row>
    <row r="107" spans="1:10" ht="25.5">
      <c r="A107" s="42"/>
      <c r="B107" s="40"/>
      <c r="C107" s="43"/>
      <c r="D107" s="55" t="s">
        <v>320</v>
      </c>
      <c r="E107" s="56" t="s">
        <v>321</v>
      </c>
      <c r="F107" s="188"/>
      <c r="G107" s="58" t="s">
        <v>7</v>
      </c>
      <c r="H107" s="46">
        <v>17</v>
      </c>
      <c r="I107" s="46"/>
      <c r="J107" s="46"/>
    </row>
    <row r="108" spans="1:10">
      <c r="A108" s="42"/>
      <c r="B108" s="40"/>
      <c r="C108" s="43"/>
      <c r="D108" s="44"/>
      <c r="E108" s="97" t="s">
        <v>479</v>
      </c>
      <c r="F108" s="47"/>
      <c r="G108" s="45"/>
      <c r="H108" s="46"/>
      <c r="I108" s="46"/>
      <c r="J108" s="46"/>
    </row>
    <row r="109" spans="1:10">
      <c r="A109" s="42"/>
      <c r="B109" s="40"/>
      <c r="C109" s="43"/>
      <c r="D109" s="44"/>
      <c r="E109" s="92" t="s">
        <v>480</v>
      </c>
      <c r="F109" s="84">
        <f>((3.2*3.2*3.14*2.4)/3)/4</f>
        <v>6.43</v>
      </c>
      <c r="G109" s="45"/>
      <c r="H109" s="46"/>
      <c r="I109" s="46"/>
      <c r="J109" s="46"/>
    </row>
    <row r="110" spans="1:10">
      <c r="A110" s="42"/>
      <c r="B110" s="40"/>
      <c r="C110" s="43"/>
      <c r="D110" s="44"/>
      <c r="E110" s="92" t="s">
        <v>481</v>
      </c>
      <c r="F110" s="84">
        <f>((2.3*2.3*3.14*2.4)/3)/4</f>
        <v>3.32</v>
      </c>
      <c r="G110" s="45"/>
      <c r="H110" s="46"/>
      <c r="I110" s="46"/>
      <c r="J110" s="46"/>
    </row>
    <row r="111" spans="1:10">
      <c r="A111" s="42"/>
      <c r="B111" s="40"/>
      <c r="C111" s="43"/>
      <c r="D111" s="44"/>
      <c r="E111" s="92" t="s">
        <v>481</v>
      </c>
      <c r="F111" s="84">
        <f>((2.3*2.3*3.14*2.4)/3)/4</f>
        <v>3.32</v>
      </c>
      <c r="G111" s="45"/>
      <c r="H111" s="46"/>
      <c r="I111" s="46"/>
      <c r="J111" s="46"/>
    </row>
    <row r="112" spans="1:10">
      <c r="A112" s="42"/>
      <c r="B112" s="40"/>
      <c r="C112" s="43"/>
      <c r="D112" s="44"/>
      <c r="E112" s="92" t="s">
        <v>482</v>
      </c>
      <c r="F112" s="103">
        <f>((2.5*2.5*3.14*2.4)/3)/4</f>
        <v>3.93</v>
      </c>
      <c r="G112" s="45"/>
      <c r="H112" s="46"/>
      <c r="I112" s="46"/>
      <c r="J112" s="46"/>
    </row>
    <row r="113" spans="1:10">
      <c r="A113" s="42"/>
      <c r="B113" s="40"/>
      <c r="C113" s="43"/>
      <c r="D113" s="44"/>
      <c r="E113" s="187" t="s">
        <v>229</v>
      </c>
      <c r="F113" s="84">
        <f>SUM(F109:F112)</f>
        <v>17</v>
      </c>
      <c r="G113" s="45"/>
      <c r="H113" s="46"/>
      <c r="I113" s="46"/>
      <c r="J113" s="46"/>
    </row>
    <row r="114" spans="1:10">
      <c r="A114" s="42"/>
      <c r="B114" s="40"/>
      <c r="C114" s="43"/>
      <c r="D114" s="44"/>
      <c r="E114" s="97"/>
      <c r="F114" s="84"/>
      <c r="G114" s="45"/>
      <c r="H114" s="46"/>
      <c r="I114" s="46"/>
      <c r="J114" s="46"/>
    </row>
    <row r="115" spans="1:10">
      <c r="A115" s="31">
        <f>MAX(A$1:A114)+1</f>
        <v>18</v>
      </c>
      <c r="B115" s="40"/>
      <c r="C115" s="32" t="s">
        <v>325</v>
      </c>
      <c r="D115" s="33"/>
      <c r="E115" s="52" t="s">
        <v>326</v>
      </c>
      <c r="F115" s="184"/>
      <c r="G115" s="24" t="s">
        <v>7</v>
      </c>
      <c r="H115" s="51">
        <v>92</v>
      </c>
      <c r="I115" s="381"/>
      <c r="J115" s="51">
        <f t="shared" si="1"/>
        <v>0</v>
      </c>
    </row>
    <row r="116" spans="1:10">
      <c r="A116" s="42"/>
      <c r="B116" s="40"/>
      <c r="C116" s="43"/>
      <c r="D116" s="55" t="s">
        <v>327</v>
      </c>
      <c r="E116" s="56" t="s">
        <v>328</v>
      </c>
      <c r="F116" s="188"/>
      <c r="G116" s="58" t="s">
        <v>7</v>
      </c>
      <c r="H116" s="46">
        <v>92</v>
      </c>
      <c r="I116" s="46"/>
      <c r="J116" s="46"/>
    </row>
    <row r="117" spans="1:10">
      <c r="A117" s="42"/>
      <c r="B117" s="40"/>
      <c r="C117" s="43"/>
      <c r="D117" s="44"/>
      <c r="E117" s="97" t="s">
        <v>483</v>
      </c>
      <c r="F117" s="47"/>
      <c r="G117" s="45"/>
      <c r="H117" s="46"/>
      <c r="I117" s="46"/>
      <c r="J117" s="46"/>
    </row>
    <row r="118" spans="1:10">
      <c r="A118" s="42"/>
      <c r="B118" s="40"/>
      <c r="C118" s="43"/>
      <c r="D118" s="44"/>
      <c r="E118" s="92" t="s">
        <v>484</v>
      </c>
      <c r="F118" s="47">
        <f>2.23*2.44*0.5*9.5*2</f>
        <v>51.69</v>
      </c>
      <c r="G118" s="45"/>
      <c r="H118" s="46"/>
      <c r="I118" s="46"/>
      <c r="J118" s="46"/>
    </row>
    <row r="119" spans="1:10">
      <c r="A119" s="42"/>
      <c r="B119" s="40"/>
      <c r="C119" s="43"/>
      <c r="D119" s="44"/>
      <c r="E119" s="92" t="s">
        <v>485</v>
      </c>
      <c r="F119" s="47">
        <f>(3.0359+3.9745)*3</f>
        <v>21.03</v>
      </c>
      <c r="G119" s="45"/>
      <c r="H119" s="46"/>
      <c r="I119" s="46"/>
      <c r="J119" s="46"/>
    </row>
    <row r="120" spans="1:10">
      <c r="A120" s="42"/>
      <c r="B120" s="40"/>
      <c r="C120" s="43"/>
      <c r="D120" s="44"/>
      <c r="E120" s="92" t="s">
        <v>486</v>
      </c>
      <c r="F120" s="156">
        <f>(3.6793+2.7477)*3</f>
        <v>19.28</v>
      </c>
      <c r="G120" s="45"/>
      <c r="H120" s="46"/>
      <c r="I120" s="46"/>
      <c r="J120" s="46"/>
    </row>
    <row r="121" spans="1:10">
      <c r="A121" s="42"/>
      <c r="B121" s="40"/>
      <c r="C121" s="43"/>
      <c r="D121" s="44"/>
      <c r="E121" s="187" t="s">
        <v>229</v>
      </c>
      <c r="F121" s="84">
        <f>SUM(F118:F120)</f>
        <v>92</v>
      </c>
      <c r="G121" s="45"/>
      <c r="H121" s="46"/>
      <c r="I121" s="46"/>
      <c r="J121" s="46"/>
    </row>
    <row r="122" spans="1:10">
      <c r="A122" s="42"/>
      <c r="B122" s="40"/>
      <c r="C122" s="43"/>
      <c r="D122" s="44"/>
      <c r="E122" s="187"/>
      <c r="F122" s="84"/>
      <c r="G122" s="45"/>
      <c r="H122" s="46"/>
      <c r="I122" s="46"/>
      <c r="J122" s="46"/>
    </row>
    <row r="123" spans="1:10">
      <c r="A123" s="31">
        <f>MAX(A$1:A122)+1</f>
        <v>19</v>
      </c>
      <c r="B123" s="40"/>
      <c r="C123" s="32" t="s">
        <v>487</v>
      </c>
      <c r="D123" s="33"/>
      <c r="E123" s="52" t="s">
        <v>488</v>
      </c>
      <c r="F123" s="184"/>
      <c r="G123" s="24" t="s">
        <v>7</v>
      </c>
      <c r="H123" s="51">
        <v>16.89</v>
      </c>
      <c r="I123" s="381"/>
      <c r="J123" s="51">
        <f t="shared" si="1"/>
        <v>0</v>
      </c>
    </row>
    <row r="124" spans="1:10" ht="25.5">
      <c r="A124" s="42"/>
      <c r="B124" s="40"/>
      <c r="C124" s="43"/>
      <c r="D124" s="55" t="s">
        <v>489</v>
      </c>
      <c r="E124" s="56" t="s">
        <v>490</v>
      </c>
      <c r="F124" s="188"/>
      <c r="G124" s="58" t="s">
        <v>7</v>
      </c>
      <c r="H124" s="46">
        <v>16.89</v>
      </c>
      <c r="I124" s="46"/>
      <c r="J124" s="46"/>
    </row>
    <row r="125" spans="1:10">
      <c r="A125" s="42"/>
      <c r="B125" s="40"/>
      <c r="C125" s="43"/>
      <c r="D125" s="44"/>
      <c r="E125" s="97" t="s">
        <v>491</v>
      </c>
      <c r="F125" s="84"/>
      <c r="G125" s="45"/>
      <c r="H125" s="46"/>
      <c r="I125" s="46"/>
      <c r="J125" s="46"/>
    </row>
    <row r="126" spans="1:10">
      <c r="A126" s="42"/>
      <c r="B126" s="40"/>
      <c r="C126" s="43"/>
      <c r="D126" s="44"/>
      <c r="E126" s="92" t="s">
        <v>492</v>
      </c>
      <c r="F126" s="84">
        <f>10.556*(2.7+0.5)*0.5</f>
        <v>16.89</v>
      </c>
      <c r="G126" s="45"/>
      <c r="H126" s="46"/>
      <c r="I126" s="46"/>
      <c r="J126" s="46"/>
    </row>
    <row r="127" spans="1:10">
      <c r="A127" s="42"/>
      <c r="B127" s="40"/>
      <c r="C127" s="43"/>
      <c r="D127" s="44"/>
      <c r="E127" s="187"/>
      <c r="F127" s="84"/>
      <c r="G127" s="45"/>
      <c r="H127" s="46"/>
      <c r="I127" s="46"/>
      <c r="J127" s="46"/>
    </row>
    <row r="128" spans="1:10">
      <c r="A128" s="31">
        <f>MAX(A$1:A127)+1</f>
        <v>20</v>
      </c>
      <c r="B128" s="40"/>
      <c r="C128" s="32" t="s">
        <v>493</v>
      </c>
      <c r="D128" s="33"/>
      <c r="E128" s="52" t="s">
        <v>494</v>
      </c>
      <c r="F128" s="184"/>
      <c r="G128" s="24" t="s">
        <v>7</v>
      </c>
      <c r="H128" s="51">
        <v>12.68</v>
      </c>
      <c r="I128" s="381"/>
      <c r="J128" s="51">
        <f t="shared" si="1"/>
        <v>0</v>
      </c>
    </row>
    <row r="129" spans="1:10">
      <c r="A129" s="42"/>
      <c r="B129" s="40"/>
      <c r="C129" s="54"/>
      <c r="D129" s="55" t="s">
        <v>495</v>
      </c>
      <c r="E129" s="56" t="s">
        <v>496</v>
      </c>
      <c r="F129" s="188"/>
      <c r="G129" s="58" t="s">
        <v>7</v>
      </c>
      <c r="H129" s="46">
        <v>12.68</v>
      </c>
      <c r="I129" s="46"/>
      <c r="J129" s="46"/>
    </row>
    <row r="130" spans="1:10" ht="25.5">
      <c r="A130" s="42"/>
      <c r="B130" s="40"/>
      <c r="C130" s="43"/>
      <c r="D130" s="44"/>
      <c r="E130" s="97" t="s">
        <v>497</v>
      </c>
      <c r="F130" s="84"/>
      <c r="G130" s="45"/>
      <c r="H130" s="46"/>
      <c r="I130" s="46"/>
      <c r="J130" s="46"/>
    </row>
    <row r="131" spans="1:10">
      <c r="A131" s="42"/>
      <c r="B131" s="40"/>
      <c r="C131" s="43"/>
      <c r="D131" s="44"/>
      <c r="E131" s="92" t="s">
        <v>468</v>
      </c>
      <c r="F131" s="47">
        <f>(14.5+5)/2*1.3</f>
        <v>12.68</v>
      </c>
      <c r="G131" s="45"/>
      <c r="H131" s="46"/>
      <c r="I131" s="46"/>
      <c r="J131" s="46"/>
    </row>
    <row r="132" spans="1:10">
      <c r="A132" s="42"/>
      <c r="B132" s="40"/>
      <c r="C132" s="43"/>
      <c r="D132" s="44"/>
      <c r="E132" s="157"/>
      <c r="F132" s="158"/>
      <c r="G132" s="45"/>
      <c r="H132" s="46"/>
      <c r="I132" s="46"/>
      <c r="J132" s="46"/>
    </row>
    <row r="133" spans="1:10">
      <c r="A133" s="69"/>
      <c r="B133" s="70"/>
      <c r="C133" s="71"/>
      <c r="D133" s="72"/>
      <c r="E133" s="191"/>
      <c r="F133" s="192"/>
      <c r="G133" s="45"/>
      <c r="H133" s="46"/>
      <c r="I133" s="46"/>
      <c r="J133" s="46"/>
    </row>
    <row r="134" spans="1:10">
      <c r="A134" s="42"/>
      <c r="B134" s="121" t="s">
        <v>84</v>
      </c>
      <c r="C134" s="75"/>
      <c r="D134" s="33"/>
      <c r="E134" s="128" t="s">
        <v>85</v>
      </c>
      <c r="F134" s="160"/>
      <c r="G134" s="58"/>
      <c r="H134" s="46"/>
      <c r="I134" s="46"/>
      <c r="J134" s="46"/>
    </row>
    <row r="135" spans="1:10">
      <c r="A135" s="42"/>
      <c r="B135" s="40"/>
      <c r="C135" s="54"/>
      <c r="D135" s="55"/>
      <c r="E135" s="92"/>
      <c r="F135" s="160"/>
      <c r="G135" s="58"/>
      <c r="H135" s="46"/>
      <c r="I135" s="46"/>
      <c r="J135" s="46"/>
    </row>
    <row r="136" spans="1:10">
      <c r="A136" s="31">
        <f>MAX(A$1:A135)+1</f>
        <v>21</v>
      </c>
      <c r="B136" s="40"/>
      <c r="C136" s="32" t="s">
        <v>498</v>
      </c>
      <c r="D136" s="33"/>
      <c r="E136" s="52" t="s">
        <v>499</v>
      </c>
      <c r="F136" s="184"/>
      <c r="G136" s="24" t="s">
        <v>7</v>
      </c>
      <c r="H136" s="51">
        <v>184</v>
      </c>
      <c r="I136" s="381"/>
      <c r="J136" s="51">
        <f t="shared" ref="J136:J198" si="2">I136*H136</f>
        <v>0</v>
      </c>
    </row>
    <row r="137" spans="1:10" ht="25.5">
      <c r="A137" s="42"/>
      <c r="B137" s="40"/>
      <c r="C137" s="54"/>
      <c r="D137" s="55" t="s">
        <v>500</v>
      </c>
      <c r="E137" s="56" t="s">
        <v>501</v>
      </c>
      <c r="F137" s="188"/>
      <c r="G137" s="58" t="s">
        <v>7</v>
      </c>
      <c r="H137" s="46">
        <v>184</v>
      </c>
      <c r="I137" s="46"/>
      <c r="J137" s="46"/>
    </row>
    <row r="138" spans="1:10" ht="25.5">
      <c r="A138" s="42"/>
      <c r="B138" s="40"/>
      <c r="C138" s="43"/>
      <c r="D138" s="55"/>
      <c r="E138" s="97" t="s">
        <v>502</v>
      </c>
      <c r="F138" s="47"/>
      <c r="G138" s="58"/>
      <c r="H138" s="46"/>
      <c r="I138" s="46"/>
      <c r="J138" s="46"/>
    </row>
    <row r="139" spans="1:10">
      <c r="A139" s="42"/>
      <c r="B139" s="40"/>
      <c r="C139" s="43"/>
      <c r="D139" s="55"/>
      <c r="E139" s="92" t="s">
        <v>503</v>
      </c>
      <c r="F139" s="103">
        <v>92</v>
      </c>
      <c r="G139" s="58"/>
      <c r="H139" s="46"/>
      <c r="I139" s="46"/>
      <c r="J139" s="46"/>
    </row>
    <row r="140" spans="1:10">
      <c r="A140" s="42"/>
      <c r="B140" s="40"/>
      <c r="C140" s="43"/>
      <c r="D140" s="55"/>
      <c r="E140" s="187" t="s">
        <v>504</v>
      </c>
      <c r="F140" s="84">
        <f>SUM(F139:F139)</f>
        <v>92</v>
      </c>
      <c r="G140" s="58"/>
      <c r="H140" s="46"/>
      <c r="I140" s="46"/>
      <c r="J140" s="46"/>
    </row>
    <row r="141" spans="1:10">
      <c r="A141" s="42"/>
      <c r="B141" s="40"/>
      <c r="C141" s="43"/>
      <c r="D141" s="55"/>
      <c r="E141" s="187" t="s">
        <v>505</v>
      </c>
      <c r="F141" s="103">
        <v>92</v>
      </c>
      <c r="G141" s="58"/>
      <c r="H141" s="46"/>
      <c r="I141" s="46"/>
      <c r="J141" s="46"/>
    </row>
    <row r="142" spans="1:10">
      <c r="A142" s="42"/>
      <c r="B142" s="40"/>
      <c r="C142" s="43"/>
      <c r="D142" s="55"/>
      <c r="E142" s="157" t="s">
        <v>229</v>
      </c>
      <c r="F142" s="158">
        <f>SUM(F140:F141)</f>
        <v>184</v>
      </c>
      <c r="G142" s="58"/>
      <c r="H142" s="46"/>
      <c r="I142" s="46"/>
      <c r="J142" s="46"/>
    </row>
    <row r="143" spans="1:10">
      <c r="A143" s="42"/>
      <c r="B143" s="40"/>
      <c r="C143" s="43"/>
      <c r="D143" s="55"/>
      <c r="E143" s="92"/>
      <c r="F143" s="160"/>
      <c r="G143" s="58"/>
      <c r="H143" s="46"/>
      <c r="I143" s="46"/>
      <c r="J143" s="46"/>
    </row>
    <row r="144" spans="1:10">
      <c r="A144" s="31">
        <f>MAX(A$1:A143)+1</f>
        <v>22</v>
      </c>
      <c r="B144" s="40"/>
      <c r="C144" s="32" t="s">
        <v>54</v>
      </c>
      <c r="D144" s="33"/>
      <c r="E144" s="52" t="s">
        <v>55</v>
      </c>
      <c r="F144" s="184"/>
      <c r="G144" s="24" t="s">
        <v>7</v>
      </c>
      <c r="H144" s="51">
        <v>293.02</v>
      </c>
      <c r="I144" s="381"/>
      <c r="J144" s="51">
        <f t="shared" si="2"/>
        <v>0</v>
      </c>
    </row>
    <row r="145" spans="1:10" ht="25.5">
      <c r="A145" s="42"/>
      <c r="B145" s="40"/>
      <c r="C145" s="54"/>
      <c r="D145" s="55" t="s">
        <v>56</v>
      </c>
      <c r="E145" s="56" t="s">
        <v>57</v>
      </c>
      <c r="F145" s="188"/>
      <c r="G145" s="58" t="s">
        <v>7</v>
      </c>
      <c r="H145" s="46">
        <v>293.02</v>
      </c>
      <c r="I145" s="46"/>
      <c r="J145" s="46"/>
    </row>
    <row r="146" spans="1:10">
      <c r="A146" s="42"/>
      <c r="B146" s="40"/>
      <c r="C146" s="54"/>
      <c r="D146" s="55"/>
      <c r="E146" s="97" t="s">
        <v>506</v>
      </c>
      <c r="F146" s="181"/>
      <c r="G146" s="58"/>
      <c r="H146" s="46"/>
      <c r="I146" s="46"/>
      <c r="J146" s="46"/>
    </row>
    <row r="147" spans="1:10">
      <c r="A147" s="42"/>
      <c r="B147" s="40"/>
      <c r="C147" s="54"/>
      <c r="D147" s="55"/>
      <c r="E147" s="92" t="s">
        <v>427</v>
      </c>
      <c r="F147" s="84">
        <v>372.34</v>
      </c>
      <c r="G147" s="58"/>
      <c r="H147" s="46"/>
      <c r="I147" s="46"/>
      <c r="J147" s="46"/>
    </row>
    <row r="148" spans="1:10">
      <c r="A148" s="42"/>
      <c r="B148" s="40"/>
      <c r="C148" s="54"/>
      <c r="D148" s="55"/>
      <c r="E148" s="92" t="s">
        <v>428</v>
      </c>
      <c r="F148" s="84">
        <v>-92</v>
      </c>
      <c r="G148" s="58"/>
      <c r="H148" s="46"/>
      <c r="I148" s="46"/>
      <c r="J148" s="46"/>
    </row>
    <row r="149" spans="1:10">
      <c r="A149" s="42"/>
      <c r="B149" s="40"/>
      <c r="C149" s="54"/>
      <c r="D149" s="55"/>
      <c r="E149" s="92" t="s">
        <v>429</v>
      </c>
      <c r="F149" s="103">
        <v>12.68</v>
      </c>
      <c r="G149" s="58"/>
      <c r="H149" s="46"/>
      <c r="I149" s="46"/>
      <c r="J149" s="46"/>
    </row>
    <row r="150" spans="1:10">
      <c r="A150" s="42"/>
      <c r="B150" s="40"/>
      <c r="C150" s="43"/>
      <c r="D150" s="55"/>
      <c r="E150" s="187" t="s">
        <v>229</v>
      </c>
      <c r="F150" s="84">
        <f>SUM(F147:F149)</f>
        <v>293.02</v>
      </c>
      <c r="G150" s="58"/>
      <c r="H150" s="46"/>
      <c r="I150" s="46"/>
      <c r="J150" s="46"/>
    </row>
    <row r="151" spans="1:10">
      <c r="A151" s="42"/>
      <c r="B151" s="40"/>
      <c r="C151" s="43"/>
      <c r="D151" s="44"/>
      <c r="E151" s="154"/>
      <c r="F151" s="160"/>
      <c r="G151" s="45"/>
      <c r="H151" s="46"/>
      <c r="I151" s="46"/>
      <c r="J151" s="46"/>
    </row>
    <row r="152" spans="1:10">
      <c r="A152" s="31">
        <f>MAX(A$1:A151)+1</f>
        <v>23</v>
      </c>
      <c r="B152" s="40"/>
      <c r="C152" s="32" t="s">
        <v>62</v>
      </c>
      <c r="D152" s="33"/>
      <c r="E152" s="52" t="s">
        <v>63</v>
      </c>
      <c r="F152" s="184"/>
      <c r="G152" s="24" t="s">
        <v>7</v>
      </c>
      <c r="H152" s="51">
        <v>92</v>
      </c>
      <c r="I152" s="381"/>
      <c r="J152" s="51">
        <f t="shared" si="2"/>
        <v>0</v>
      </c>
    </row>
    <row r="153" spans="1:10" ht="25.5">
      <c r="A153" s="42"/>
      <c r="B153" s="40"/>
      <c r="C153" s="54"/>
      <c r="D153" s="55" t="s">
        <v>64</v>
      </c>
      <c r="E153" s="56" t="s">
        <v>65</v>
      </c>
      <c r="F153" s="188"/>
      <c r="G153" s="58" t="s">
        <v>7</v>
      </c>
      <c r="H153" s="46">
        <v>92</v>
      </c>
      <c r="I153" s="46"/>
      <c r="J153" s="46"/>
    </row>
    <row r="154" spans="1:10">
      <c r="A154" s="42"/>
      <c r="B154" s="40"/>
      <c r="C154" s="54"/>
      <c r="D154" s="55"/>
      <c r="E154" s="97" t="s">
        <v>507</v>
      </c>
      <c r="F154" s="160"/>
      <c r="G154" s="58"/>
      <c r="H154" s="46"/>
      <c r="I154" s="46"/>
      <c r="J154" s="46"/>
    </row>
    <row r="155" spans="1:10">
      <c r="A155" s="42"/>
      <c r="B155" s="40"/>
      <c r="C155" s="54"/>
      <c r="D155" s="55"/>
      <c r="E155" s="92" t="s">
        <v>503</v>
      </c>
      <c r="F155" s="84">
        <v>92</v>
      </c>
      <c r="G155" s="58"/>
      <c r="H155" s="46"/>
      <c r="I155" s="46"/>
      <c r="J155" s="46"/>
    </row>
    <row r="156" spans="1:10">
      <c r="A156" s="69"/>
      <c r="B156" s="70"/>
      <c r="C156" s="71"/>
      <c r="D156" s="72"/>
      <c r="E156" s="191"/>
      <c r="F156" s="192"/>
      <c r="G156" s="45"/>
      <c r="H156" s="46"/>
      <c r="I156" s="46"/>
      <c r="J156" s="46"/>
    </row>
    <row r="157" spans="1:10">
      <c r="A157" s="69"/>
      <c r="B157" s="70"/>
      <c r="C157" s="71"/>
      <c r="D157" s="72"/>
      <c r="E157" s="191"/>
      <c r="F157" s="192"/>
      <c r="G157" s="45"/>
      <c r="H157" s="46"/>
      <c r="I157" s="46"/>
      <c r="J157" s="46"/>
    </row>
    <row r="158" spans="1:10" ht="15.75">
      <c r="A158" s="22"/>
      <c r="B158" s="121" t="s">
        <v>508</v>
      </c>
      <c r="C158" s="121"/>
      <c r="D158" s="33"/>
      <c r="E158" s="52" t="s">
        <v>509</v>
      </c>
      <c r="F158" s="193"/>
      <c r="G158" s="194"/>
      <c r="H158" s="25"/>
      <c r="I158" s="25"/>
      <c r="J158" s="25"/>
    </row>
    <row r="159" spans="1:10">
      <c r="A159" s="22"/>
      <c r="B159" s="121"/>
      <c r="C159" s="50"/>
      <c r="D159" s="121"/>
      <c r="E159" s="92"/>
      <c r="F159" s="144"/>
      <c r="G159" s="24"/>
      <c r="H159" s="59"/>
      <c r="I159" s="59"/>
      <c r="J159" s="59"/>
    </row>
    <row r="160" spans="1:10">
      <c r="A160" s="31">
        <f>MAX(A$1:A159)+1</f>
        <v>24</v>
      </c>
      <c r="B160" s="121"/>
      <c r="C160" s="32" t="s">
        <v>510</v>
      </c>
      <c r="D160" s="33"/>
      <c r="E160" s="52" t="s">
        <v>511</v>
      </c>
      <c r="F160" s="184"/>
      <c r="G160" s="24" t="s">
        <v>7</v>
      </c>
      <c r="H160" s="51">
        <v>23.92</v>
      </c>
      <c r="I160" s="381"/>
      <c r="J160" s="51">
        <f t="shared" si="2"/>
        <v>0</v>
      </c>
    </row>
    <row r="161" spans="1:10">
      <c r="A161" s="22"/>
      <c r="B161" s="121"/>
      <c r="C161" s="50"/>
      <c r="D161" s="130" t="s">
        <v>512</v>
      </c>
      <c r="E161" s="164" t="s">
        <v>513</v>
      </c>
      <c r="F161" s="167"/>
      <c r="G161" s="45" t="s">
        <v>7</v>
      </c>
      <c r="H161" s="46">
        <v>23.92</v>
      </c>
      <c r="I161" s="46"/>
      <c r="J161" s="46"/>
    </row>
    <row r="162" spans="1:10">
      <c r="A162" s="22"/>
      <c r="B162" s="121"/>
      <c r="C162" s="50"/>
      <c r="D162" s="130"/>
      <c r="E162" s="92" t="s">
        <v>514</v>
      </c>
      <c r="F162" s="167"/>
      <c r="G162" s="45"/>
      <c r="H162" s="46"/>
      <c r="I162" s="46"/>
      <c r="J162" s="46"/>
    </row>
    <row r="163" spans="1:10">
      <c r="A163" s="22"/>
      <c r="B163" s="121"/>
      <c r="C163" s="50"/>
      <c r="D163" s="121"/>
      <c r="E163" s="92" t="s">
        <v>515</v>
      </c>
      <c r="F163" s="47">
        <f xml:space="preserve"> 1.8*3.5*4-0.16*2*4</f>
        <v>23.92</v>
      </c>
      <c r="G163" s="24"/>
      <c r="H163" s="59"/>
      <c r="I163" s="59"/>
      <c r="J163" s="59"/>
    </row>
    <row r="164" spans="1:10">
      <c r="A164" s="22"/>
      <c r="B164" s="121"/>
      <c r="C164" s="50"/>
      <c r="D164" s="121"/>
      <c r="E164" s="187"/>
      <c r="F164" s="84"/>
      <c r="G164" s="24"/>
      <c r="H164" s="59"/>
      <c r="I164" s="59"/>
      <c r="J164" s="59"/>
    </row>
    <row r="165" spans="1:10">
      <c r="A165" s="31">
        <f>MAX(A$1:A164)+1</f>
        <v>25</v>
      </c>
      <c r="B165" s="121"/>
      <c r="C165" s="32" t="s">
        <v>516</v>
      </c>
      <c r="D165" s="33"/>
      <c r="E165" s="52" t="s">
        <v>517</v>
      </c>
      <c r="F165" s="184"/>
      <c r="G165" s="24" t="s">
        <v>1</v>
      </c>
      <c r="H165" s="36">
        <v>31.16</v>
      </c>
      <c r="I165" s="380"/>
      <c r="J165" s="36">
        <f t="shared" si="2"/>
        <v>0</v>
      </c>
    </row>
    <row r="166" spans="1:10">
      <c r="A166" s="22"/>
      <c r="B166" s="121"/>
      <c r="C166" s="54"/>
      <c r="D166" s="55" t="s">
        <v>518</v>
      </c>
      <c r="E166" s="56" t="s">
        <v>519</v>
      </c>
      <c r="F166" s="188"/>
      <c r="G166" s="58" t="s">
        <v>1</v>
      </c>
      <c r="H166" s="59">
        <v>31.16</v>
      </c>
      <c r="I166" s="59"/>
      <c r="J166" s="59"/>
    </row>
    <row r="167" spans="1:10">
      <c r="A167" s="22"/>
      <c r="B167" s="121"/>
      <c r="C167" s="50"/>
      <c r="D167" s="121"/>
      <c r="E167" s="92" t="s">
        <v>514</v>
      </c>
      <c r="F167" s="84"/>
      <c r="G167" s="24"/>
      <c r="H167" s="59"/>
      <c r="I167" s="59"/>
      <c r="J167" s="59"/>
    </row>
    <row r="168" spans="1:10">
      <c r="A168" s="22"/>
      <c r="B168" s="121"/>
      <c r="C168" s="50"/>
      <c r="D168" s="121"/>
      <c r="E168" s="92" t="s">
        <v>520</v>
      </c>
      <c r="F168" s="84">
        <f>1.8*4+1.8*3.5*4-0.31*4</f>
        <v>31.16</v>
      </c>
      <c r="G168" s="24"/>
      <c r="H168" s="59"/>
      <c r="I168" s="59"/>
      <c r="J168" s="59"/>
    </row>
    <row r="169" spans="1:10">
      <c r="A169" s="22"/>
      <c r="B169" s="121"/>
      <c r="C169" s="50"/>
      <c r="D169" s="121"/>
      <c r="E169" s="92"/>
      <c r="F169" s="84"/>
      <c r="G169" s="24"/>
      <c r="H169" s="59"/>
      <c r="I169" s="59"/>
      <c r="J169" s="59"/>
    </row>
    <row r="170" spans="1:10">
      <c r="A170" s="31">
        <f>MAX(A$1:A169)+1</f>
        <v>26</v>
      </c>
      <c r="B170" s="121"/>
      <c r="C170" s="32" t="s">
        <v>521</v>
      </c>
      <c r="D170" s="33"/>
      <c r="E170" s="52" t="s">
        <v>522</v>
      </c>
      <c r="F170" s="184"/>
      <c r="G170" s="24" t="s">
        <v>7</v>
      </c>
      <c r="H170" s="36">
        <v>39.049999999999997</v>
      </c>
      <c r="I170" s="380"/>
      <c r="J170" s="36">
        <f t="shared" si="2"/>
        <v>0</v>
      </c>
    </row>
    <row r="171" spans="1:10">
      <c r="A171" s="22"/>
      <c r="B171" s="121"/>
      <c r="C171" s="50"/>
      <c r="D171" s="130" t="s">
        <v>523</v>
      </c>
      <c r="E171" s="164" t="s">
        <v>524</v>
      </c>
      <c r="F171" s="167"/>
      <c r="G171" s="45" t="s">
        <v>7</v>
      </c>
      <c r="H171" s="59">
        <v>39.049999999999997</v>
      </c>
      <c r="I171" s="59"/>
      <c r="J171" s="59"/>
    </row>
    <row r="172" spans="1:10">
      <c r="A172" s="22"/>
      <c r="B172" s="121"/>
      <c r="C172" s="50"/>
      <c r="D172" s="121"/>
      <c r="E172" s="92" t="s">
        <v>525</v>
      </c>
      <c r="F172" s="84"/>
      <c r="G172" s="24"/>
      <c r="H172" s="59"/>
      <c r="I172" s="59"/>
      <c r="J172" s="59"/>
    </row>
    <row r="173" spans="1:10">
      <c r="A173" s="22"/>
      <c r="B173" s="121"/>
      <c r="C173" s="50"/>
      <c r="D173" s="121"/>
      <c r="E173" s="92" t="s">
        <v>526</v>
      </c>
      <c r="F173" s="84">
        <f>8*5.5*0.2</f>
        <v>8.8000000000000007</v>
      </c>
      <c r="G173" s="24"/>
      <c r="H173" s="59"/>
      <c r="I173" s="59"/>
      <c r="J173" s="59"/>
    </row>
    <row r="174" spans="1:10">
      <c r="A174" s="22"/>
      <c r="B174" s="121"/>
      <c r="C174" s="50"/>
      <c r="D174" s="121"/>
      <c r="E174" s="92" t="s">
        <v>527</v>
      </c>
      <c r="F174" s="84"/>
      <c r="G174" s="24"/>
      <c r="H174" s="59"/>
      <c r="I174" s="59"/>
      <c r="J174" s="59"/>
    </row>
    <row r="175" spans="1:10">
      <c r="A175" s="22"/>
      <c r="B175" s="121"/>
      <c r="C175" s="50"/>
      <c r="D175" s="121"/>
      <c r="E175" s="92" t="s">
        <v>528</v>
      </c>
      <c r="F175" s="103">
        <f>6.6*8.7*0.69-(1.1*6.17*0.69*2)</f>
        <v>30.25</v>
      </c>
      <c r="G175" s="24"/>
      <c r="H175" s="59"/>
      <c r="I175" s="59"/>
      <c r="J175" s="59"/>
    </row>
    <row r="176" spans="1:10">
      <c r="A176" s="22"/>
      <c r="B176" s="121"/>
      <c r="C176" s="50"/>
      <c r="D176" s="121"/>
      <c r="E176" s="187" t="s">
        <v>229</v>
      </c>
      <c r="F176" s="84">
        <f>SUM(F173:F175)</f>
        <v>39.049999999999997</v>
      </c>
      <c r="G176" s="24"/>
      <c r="H176" s="59"/>
      <c r="I176" s="59"/>
      <c r="J176" s="59"/>
    </row>
    <row r="177" spans="1:10">
      <c r="A177" s="22"/>
      <c r="B177" s="121"/>
      <c r="C177" s="50"/>
      <c r="D177" s="121"/>
      <c r="E177" s="92"/>
      <c r="F177" s="84"/>
      <c r="G177" s="24"/>
      <c r="H177" s="59"/>
      <c r="I177" s="59"/>
      <c r="J177" s="59"/>
    </row>
    <row r="178" spans="1:10">
      <c r="A178" s="31">
        <f>MAX(A$1:A177)+1</f>
        <v>27</v>
      </c>
      <c r="B178" s="121"/>
      <c r="C178" s="32" t="s">
        <v>529</v>
      </c>
      <c r="D178" s="33"/>
      <c r="E178" s="52" t="s">
        <v>530</v>
      </c>
      <c r="F178" s="184"/>
      <c r="G178" s="24" t="s">
        <v>1</v>
      </c>
      <c r="H178" s="36">
        <v>5.4</v>
      </c>
      <c r="I178" s="380"/>
      <c r="J178" s="36">
        <f t="shared" si="2"/>
        <v>0</v>
      </c>
    </row>
    <row r="179" spans="1:10">
      <c r="A179" s="22"/>
      <c r="B179" s="121"/>
      <c r="C179" s="54"/>
      <c r="D179" s="55" t="s">
        <v>531</v>
      </c>
      <c r="E179" s="56" t="s">
        <v>532</v>
      </c>
      <c r="F179" s="188"/>
      <c r="G179" s="58" t="s">
        <v>1</v>
      </c>
      <c r="H179" s="59">
        <v>5.4</v>
      </c>
      <c r="I179" s="59"/>
      <c r="J179" s="59"/>
    </row>
    <row r="180" spans="1:10">
      <c r="A180" s="22"/>
      <c r="B180" s="121"/>
      <c r="C180" s="50"/>
      <c r="D180" s="121"/>
      <c r="E180" s="92" t="s">
        <v>525</v>
      </c>
      <c r="F180" s="84"/>
      <c r="G180" s="24"/>
      <c r="H180" s="59"/>
      <c r="I180" s="59"/>
      <c r="J180" s="59"/>
    </row>
    <row r="181" spans="1:10">
      <c r="A181" s="22"/>
      <c r="B181" s="121"/>
      <c r="C181" s="50"/>
      <c r="D181" s="121"/>
      <c r="E181" s="92" t="s">
        <v>533</v>
      </c>
      <c r="F181" s="84">
        <f>(8+5.5)*2*0.2</f>
        <v>5.4</v>
      </c>
      <c r="G181" s="24"/>
      <c r="H181" s="59"/>
      <c r="I181" s="59"/>
      <c r="J181" s="59"/>
    </row>
    <row r="182" spans="1:10">
      <c r="A182" s="22"/>
      <c r="B182" s="121"/>
      <c r="C182" s="50"/>
      <c r="D182" s="121"/>
      <c r="E182" s="157"/>
      <c r="F182" s="158"/>
      <c r="G182" s="24"/>
      <c r="H182" s="59"/>
      <c r="I182" s="59"/>
      <c r="J182" s="59"/>
    </row>
    <row r="183" spans="1:10" ht="25.5">
      <c r="A183" s="31">
        <f>MAX(A$1:A182)+1</f>
        <v>28</v>
      </c>
      <c r="B183" s="70"/>
      <c r="C183" s="32" t="s">
        <v>534</v>
      </c>
      <c r="D183" s="33"/>
      <c r="E183" s="52" t="s">
        <v>535</v>
      </c>
      <c r="F183" s="184"/>
      <c r="G183" s="24" t="s">
        <v>7</v>
      </c>
      <c r="H183" s="51">
        <v>34.83</v>
      </c>
      <c r="I183" s="381"/>
      <c r="J183" s="51">
        <f t="shared" si="2"/>
        <v>0</v>
      </c>
    </row>
    <row r="184" spans="1:10" ht="25.5">
      <c r="A184" s="69"/>
      <c r="B184" s="70"/>
      <c r="C184" s="71"/>
      <c r="D184" s="130" t="s">
        <v>536</v>
      </c>
      <c r="E184" s="164" t="s">
        <v>537</v>
      </c>
      <c r="F184" s="167"/>
      <c r="G184" s="45" t="s">
        <v>7</v>
      </c>
      <c r="H184" s="46">
        <v>34.83</v>
      </c>
      <c r="I184" s="46"/>
      <c r="J184" s="46"/>
    </row>
    <row r="185" spans="1:10">
      <c r="A185" s="69"/>
      <c r="B185" s="70"/>
      <c r="C185" s="71"/>
      <c r="D185" s="130"/>
      <c r="E185" s="92" t="s">
        <v>514</v>
      </c>
      <c r="F185" s="167"/>
      <c r="G185" s="45"/>
      <c r="H185" s="46"/>
      <c r="I185" s="46"/>
      <c r="J185" s="46"/>
    </row>
    <row r="186" spans="1:10">
      <c r="A186" s="69"/>
      <c r="B186" s="70"/>
      <c r="C186" s="71"/>
      <c r="D186" s="72"/>
      <c r="E186" s="92" t="s">
        <v>538</v>
      </c>
      <c r="F186" s="47">
        <f>(2.65+2.5+2.4+2.4)*3.5</f>
        <v>34.83</v>
      </c>
      <c r="G186" s="45"/>
      <c r="H186" s="46"/>
      <c r="I186" s="46"/>
      <c r="J186" s="46"/>
    </row>
    <row r="187" spans="1:10">
      <c r="A187" s="69"/>
      <c r="B187" s="70"/>
      <c r="C187" s="71"/>
      <c r="D187" s="72"/>
      <c r="E187" s="92" t="s">
        <v>539</v>
      </c>
      <c r="F187" s="47"/>
      <c r="G187" s="45"/>
      <c r="H187" s="46"/>
      <c r="I187" s="46"/>
      <c r="J187" s="46"/>
    </row>
    <row r="188" spans="1:10">
      <c r="A188" s="69"/>
      <c r="B188" s="70"/>
      <c r="C188" s="71"/>
      <c r="D188" s="72"/>
      <c r="E188" s="191"/>
      <c r="F188" s="47"/>
      <c r="G188" s="45"/>
      <c r="H188" s="46"/>
      <c r="I188" s="46"/>
      <c r="J188" s="46"/>
    </row>
    <row r="189" spans="1:10" ht="25.5">
      <c r="A189" s="31">
        <f>MAX(A$1:A188)+1</f>
        <v>29</v>
      </c>
      <c r="B189" s="70"/>
      <c r="C189" s="32" t="s">
        <v>540</v>
      </c>
      <c r="D189" s="33"/>
      <c r="E189" s="52" t="s">
        <v>541</v>
      </c>
      <c r="F189" s="184"/>
      <c r="G189" s="24" t="s">
        <v>1</v>
      </c>
      <c r="H189" s="51">
        <v>84.5</v>
      </c>
      <c r="I189" s="381"/>
      <c r="J189" s="51">
        <f t="shared" si="2"/>
        <v>0</v>
      </c>
    </row>
    <row r="190" spans="1:10" ht="25.5">
      <c r="A190" s="69"/>
      <c r="B190" s="70"/>
      <c r="C190" s="54"/>
      <c r="D190" s="55" t="s">
        <v>542</v>
      </c>
      <c r="E190" s="56" t="s">
        <v>543</v>
      </c>
      <c r="F190" s="188"/>
      <c r="G190" s="58" t="s">
        <v>1</v>
      </c>
      <c r="H190" s="46">
        <v>84.5</v>
      </c>
      <c r="I190" s="46"/>
      <c r="J190" s="46"/>
    </row>
    <row r="191" spans="1:10">
      <c r="A191" s="69"/>
      <c r="B191" s="70"/>
      <c r="C191" s="54"/>
      <c r="D191" s="55"/>
      <c r="E191" s="92" t="s">
        <v>514</v>
      </c>
      <c r="F191" s="47"/>
      <c r="G191" s="58"/>
      <c r="H191" s="46"/>
      <c r="I191" s="46"/>
      <c r="J191" s="46"/>
    </row>
    <row r="192" spans="1:10">
      <c r="A192" s="69"/>
      <c r="B192" s="70"/>
      <c r="C192" s="71"/>
      <c r="D192" s="72"/>
      <c r="E192" s="92" t="s">
        <v>544</v>
      </c>
      <c r="F192" s="47">
        <f>5.55*3.5+2.65</f>
        <v>22.08</v>
      </c>
      <c r="G192" s="45"/>
      <c r="H192" s="46"/>
      <c r="I192" s="46"/>
      <c r="J192" s="46"/>
    </row>
    <row r="193" spans="1:10">
      <c r="A193" s="69"/>
      <c r="B193" s="70"/>
      <c r="C193" s="71"/>
      <c r="D193" s="72"/>
      <c r="E193" s="92" t="s">
        <v>545</v>
      </c>
      <c r="F193" s="47">
        <f>5.35*3.5+2.5</f>
        <v>21.23</v>
      </c>
      <c r="G193" s="45"/>
      <c r="H193" s="46"/>
      <c r="I193" s="46"/>
      <c r="J193" s="46"/>
    </row>
    <row r="194" spans="1:10">
      <c r="A194" s="69"/>
      <c r="B194" s="70"/>
      <c r="C194" s="71"/>
      <c r="D194" s="72"/>
      <c r="E194" s="92" t="s">
        <v>546</v>
      </c>
      <c r="F194" s="47">
        <f>5.2*3.5+2.4</f>
        <v>20.6</v>
      </c>
      <c r="G194" s="45"/>
      <c r="H194" s="46"/>
      <c r="I194" s="46"/>
      <c r="J194" s="46"/>
    </row>
    <row r="195" spans="1:10">
      <c r="A195" s="69"/>
      <c r="B195" s="70"/>
      <c r="C195" s="71"/>
      <c r="D195" s="72"/>
      <c r="E195" s="92" t="s">
        <v>546</v>
      </c>
      <c r="F195" s="156">
        <f>5.2*3.5+2.4</f>
        <v>20.6</v>
      </c>
      <c r="G195" s="45"/>
      <c r="H195" s="46"/>
      <c r="I195" s="46"/>
      <c r="J195" s="46"/>
    </row>
    <row r="196" spans="1:10">
      <c r="A196" s="69"/>
      <c r="B196" s="70"/>
      <c r="C196" s="71"/>
      <c r="D196" s="72"/>
      <c r="E196" s="187" t="s">
        <v>229</v>
      </c>
      <c r="F196" s="47">
        <f>SUM(F192:F195)</f>
        <v>84.51</v>
      </c>
      <c r="G196" s="45"/>
      <c r="H196" s="46"/>
      <c r="I196" s="46"/>
      <c r="J196" s="46"/>
    </row>
    <row r="197" spans="1:10">
      <c r="A197" s="69"/>
      <c r="B197" s="70"/>
      <c r="C197" s="71"/>
      <c r="D197" s="72"/>
      <c r="E197" s="191"/>
      <c r="F197" s="47"/>
      <c r="G197" s="45"/>
      <c r="H197" s="46"/>
      <c r="I197" s="46"/>
      <c r="J197" s="46"/>
    </row>
    <row r="198" spans="1:10" ht="25.5">
      <c r="A198" s="31">
        <f>MAX(A$1:A197)+1</f>
        <v>30</v>
      </c>
      <c r="B198" s="70"/>
      <c r="C198" s="32" t="s">
        <v>547</v>
      </c>
      <c r="D198" s="33"/>
      <c r="E198" s="52" t="s">
        <v>548</v>
      </c>
      <c r="F198" s="184"/>
      <c r="G198" s="24" t="s">
        <v>7</v>
      </c>
      <c r="H198" s="51">
        <v>6.08</v>
      </c>
      <c r="I198" s="381"/>
      <c r="J198" s="51">
        <f t="shared" si="2"/>
        <v>0</v>
      </c>
    </row>
    <row r="199" spans="1:10" ht="25.5">
      <c r="A199" s="69"/>
      <c r="B199" s="70"/>
      <c r="C199" s="71"/>
      <c r="D199" s="130" t="s">
        <v>549</v>
      </c>
      <c r="E199" s="164" t="s">
        <v>550</v>
      </c>
      <c r="F199" s="167"/>
      <c r="G199" s="45" t="s">
        <v>7</v>
      </c>
      <c r="H199" s="46">
        <v>6.08</v>
      </c>
      <c r="I199" s="46"/>
      <c r="J199" s="46"/>
    </row>
    <row r="200" spans="1:10">
      <c r="A200" s="69"/>
      <c r="B200" s="70"/>
      <c r="C200" s="71"/>
      <c r="D200" s="72"/>
      <c r="E200" s="92" t="s">
        <v>551</v>
      </c>
      <c r="F200" s="47">
        <f xml:space="preserve"> 0.25*12.15</f>
        <v>3.04</v>
      </c>
      <c r="G200" s="45"/>
      <c r="H200" s="46"/>
      <c r="I200" s="46"/>
      <c r="J200" s="46"/>
    </row>
    <row r="201" spans="1:10">
      <c r="A201" s="69"/>
      <c r="B201" s="70"/>
      <c r="C201" s="71"/>
      <c r="D201" s="72"/>
      <c r="E201" s="92" t="s">
        <v>552</v>
      </c>
      <c r="F201" s="156">
        <f xml:space="preserve"> 0.25*12.15</f>
        <v>3.04</v>
      </c>
      <c r="G201" s="45"/>
      <c r="H201" s="46"/>
      <c r="I201" s="46"/>
      <c r="J201" s="46"/>
    </row>
    <row r="202" spans="1:10">
      <c r="A202" s="69"/>
      <c r="B202" s="70"/>
      <c r="C202" s="71"/>
      <c r="D202" s="72"/>
      <c r="E202" s="187" t="s">
        <v>229</v>
      </c>
      <c r="F202" s="47">
        <f>SUM(F200:F201)</f>
        <v>6.08</v>
      </c>
      <c r="G202" s="45"/>
      <c r="H202" s="46"/>
      <c r="I202" s="46"/>
      <c r="J202" s="46"/>
    </row>
    <row r="203" spans="1:10" ht="25.5">
      <c r="A203" s="69"/>
      <c r="B203" s="70"/>
      <c r="C203" s="71"/>
      <c r="D203" s="72"/>
      <c r="E203" s="92" t="s">
        <v>553</v>
      </c>
      <c r="F203" s="47"/>
      <c r="G203" s="45"/>
      <c r="H203" s="46"/>
      <c r="I203" s="46"/>
      <c r="J203" s="46"/>
    </row>
    <row r="204" spans="1:10">
      <c r="A204" s="69"/>
      <c r="B204" s="70"/>
      <c r="C204" s="71"/>
      <c r="D204" s="72"/>
      <c r="E204" s="191"/>
      <c r="F204" s="84"/>
      <c r="G204" s="45"/>
      <c r="H204" s="46"/>
      <c r="I204" s="46"/>
      <c r="J204" s="46"/>
    </row>
    <row r="205" spans="1:10" ht="25.5">
      <c r="A205" s="31">
        <f>MAX(A$1:A204)+1</f>
        <v>31</v>
      </c>
      <c r="B205" s="70"/>
      <c r="C205" s="32" t="s">
        <v>554</v>
      </c>
      <c r="D205" s="33"/>
      <c r="E205" s="52" t="s">
        <v>555</v>
      </c>
      <c r="F205" s="184"/>
      <c r="G205" s="24" t="s">
        <v>1</v>
      </c>
      <c r="H205" s="51">
        <v>24.33</v>
      </c>
      <c r="I205" s="381"/>
      <c r="J205" s="51">
        <f t="shared" ref="J205:J258" si="3">I205*H205</f>
        <v>0</v>
      </c>
    </row>
    <row r="206" spans="1:10" ht="25.5">
      <c r="A206" s="69"/>
      <c r="B206" s="70"/>
      <c r="C206" s="54"/>
      <c r="D206" s="55" t="s">
        <v>556</v>
      </c>
      <c r="E206" s="56" t="s">
        <v>557</v>
      </c>
      <c r="F206" s="188"/>
      <c r="G206" s="58" t="s">
        <v>1</v>
      </c>
      <c r="H206" s="46">
        <v>24.33</v>
      </c>
      <c r="I206" s="46"/>
      <c r="J206" s="46"/>
    </row>
    <row r="207" spans="1:10">
      <c r="A207" s="69"/>
      <c r="B207" s="70"/>
      <c r="C207" s="54"/>
      <c r="D207" s="55"/>
      <c r="E207" s="92" t="s">
        <v>558</v>
      </c>
      <c r="F207" s="47">
        <f xml:space="preserve"> 0.25*2+0.96*12.15</f>
        <v>12.16</v>
      </c>
      <c r="G207" s="58"/>
      <c r="H207" s="46"/>
      <c r="I207" s="46"/>
      <c r="J207" s="46"/>
    </row>
    <row r="208" spans="1:10">
      <c r="A208" s="69"/>
      <c r="B208" s="70"/>
      <c r="C208" s="54"/>
      <c r="D208" s="55"/>
      <c r="E208" s="92" t="s">
        <v>559</v>
      </c>
      <c r="F208" s="156">
        <f xml:space="preserve"> 0.25*2+0.96*12.15</f>
        <v>12.16</v>
      </c>
      <c r="G208" s="58"/>
      <c r="H208" s="46"/>
      <c r="I208" s="46"/>
      <c r="J208" s="46"/>
    </row>
    <row r="209" spans="1:10">
      <c r="A209" s="69"/>
      <c r="B209" s="70"/>
      <c r="C209" s="54"/>
      <c r="D209" s="55"/>
      <c r="E209" s="187" t="s">
        <v>229</v>
      </c>
      <c r="F209" s="47">
        <f>SUM(F207:F208)</f>
        <v>24.32</v>
      </c>
      <c r="G209" s="58"/>
      <c r="H209" s="46"/>
      <c r="I209" s="46"/>
      <c r="J209" s="46"/>
    </row>
    <row r="210" spans="1:10">
      <c r="A210" s="69"/>
      <c r="B210" s="70"/>
      <c r="C210" s="54"/>
      <c r="D210" s="55"/>
      <c r="E210" s="92" t="s">
        <v>560</v>
      </c>
      <c r="F210" s="84"/>
      <c r="G210" s="58"/>
      <c r="H210" s="46"/>
      <c r="I210" s="46"/>
      <c r="J210" s="46"/>
    </row>
    <row r="211" spans="1:10">
      <c r="A211" s="69"/>
      <c r="B211" s="70"/>
      <c r="C211" s="54"/>
      <c r="D211" s="55"/>
      <c r="E211" s="92"/>
      <c r="F211" s="84"/>
      <c r="G211" s="58"/>
      <c r="H211" s="46"/>
      <c r="I211" s="46"/>
      <c r="J211" s="46"/>
    </row>
    <row r="212" spans="1:10" ht="25.5">
      <c r="A212" s="31">
        <f>MAX(A$1:A211)+1</f>
        <v>32</v>
      </c>
      <c r="B212" s="70"/>
      <c r="C212" s="32" t="s">
        <v>561</v>
      </c>
      <c r="D212" s="33"/>
      <c r="E212" s="52" t="s">
        <v>562</v>
      </c>
      <c r="F212" s="184"/>
      <c r="G212" s="24" t="s">
        <v>0</v>
      </c>
      <c r="H212" s="51">
        <v>0.83</v>
      </c>
      <c r="I212" s="381"/>
      <c r="J212" s="51">
        <f t="shared" si="3"/>
        <v>0</v>
      </c>
    </row>
    <row r="213" spans="1:10" ht="25.5">
      <c r="A213" s="69"/>
      <c r="B213" s="70"/>
      <c r="C213" s="71"/>
      <c r="D213" s="55" t="s">
        <v>563</v>
      </c>
      <c r="E213" s="56" t="s">
        <v>564</v>
      </c>
      <c r="F213" s="188"/>
      <c r="G213" s="58" t="s">
        <v>0</v>
      </c>
      <c r="H213" s="46">
        <v>0.83</v>
      </c>
      <c r="I213" s="46"/>
      <c r="J213" s="46"/>
    </row>
    <row r="214" spans="1:10">
      <c r="A214" s="69"/>
      <c r="B214" s="70"/>
      <c r="C214" s="71"/>
      <c r="D214" s="55"/>
      <c r="E214" s="97" t="s">
        <v>565</v>
      </c>
      <c r="F214" s="155"/>
      <c r="G214" s="58"/>
      <c r="H214" s="46"/>
      <c r="I214" s="46"/>
      <c r="J214" s="46"/>
    </row>
    <row r="215" spans="1:10">
      <c r="A215" s="69"/>
      <c r="B215" s="70"/>
      <c r="C215" s="71"/>
      <c r="D215" s="55"/>
      <c r="E215" s="92" t="s">
        <v>566</v>
      </c>
      <c r="F215" s="47">
        <f xml:space="preserve"> 412.63*0.001</f>
        <v>0.41</v>
      </c>
      <c r="G215" s="58"/>
      <c r="H215" s="46"/>
      <c r="I215" s="46"/>
      <c r="J215" s="46"/>
    </row>
    <row r="216" spans="1:10">
      <c r="A216" s="69"/>
      <c r="B216" s="70"/>
      <c r="C216" s="71"/>
      <c r="D216" s="55"/>
      <c r="E216" s="92" t="s">
        <v>567</v>
      </c>
      <c r="F216" s="156">
        <f xml:space="preserve"> 412.63*0.001</f>
        <v>0.41</v>
      </c>
      <c r="G216" s="58"/>
      <c r="H216" s="46"/>
      <c r="I216" s="46"/>
      <c r="J216" s="46"/>
    </row>
    <row r="217" spans="1:10">
      <c r="A217" s="69"/>
      <c r="B217" s="70"/>
      <c r="C217" s="71"/>
      <c r="D217" s="55"/>
      <c r="E217" s="187" t="s">
        <v>229</v>
      </c>
      <c r="F217" s="47">
        <f>SUM(F215:F216)</f>
        <v>0.82</v>
      </c>
      <c r="G217" s="58"/>
      <c r="H217" s="46"/>
      <c r="I217" s="46"/>
      <c r="J217" s="46"/>
    </row>
    <row r="218" spans="1:10">
      <c r="A218" s="69"/>
      <c r="B218" s="70"/>
      <c r="C218" s="71"/>
      <c r="D218" s="72"/>
      <c r="E218" s="191"/>
      <c r="F218" s="84"/>
      <c r="G218" s="45"/>
      <c r="H218" s="46"/>
      <c r="I218" s="46"/>
      <c r="J218" s="46"/>
    </row>
    <row r="219" spans="1:10" ht="25.5">
      <c r="A219" s="31">
        <f>MAX(A$1:A218)+1</f>
        <v>33</v>
      </c>
      <c r="B219" s="70"/>
      <c r="C219" s="32" t="s">
        <v>568</v>
      </c>
      <c r="D219" s="33"/>
      <c r="E219" s="173" t="s">
        <v>569</v>
      </c>
      <c r="F219" s="184"/>
      <c r="G219" s="24" t="s">
        <v>7</v>
      </c>
      <c r="H219" s="51">
        <v>15.6</v>
      </c>
      <c r="I219" s="381"/>
      <c r="J219" s="51">
        <f t="shared" si="3"/>
        <v>0</v>
      </c>
    </row>
    <row r="220" spans="1:10">
      <c r="A220" s="69"/>
      <c r="B220" s="70"/>
      <c r="C220" s="71"/>
      <c r="D220" s="72"/>
      <c r="E220" s="92" t="s">
        <v>570</v>
      </c>
      <c r="F220" s="47">
        <f>1.2*6.5*2</f>
        <v>15.6</v>
      </c>
      <c r="G220" s="45"/>
      <c r="H220" s="46"/>
      <c r="I220" s="46"/>
      <c r="J220" s="46"/>
    </row>
    <row r="221" spans="1:10">
      <c r="A221" s="69"/>
      <c r="B221" s="70"/>
      <c r="C221" s="71"/>
      <c r="D221" s="72"/>
      <c r="E221" s="191"/>
      <c r="F221" s="47"/>
      <c r="G221" s="45"/>
      <c r="H221" s="46"/>
      <c r="I221" s="46"/>
      <c r="J221" s="46"/>
    </row>
    <row r="222" spans="1:10" ht="25.5">
      <c r="A222" s="31">
        <f>MAX(A$1:A221)+1</f>
        <v>34</v>
      </c>
      <c r="B222" s="70"/>
      <c r="C222" s="32" t="s">
        <v>571</v>
      </c>
      <c r="D222" s="55"/>
      <c r="E222" s="52" t="s">
        <v>572</v>
      </c>
      <c r="F222" s="188"/>
      <c r="G222" s="24" t="s">
        <v>7</v>
      </c>
      <c r="H222" s="51">
        <v>2.75</v>
      </c>
      <c r="I222" s="381"/>
      <c r="J222" s="51">
        <f t="shared" si="3"/>
        <v>0</v>
      </c>
    </row>
    <row r="223" spans="1:10" ht="25.5">
      <c r="A223" s="69"/>
      <c r="B223" s="70"/>
      <c r="C223" s="71"/>
      <c r="D223" s="55" t="s">
        <v>573</v>
      </c>
      <c r="E223" s="56" t="s">
        <v>574</v>
      </c>
      <c r="F223" s="188"/>
      <c r="G223" s="58" t="s">
        <v>7</v>
      </c>
      <c r="H223" s="46">
        <v>2.75</v>
      </c>
      <c r="I223" s="46"/>
      <c r="J223" s="46"/>
    </row>
    <row r="224" spans="1:10">
      <c r="A224" s="69"/>
      <c r="B224" s="70"/>
      <c r="C224" s="71"/>
      <c r="D224" s="55"/>
      <c r="E224" s="92" t="s">
        <v>575</v>
      </c>
      <c r="F224" s="84"/>
      <c r="G224" s="58"/>
      <c r="H224" s="46"/>
      <c r="I224" s="46"/>
      <c r="J224" s="46"/>
    </row>
    <row r="225" spans="1:10">
      <c r="A225" s="69"/>
      <c r="B225" s="70"/>
      <c r="C225" s="71"/>
      <c r="D225" s="55"/>
      <c r="E225" s="92" t="s">
        <v>576</v>
      </c>
      <c r="F225" s="84">
        <f>7.6*5.1*0.071</f>
        <v>2.75</v>
      </c>
      <c r="G225" s="58"/>
      <c r="H225" s="46"/>
      <c r="I225" s="46"/>
      <c r="J225" s="46"/>
    </row>
    <row r="226" spans="1:10">
      <c r="A226" s="69"/>
      <c r="B226" s="70"/>
      <c r="C226" s="71"/>
      <c r="D226" s="55"/>
      <c r="E226" s="92" t="s">
        <v>577</v>
      </c>
      <c r="F226" s="84"/>
      <c r="G226" s="58"/>
      <c r="H226" s="46"/>
      <c r="I226" s="46"/>
      <c r="J226" s="46"/>
    </row>
    <row r="227" spans="1:10">
      <c r="A227" s="69"/>
      <c r="B227" s="70"/>
      <c r="C227" s="71"/>
      <c r="D227" s="55"/>
      <c r="E227" s="187"/>
      <c r="F227" s="84"/>
      <c r="G227" s="58"/>
      <c r="H227" s="46"/>
      <c r="I227" s="46"/>
      <c r="J227" s="46"/>
    </row>
    <row r="228" spans="1:10" ht="25.5">
      <c r="A228" s="31">
        <f>MAX(A$1:A227)+1</f>
        <v>35</v>
      </c>
      <c r="B228" s="70"/>
      <c r="C228" s="32" t="s">
        <v>578</v>
      </c>
      <c r="D228" s="33"/>
      <c r="E228" s="52" t="s">
        <v>579</v>
      </c>
      <c r="F228" s="184"/>
      <c r="G228" s="24" t="s">
        <v>7</v>
      </c>
      <c r="H228" s="51">
        <v>36.86</v>
      </c>
      <c r="I228" s="381"/>
      <c r="J228" s="51">
        <f t="shared" si="3"/>
        <v>0</v>
      </c>
    </row>
    <row r="229" spans="1:10">
      <c r="A229" s="69"/>
      <c r="B229" s="70"/>
      <c r="C229" s="71"/>
      <c r="D229" s="55"/>
      <c r="E229" s="92" t="s">
        <v>580</v>
      </c>
      <c r="F229" s="47">
        <f>(13.77-8.92)*1.9*4</f>
        <v>36.86</v>
      </c>
      <c r="G229" s="58"/>
      <c r="H229" s="46"/>
      <c r="I229" s="46"/>
      <c r="J229" s="46"/>
    </row>
    <row r="230" spans="1:10" ht="25.5">
      <c r="A230" s="69"/>
      <c r="B230" s="70"/>
      <c r="C230" s="71"/>
      <c r="D230" s="55"/>
      <c r="E230" s="92" t="s">
        <v>581</v>
      </c>
      <c r="F230" s="84"/>
      <c r="G230" s="58"/>
      <c r="H230" s="46"/>
      <c r="I230" s="46"/>
      <c r="J230" s="46"/>
    </row>
    <row r="231" spans="1:10">
      <c r="A231" s="69"/>
      <c r="B231" s="70"/>
      <c r="C231" s="71"/>
      <c r="D231" s="72"/>
      <c r="E231" s="191"/>
      <c r="F231" s="84"/>
      <c r="G231" s="45"/>
      <c r="H231" s="46"/>
      <c r="I231" s="46"/>
      <c r="J231" s="46"/>
    </row>
    <row r="232" spans="1:10" ht="25.5">
      <c r="A232" s="31">
        <f>MAX(A$1:A231)+1</f>
        <v>36</v>
      </c>
      <c r="B232" s="70"/>
      <c r="C232" s="32" t="s">
        <v>582</v>
      </c>
      <c r="D232" s="33"/>
      <c r="E232" s="52" t="s">
        <v>583</v>
      </c>
      <c r="F232" s="184"/>
      <c r="G232" s="24" t="s">
        <v>7</v>
      </c>
      <c r="H232" s="51">
        <v>17.940000000000001</v>
      </c>
      <c r="I232" s="381"/>
      <c r="J232" s="51">
        <f t="shared" si="3"/>
        <v>0</v>
      </c>
    </row>
    <row r="233" spans="1:10">
      <c r="A233" s="69"/>
      <c r="B233" s="70"/>
      <c r="C233" s="32"/>
      <c r="D233" s="33"/>
      <c r="E233" s="92" t="s">
        <v>584</v>
      </c>
      <c r="F233" s="47">
        <f>0.6*2.3*6.5*2</f>
        <v>17.940000000000001</v>
      </c>
      <c r="G233" s="24"/>
      <c r="H233" s="46"/>
      <c r="I233" s="46"/>
      <c r="J233" s="46"/>
    </row>
    <row r="234" spans="1:10">
      <c r="A234" s="69"/>
      <c r="B234" s="70"/>
      <c r="C234" s="71"/>
      <c r="D234" s="72"/>
      <c r="E234" s="92"/>
      <c r="F234" s="47"/>
      <c r="G234" s="45"/>
      <c r="H234" s="46"/>
      <c r="I234" s="46"/>
      <c r="J234" s="46"/>
    </row>
    <row r="235" spans="1:10">
      <c r="A235" s="31">
        <f>MAX(A$1:A234)+1</f>
        <v>37</v>
      </c>
      <c r="B235" s="70"/>
      <c r="C235" s="32" t="s">
        <v>585</v>
      </c>
      <c r="D235" s="33"/>
      <c r="E235" s="52" t="s">
        <v>86</v>
      </c>
      <c r="F235" s="184"/>
      <c r="G235" s="24" t="s">
        <v>5</v>
      </c>
      <c r="H235" s="51">
        <v>24.3</v>
      </c>
      <c r="I235" s="381"/>
      <c r="J235" s="51">
        <f t="shared" si="3"/>
        <v>0</v>
      </c>
    </row>
    <row r="236" spans="1:10">
      <c r="A236" s="69"/>
      <c r="B236" s="70"/>
      <c r="C236" s="71"/>
      <c r="D236" s="55" t="s">
        <v>586</v>
      </c>
      <c r="E236" s="56" t="s">
        <v>587</v>
      </c>
      <c r="F236" s="188"/>
      <c r="G236" s="58" t="s">
        <v>5</v>
      </c>
      <c r="H236" s="46">
        <v>24.3</v>
      </c>
      <c r="I236" s="46"/>
      <c r="J236" s="46"/>
    </row>
    <row r="237" spans="1:10">
      <c r="A237" s="69"/>
      <c r="B237" s="70"/>
      <c r="C237" s="71"/>
      <c r="D237" s="72"/>
      <c r="E237" s="92" t="s">
        <v>588</v>
      </c>
      <c r="F237" s="47"/>
      <c r="G237" s="45"/>
      <c r="H237" s="46"/>
      <c r="I237" s="46"/>
      <c r="J237" s="46"/>
    </row>
    <row r="238" spans="1:10">
      <c r="A238" s="69"/>
      <c r="B238" s="70"/>
      <c r="C238" s="71"/>
      <c r="D238" s="72"/>
      <c r="E238" s="92" t="s">
        <v>589</v>
      </c>
      <c r="F238" s="47">
        <v>12.15</v>
      </c>
      <c r="G238" s="45"/>
      <c r="H238" s="46"/>
      <c r="I238" s="46"/>
      <c r="J238" s="46"/>
    </row>
    <row r="239" spans="1:10">
      <c r="A239" s="69"/>
      <c r="B239" s="70"/>
      <c r="C239" s="71"/>
      <c r="D239" s="72"/>
      <c r="E239" s="92" t="s">
        <v>590</v>
      </c>
      <c r="F239" s="156">
        <v>12.15</v>
      </c>
      <c r="G239" s="45"/>
      <c r="H239" s="46"/>
      <c r="I239" s="46"/>
      <c r="J239" s="46"/>
    </row>
    <row r="240" spans="1:10">
      <c r="A240" s="69"/>
      <c r="B240" s="70"/>
      <c r="C240" s="71"/>
      <c r="D240" s="72"/>
      <c r="E240" s="187" t="s">
        <v>229</v>
      </c>
      <c r="F240" s="47">
        <f>SUM(F238:F239)</f>
        <v>24.3</v>
      </c>
      <c r="G240" s="45"/>
      <c r="H240" s="46"/>
      <c r="I240" s="46"/>
      <c r="J240" s="46"/>
    </row>
    <row r="241" spans="1:10" ht="25.5">
      <c r="A241" s="69"/>
      <c r="B241" s="70"/>
      <c r="C241" s="71"/>
      <c r="D241" s="72"/>
      <c r="E241" s="92" t="s">
        <v>591</v>
      </c>
      <c r="F241" s="47"/>
      <c r="G241" s="45"/>
      <c r="H241" s="46"/>
      <c r="I241" s="46"/>
      <c r="J241" s="46"/>
    </row>
    <row r="242" spans="1:10">
      <c r="A242" s="69"/>
      <c r="B242" s="70"/>
      <c r="C242" s="71"/>
      <c r="D242" s="72"/>
      <c r="E242" s="92" t="s">
        <v>592</v>
      </c>
      <c r="F242" s="47"/>
      <c r="G242" s="45"/>
      <c r="H242" s="46"/>
      <c r="I242" s="46"/>
      <c r="J242" s="46"/>
    </row>
    <row r="243" spans="1:10">
      <c r="A243" s="69"/>
      <c r="B243" s="70"/>
      <c r="C243" s="71"/>
      <c r="D243" s="72"/>
      <c r="E243" s="92"/>
      <c r="F243" s="47"/>
      <c r="G243" s="45"/>
      <c r="H243" s="46"/>
      <c r="I243" s="46"/>
      <c r="J243" s="46"/>
    </row>
    <row r="244" spans="1:10">
      <c r="A244" s="31">
        <f>MAX(A$1:A243)+1</f>
        <v>38</v>
      </c>
      <c r="B244" s="70"/>
      <c r="C244" s="32" t="s">
        <v>593</v>
      </c>
      <c r="D244" s="33"/>
      <c r="E244" s="52" t="s">
        <v>594</v>
      </c>
      <c r="F244" s="184"/>
      <c r="G244" s="24" t="s">
        <v>595</v>
      </c>
      <c r="H244" s="51">
        <v>48</v>
      </c>
      <c r="I244" s="381"/>
      <c r="J244" s="51">
        <f t="shared" si="3"/>
        <v>0</v>
      </c>
    </row>
    <row r="245" spans="1:10">
      <c r="A245" s="69"/>
      <c r="B245" s="70"/>
      <c r="C245" s="71"/>
      <c r="D245" s="72"/>
      <c r="E245" s="92" t="s">
        <v>596</v>
      </c>
      <c r="F245" s="47">
        <f xml:space="preserve"> 24+24</f>
        <v>48</v>
      </c>
      <c r="G245" s="45"/>
      <c r="H245" s="46"/>
      <c r="I245" s="46"/>
      <c r="J245" s="46"/>
    </row>
    <row r="246" spans="1:10">
      <c r="A246" s="69"/>
      <c r="B246" s="70"/>
      <c r="C246" s="71"/>
      <c r="D246" s="72"/>
      <c r="E246" s="92" t="s">
        <v>592</v>
      </c>
      <c r="F246" s="84"/>
      <c r="G246" s="45"/>
      <c r="H246" s="46"/>
      <c r="I246" s="46"/>
      <c r="J246" s="46"/>
    </row>
    <row r="247" spans="1:10">
      <c r="A247" s="69"/>
      <c r="B247" s="70"/>
      <c r="C247" s="71"/>
      <c r="D247" s="72"/>
      <c r="E247" s="92"/>
      <c r="F247" s="84"/>
      <c r="G247" s="45"/>
      <c r="H247" s="46"/>
      <c r="I247" s="46"/>
      <c r="J247" s="46"/>
    </row>
    <row r="248" spans="1:10">
      <c r="A248" s="69"/>
      <c r="B248" s="70"/>
      <c r="C248" s="71"/>
      <c r="D248" s="72"/>
      <c r="E248" s="92"/>
      <c r="F248" s="84"/>
      <c r="G248" s="45"/>
      <c r="H248" s="46"/>
      <c r="I248" s="46"/>
      <c r="J248" s="46"/>
    </row>
    <row r="249" spans="1:10" ht="25.5">
      <c r="A249" s="69"/>
      <c r="B249" s="121" t="s">
        <v>352</v>
      </c>
      <c r="C249" s="121"/>
      <c r="D249" s="33"/>
      <c r="E249" s="52" t="s">
        <v>353</v>
      </c>
      <c r="F249" s="84"/>
      <c r="G249" s="45"/>
      <c r="H249" s="46"/>
      <c r="I249" s="46"/>
      <c r="J249" s="46"/>
    </row>
    <row r="250" spans="1:10">
      <c r="A250" s="69"/>
      <c r="B250" s="70"/>
      <c r="C250" s="71"/>
      <c r="D250" s="72"/>
      <c r="E250" s="92"/>
      <c r="F250" s="84"/>
      <c r="G250" s="45"/>
      <c r="H250" s="46"/>
      <c r="I250" s="46"/>
      <c r="J250" s="46"/>
    </row>
    <row r="251" spans="1:10">
      <c r="A251" s="31">
        <f>MAX(A$1:A250)+1</f>
        <v>39</v>
      </c>
      <c r="B251" s="70"/>
      <c r="C251" s="32" t="s">
        <v>597</v>
      </c>
      <c r="D251" s="33"/>
      <c r="E251" s="52" t="s">
        <v>598</v>
      </c>
      <c r="F251" s="184"/>
      <c r="G251" s="24" t="s">
        <v>5</v>
      </c>
      <c r="H251" s="51">
        <v>24</v>
      </c>
      <c r="I251" s="381"/>
      <c r="J251" s="51">
        <f t="shared" si="3"/>
        <v>0</v>
      </c>
    </row>
    <row r="252" spans="1:10">
      <c r="A252" s="69"/>
      <c r="B252" s="70"/>
      <c r="C252" s="121"/>
      <c r="D252" s="55" t="s">
        <v>599</v>
      </c>
      <c r="E252" s="56" t="s">
        <v>600</v>
      </c>
      <c r="F252" s="195"/>
      <c r="G252" s="58" t="s">
        <v>5</v>
      </c>
      <c r="H252" s="46">
        <v>24</v>
      </c>
      <c r="I252" s="46"/>
      <c r="J252" s="46"/>
    </row>
    <row r="253" spans="1:10">
      <c r="A253" s="69"/>
      <c r="B253" s="70"/>
      <c r="C253" s="71"/>
      <c r="D253" s="72"/>
      <c r="E253" s="92" t="s">
        <v>441</v>
      </c>
      <c r="F253" s="84">
        <v>24</v>
      </c>
      <c r="G253" s="45"/>
      <c r="H253" s="46"/>
      <c r="I253" s="46"/>
      <c r="J253" s="46"/>
    </row>
    <row r="254" spans="1:10">
      <c r="A254" s="69"/>
      <c r="B254" s="70"/>
      <c r="C254" s="71"/>
      <c r="D254" s="72"/>
      <c r="E254" s="92"/>
      <c r="F254" s="84"/>
      <c r="G254" s="45"/>
      <c r="H254" s="46"/>
      <c r="I254" s="46"/>
      <c r="J254" s="46"/>
    </row>
    <row r="255" spans="1:10">
      <c r="A255" s="69"/>
      <c r="B255" s="70"/>
      <c r="C255" s="71"/>
      <c r="D255" s="72"/>
      <c r="E255" s="191"/>
      <c r="F255" s="192"/>
      <c r="G255" s="45"/>
      <c r="H255" s="46"/>
      <c r="I255" s="46"/>
      <c r="J255" s="46"/>
    </row>
    <row r="256" spans="1:10" ht="25.5">
      <c r="A256" s="69"/>
      <c r="B256" s="121" t="s">
        <v>102</v>
      </c>
      <c r="C256" s="121"/>
      <c r="D256" s="33"/>
      <c r="E256" s="52" t="s">
        <v>103</v>
      </c>
      <c r="F256" s="84"/>
      <c r="G256" s="45"/>
      <c r="H256" s="46"/>
      <c r="I256" s="46"/>
      <c r="J256" s="46"/>
    </row>
    <row r="257" spans="1:10">
      <c r="A257" s="69"/>
      <c r="B257" s="121"/>
      <c r="C257" s="121"/>
      <c r="D257" s="33"/>
      <c r="E257" s="52"/>
      <c r="F257" s="84"/>
      <c r="G257" s="45"/>
      <c r="H257" s="46"/>
      <c r="I257" s="46"/>
      <c r="J257" s="46"/>
    </row>
    <row r="258" spans="1:10" ht="25.5">
      <c r="A258" s="31">
        <f>MAX(A$1:A257)+1</f>
        <v>40</v>
      </c>
      <c r="B258" s="70"/>
      <c r="C258" s="32" t="s">
        <v>95</v>
      </c>
      <c r="D258" s="33"/>
      <c r="E258" s="52" t="s">
        <v>96</v>
      </c>
      <c r="F258" s="184"/>
      <c r="G258" s="24" t="s">
        <v>1</v>
      </c>
      <c r="H258" s="51">
        <v>66.3</v>
      </c>
      <c r="I258" s="381"/>
      <c r="J258" s="51">
        <f t="shared" si="3"/>
        <v>0</v>
      </c>
    </row>
    <row r="259" spans="1:10" ht="25.5">
      <c r="A259" s="69"/>
      <c r="B259" s="70"/>
      <c r="C259" s="71"/>
      <c r="D259" s="55" t="s">
        <v>129</v>
      </c>
      <c r="E259" s="56" t="s">
        <v>130</v>
      </c>
      <c r="F259" s="188"/>
      <c r="G259" s="58" t="s">
        <v>1</v>
      </c>
      <c r="H259" s="46">
        <v>66.3</v>
      </c>
      <c r="I259" s="46"/>
      <c r="J259" s="46"/>
    </row>
    <row r="260" spans="1:10">
      <c r="A260" s="69"/>
      <c r="B260" s="70"/>
      <c r="C260" s="71"/>
      <c r="D260" s="55"/>
      <c r="E260" s="97" t="s">
        <v>601</v>
      </c>
      <c r="F260" s="188"/>
      <c r="G260" s="58"/>
      <c r="H260" s="46"/>
      <c r="I260" s="46"/>
      <c r="J260" s="46"/>
    </row>
    <row r="261" spans="1:10">
      <c r="A261" s="69"/>
      <c r="B261" s="70"/>
      <c r="C261" s="71"/>
      <c r="D261" s="55"/>
      <c r="E261" s="92" t="s">
        <v>602</v>
      </c>
      <c r="F261" s="84">
        <f>6.5*5.1</f>
        <v>33.15</v>
      </c>
      <c r="G261" s="58"/>
      <c r="H261" s="46"/>
      <c r="I261" s="46"/>
      <c r="J261" s="46"/>
    </row>
    <row r="262" spans="1:10">
      <c r="A262" s="69"/>
      <c r="B262" s="70"/>
      <c r="C262" s="71"/>
      <c r="D262" s="55"/>
      <c r="E262" s="97" t="s">
        <v>603</v>
      </c>
      <c r="F262" s="156"/>
      <c r="G262" s="58"/>
      <c r="H262" s="46"/>
      <c r="I262" s="46"/>
      <c r="J262" s="46"/>
    </row>
    <row r="263" spans="1:10">
      <c r="A263" s="69"/>
      <c r="B263" s="70"/>
      <c r="C263" s="71"/>
      <c r="D263" s="72"/>
      <c r="E263" s="92" t="s">
        <v>602</v>
      </c>
      <c r="F263" s="103">
        <f>6.5*5.1</f>
        <v>33.15</v>
      </c>
      <c r="G263" s="45"/>
      <c r="H263" s="46"/>
      <c r="I263" s="46"/>
      <c r="J263" s="46"/>
    </row>
    <row r="264" spans="1:10">
      <c r="A264" s="69"/>
      <c r="B264" s="70"/>
      <c r="C264" s="71"/>
      <c r="D264" s="72"/>
      <c r="E264" s="187" t="s">
        <v>229</v>
      </c>
      <c r="F264" s="84">
        <f>SUM(F261:F263)</f>
        <v>66.3</v>
      </c>
      <c r="G264" s="45"/>
      <c r="H264" s="46"/>
      <c r="I264" s="46"/>
      <c r="J264" s="46"/>
    </row>
    <row r="265" spans="1:10">
      <c r="A265" s="69"/>
      <c r="B265" s="70"/>
      <c r="C265" s="71"/>
      <c r="D265" s="72"/>
      <c r="E265" s="196"/>
      <c r="F265" s="47"/>
      <c r="G265" s="45"/>
      <c r="H265" s="46"/>
      <c r="I265" s="46"/>
      <c r="J265" s="46"/>
    </row>
    <row r="266" spans="1:10" ht="25.5">
      <c r="A266" s="31">
        <f>MAX(A$1:A265)+1</f>
        <v>41</v>
      </c>
      <c r="B266" s="70"/>
      <c r="C266" s="32" t="s">
        <v>97</v>
      </c>
      <c r="D266" s="33"/>
      <c r="E266" s="52" t="s">
        <v>98</v>
      </c>
      <c r="F266" s="184"/>
      <c r="G266" s="24" t="s">
        <v>7</v>
      </c>
      <c r="H266" s="51">
        <v>3.98</v>
      </c>
      <c r="I266" s="381"/>
      <c r="J266" s="51">
        <f t="shared" ref="J266:J327" si="4">I266*H266</f>
        <v>0</v>
      </c>
    </row>
    <row r="267" spans="1:10" ht="25.5">
      <c r="A267" s="69"/>
      <c r="B267" s="70"/>
      <c r="C267" s="54"/>
      <c r="D267" s="55" t="s">
        <v>127</v>
      </c>
      <c r="E267" s="56" t="s">
        <v>128</v>
      </c>
      <c r="F267" s="188"/>
      <c r="G267" s="58" t="s">
        <v>7</v>
      </c>
      <c r="H267" s="46">
        <v>3.98</v>
      </c>
      <c r="I267" s="46"/>
      <c r="J267" s="46"/>
    </row>
    <row r="268" spans="1:10">
      <c r="A268" s="69"/>
      <c r="B268" s="70"/>
      <c r="C268" s="71"/>
      <c r="D268" s="72"/>
      <c r="E268" s="97" t="s">
        <v>604</v>
      </c>
      <c r="F268" s="84"/>
      <c r="G268" s="45"/>
      <c r="H268" s="46"/>
      <c r="I268" s="46"/>
      <c r="J268" s="46"/>
    </row>
    <row r="269" spans="1:10">
      <c r="A269" s="69"/>
      <c r="B269" s="70"/>
      <c r="C269" s="71"/>
      <c r="D269" s="72"/>
      <c r="E269" s="92" t="s">
        <v>605</v>
      </c>
      <c r="F269" s="84">
        <f xml:space="preserve"> 6.5*5.1*0.05</f>
        <v>1.66</v>
      </c>
      <c r="G269" s="45"/>
      <c r="H269" s="46"/>
      <c r="I269" s="46"/>
      <c r="J269" s="46"/>
    </row>
    <row r="270" spans="1:10">
      <c r="A270" s="69"/>
      <c r="B270" s="70"/>
      <c r="C270" s="71"/>
      <c r="D270" s="72"/>
      <c r="E270" s="97" t="s">
        <v>606</v>
      </c>
      <c r="F270" s="84"/>
      <c r="G270" s="45"/>
      <c r="H270" s="46"/>
      <c r="I270" s="46"/>
      <c r="J270" s="46"/>
    </row>
    <row r="271" spans="1:10">
      <c r="A271" s="69"/>
      <c r="B271" s="70"/>
      <c r="C271" s="71"/>
      <c r="D271" s="72"/>
      <c r="E271" s="92" t="s">
        <v>607</v>
      </c>
      <c r="F271" s="103">
        <f xml:space="preserve"> 6.5*5.1*0.07</f>
        <v>2.3199999999999998</v>
      </c>
      <c r="G271" s="45"/>
      <c r="H271" s="46"/>
      <c r="I271" s="46"/>
      <c r="J271" s="46"/>
    </row>
    <row r="272" spans="1:10">
      <c r="A272" s="69"/>
      <c r="B272" s="70"/>
      <c r="C272" s="71"/>
      <c r="D272" s="72"/>
      <c r="E272" s="187" t="s">
        <v>229</v>
      </c>
      <c r="F272" s="84">
        <f>SUM(F269:F271)</f>
        <v>3.98</v>
      </c>
      <c r="G272" s="45"/>
      <c r="H272" s="46"/>
      <c r="I272" s="46"/>
      <c r="J272" s="46"/>
    </row>
    <row r="273" spans="1:10">
      <c r="A273" s="69"/>
      <c r="B273" s="70"/>
      <c r="C273" s="71"/>
      <c r="D273" s="72"/>
      <c r="E273" s="187"/>
      <c r="F273" s="84"/>
      <c r="G273" s="45"/>
      <c r="H273" s="46"/>
      <c r="I273" s="46"/>
      <c r="J273" s="46"/>
    </row>
    <row r="274" spans="1:10" ht="25.5">
      <c r="A274" s="31">
        <f>MAX(A$1:A273)+1</f>
        <v>42</v>
      </c>
      <c r="B274" s="70"/>
      <c r="C274" s="32" t="s">
        <v>608</v>
      </c>
      <c r="D274" s="33"/>
      <c r="E274" s="52" t="s">
        <v>609</v>
      </c>
      <c r="F274" s="184"/>
      <c r="G274" s="24" t="s">
        <v>1</v>
      </c>
      <c r="H274" s="51">
        <v>2.4300000000000002</v>
      </c>
      <c r="I274" s="381"/>
      <c r="J274" s="51">
        <f t="shared" si="4"/>
        <v>0</v>
      </c>
    </row>
    <row r="275" spans="1:10" ht="25.5">
      <c r="A275" s="69"/>
      <c r="B275" s="70"/>
      <c r="C275" s="71"/>
      <c r="D275" s="55" t="s">
        <v>610</v>
      </c>
      <c r="E275" s="56" t="s">
        <v>611</v>
      </c>
      <c r="F275" s="188"/>
      <c r="G275" s="58" t="s">
        <v>1</v>
      </c>
      <c r="H275" s="46">
        <v>2.4300000000000002</v>
      </c>
      <c r="I275" s="46"/>
      <c r="J275" s="46"/>
    </row>
    <row r="276" spans="1:10">
      <c r="A276" s="69"/>
      <c r="B276" s="70"/>
      <c r="C276" s="71"/>
      <c r="D276" s="72"/>
      <c r="E276" s="92" t="s">
        <v>612</v>
      </c>
      <c r="F276" s="47">
        <f xml:space="preserve"> 12.15*0.1*2</f>
        <v>2.4300000000000002</v>
      </c>
      <c r="G276" s="45"/>
      <c r="H276" s="46"/>
      <c r="I276" s="46"/>
      <c r="J276" s="46"/>
    </row>
    <row r="277" spans="1:10">
      <c r="A277" s="69"/>
      <c r="B277" s="70"/>
      <c r="C277" s="71"/>
      <c r="D277" s="72"/>
      <c r="E277" s="92"/>
      <c r="F277" s="84"/>
      <c r="G277" s="45"/>
      <c r="H277" s="46"/>
      <c r="I277" s="46"/>
      <c r="J277" s="46"/>
    </row>
    <row r="278" spans="1:10" ht="25.5">
      <c r="A278" s="31">
        <f>MAX(A$1:A277)+1</f>
        <v>43</v>
      </c>
      <c r="B278" s="70"/>
      <c r="C278" s="32" t="s">
        <v>613</v>
      </c>
      <c r="D278" s="33"/>
      <c r="E278" s="52" t="s">
        <v>614</v>
      </c>
      <c r="F278" s="184"/>
      <c r="G278" s="24" t="s">
        <v>1</v>
      </c>
      <c r="H278" s="51">
        <v>6</v>
      </c>
      <c r="I278" s="381"/>
      <c r="J278" s="51">
        <f t="shared" si="4"/>
        <v>0</v>
      </c>
    </row>
    <row r="279" spans="1:10" ht="25.5">
      <c r="A279" s="69"/>
      <c r="B279" s="70"/>
      <c r="C279" s="54"/>
      <c r="D279" s="55" t="s">
        <v>615</v>
      </c>
      <c r="E279" s="56" t="s">
        <v>616</v>
      </c>
      <c r="F279" s="188"/>
      <c r="G279" s="58" t="s">
        <v>1</v>
      </c>
      <c r="H279" s="46">
        <v>6</v>
      </c>
      <c r="I279" s="46"/>
      <c r="J279" s="46"/>
    </row>
    <row r="280" spans="1:10">
      <c r="A280" s="69"/>
      <c r="B280" s="70"/>
      <c r="C280" s="54"/>
      <c r="D280" s="55"/>
      <c r="E280" s="92" t="s">
        <v>446</v>
      </c>
      <c r="F280" s="188"/>
      <c r="G280" s="58"/>
      <c r="H280" s="46"/>
      <c r="I280" s="46"/>
      <c r="J280" s="46"/>
    </row>
    <row r="281" spans="1:10">
      <c r="A281" s="69"/>
      <c r="B281" s="70"/>
      <c r="C281" s="71"/>
      <c r="D281" s="72"/>
      <c r="E281" s="92" t="s">
        <v>447</v>
      </c>
      <c r="F281" s="84">
        <f>2*3</f>
        <v>6</v>
      </c>
      <c r="G281" s="45"/>
      <c r="H281" s="46"/>
      <c r="I281" s="46"/>
      <c r="J281" s="46"/>
    </row>
    <row r="282" spans="1:10">
      <c r="A282" s="69"/>
      <c r="B282" s="70"/>
      <c r="C282" s="71"/>
      <c r="D282" s="72"/>
      <c r="E282" s="196"/>
      <c r="F282" s="84"/>
      <c r="G282" s="45"/>
      <c r="H282" s="46"/>
      <c r="I282" s="46"/>
      <c r="J282" s="46"/>
    </row>
    <row r="283" spans="1:10" ht="25.5">
      <c r="A283" s="31">
        <f>MAX(A$1:A282)+1</f>
        <v>44</v>
      </c>
      <c r="B283" s="70"/>
      <c r="C283" s="32" t="s">
        <v>236</v>
      </c>
      <c r="D283" s="33"/>
      <c r="E283" s="52" t="s">
        <v>244</v>
      </c>
      <c r="F283" s="184"/>
      <c r="G283" s="24" t="s">
        <v>5</v>
      </c>
      <c r="H283" s="51">
        <v>37.299999999999997</v>
      </c>
      <c r="I283" s="381"/>
      <c r="J283" s="51">
        <f t="shared" si="4"/>
        <v>0</v>
      </c>
    </row>
    <row r="284" spans="1:10" ht="38.25">
      <c r="A284" s="69"/>
      <c r="B284" s="70"/>
      <c r="C284" s="33"/>
      <c r="D284" s="55" t="s">
        <v>237</v>
      </c>
      <c r="E284" s="56" t="s">
        <v>245</v>
      </c>
      <c r="F284" s="188"/>
      <c r="G284" s="58" t="s">
        <v>5</v>
      </c>
      <c r="H284" s="46">
        <v>37.299999999999997</v>
      </c>
      <c r="I284" s="46"/>
      <c r="J284" s="46"/>
    </row>
    <row r="285" spans="1:10">
      <c r="A285" s="69"/>
      <c r="B285" s="70"/>
      <c r="C285" s="33"/>
      <c r="D285" s="55"/>
      <c r="E285" s="92" t="s">
        <v>617</v>
      </c>
      <c r="F285" s="47">
        <f xml:space="preserve"> 12.15*2</f>
        <v>24.3</v>
      </c>
      <c r="G285" s="58"/>
      <c r="H285" s="46"/>
      <c r="I285" s="46"/>
      <c r="J285" s="46"/>
    </row>
    <row r="286" spans="1:10" ht="25.5">
      <c r="A286" s="69"/>
      <c r="B286" s="70"/>
      <c r="C286" s="33"/>
      <c r="D286" s="55"/>
      <c r="E286" s="92" t="s">
        <v>618</v>
      </c>
      <c r="F286" s="156">
        <f xml:space="preserve"> 6.5*2</f>
        <v>13</v>
      </c>
      <c r="G286" s="58"/>
      <c r="H286" s="46"/>
      <c r="I286" s="46"/>
      <c r="J286" s="46"/>
    </row>
    <row r="287" spans="1:10">
      <c r="A287" s="69"/>
      <c r="B287" s="70"/>
      <c r="C287" s="33"/>
      <c r="D287" s="55"/>
      <c r="E287" s="187" t="s">
        <v>229</v>
      </c>
      <c r="F287" s="84">
        <f>SUM(F284:F286)</f>
        <v>37.299999999999997</v>
      </c>
      <c r="G287" s="58"/>
      <c r="H287" s="46"/>
      <c r="I287" s="46"/>
      <c r="J287" s="46"/>
    </row>
    <row r="288" spans="1:10">
      <c r="A288" s="69"/>
      <c r="B288" s="70"/>
      <c r="C288" s="71"/>
      <c r="D288" s="72"/>
      <c r="E288" s="92"/>
      <c r="F288" s="47"/>
      <c r="G288" s="45"/>
      <c r="H288" s="46"/>
      <c r="I288" s="46"/>
      <c r="J288" s="46"/>
    </row>
    <row r="289" spans="1:10" ht="25.5">
      <c r="A289" s="31">
        <f>MAX(A$1:A288)+1</f>
        <v>45</v>
      </c>
      <c r="B289" s="70"/>
      <c r="C289" s="32" t="s">
        <v>619</v>
      </c>
      <c r="D289" s="33"/>
      <c r="E289" s="52" t="s">
        <v>620</v>
      </c>
      <c r="F289" s="184"/>
      <c r="G289" s="24" t="s">
        <v>595</v>
      </c>
      <c r="H289" s="51">
        <v>2</v>
      </c>
      <c r="I289" s="381"/>
      <c r="J289" s="51">
        <f t="shared" si="4"/>
        <v>0</v>
      </c>
    </row>
    <row r="290" spans="1:10" ht="25.5">
      <c r="A290" s="69"/>
      <c r="B290" s="70"/>
      <c r="C290" s="71"/>
      <c r="D290" s="55" t="s">
        <v>621</v>
      </c>
      <c r="E290" s="56" t="s">
        <v>622</v>
      </c>
      <c r="F290" s="188"/>
      <c r="G290" s="58" t="s">
        <v>595</v>
      </c>
      <c r="H290" s="46">
        <v>2</v>
      </c>
      <c r="I290" s="46"/>
      <c r="J290" s="46"/>
    </row>
    <row r="291" spans="1:10">
      <c r="A291" s="69"/>
      <c r="B291" s="70"/>
      <c r="C291" s="71"/>
      <c r="D291" s="72"/>
      <c r="E291" s="92" t="s">
        <v>623</v>
      </c>
      <c r="F291" s="84">
        <v>2</v>
      </c>
      <c r="G291" s="45"/>
      <c r="H291" s="46"/>
      <c r="I291" s="46"/>
      <c r="J291" s="46"/>
    </row>
    <row r="292" spans="1:10">
      <c r="A292" s="69"/>
      <c r="B292" s="70"/>
      <c r="C292" s="71"/>
      <c r="D292" s="72"/>
      <c r="E292" s="196"/>
      <c r="F292" s="84"/>
      <c r="G292" s="45"/>
      <c r="H292" s="46"/>
      <c r="I292" s="46"/>
      <c r="J292" s="46"/>
    </row>
    <row r="293" spans="1:10">
      <c r="A293" s="69"/>
      <c r="B293" s="70"/>
      <c r="C293" s="71"/>
      <c r="D293" s="72"/>
      <c r="E293" s="191"/>
      <c r="F293" s="192"/>
      <c r="G293" s="45"/>
      <c r="H293" s="46"/>
      <c r="I293" s="46"/>
      <c r="J293" s="46"/>
    </row>
    <row r="294" spans="1:10" ht="25.5">
      <c r="A294" s="69"/>
      <c r="B294" s="121" t="s">
        <v>380</v>
      </c>
      <c r="C294" s="121"/>
      <c r="D294" s="33"/>
      <c r="E294" s="52" t="s">
        <v>381</v>
      </c>
      <c r="F294" s="197"/>
      <c r="G294" s="45"/>
      <c r="H294" s="46"/>
      <c r="I294" s="46"/>
      <c r="J294" s="46"/>
    </row>
    <row r="295" spans="1:10">
      <c r="A295" s="69"/>
      <c r="B295" s="74"/>
      <c r="C295" s="121"/>
      <c r="D295" s="33"/>
      <c r="E295" s="52"/>
      <c r="F295" s="197"/>
      <c r="G295" s="45"/>
      <c r="H295" s="46"/>
      <c r="I295" s="46"/>
      <c r="J295" s="46"/>
    </row>
    <row r="296" spans="1:10" ht="25.5">
      <c r="A296" s="31">
        <f>MAX(A$1:A295)+1</f>
        <v>46</v>
      </c>
      <c r="B296" s="70"/>
      <c r="C296" s="32" t="s">
        <v>382</v>
      </c>
      <c r="D296" s="33"/>
      <c r="E296" s="52" t="s">
        <v>383</v>
      </c>
      <c r="F296" s="184"/>
      <c r="G296" s="24" t="s">
        <v>7</v>
      </c>
      <c r="H296" s="51">
        <v>7.54</v>
      </c>
      <c r="I296" s="381"/>
      <c r="J296" s="51">
        <f t="shared" si="4"/>
        <v>0</v>
      </c>
    </row>
    <row r="297" spans="1:10" ht="25.5">
      <c r="A297" s="69"/>
      <c r="B297" s="70"/>
      <c r="C297" s="71"/>
      <c r="D297" s="130" t="s">
        <v>624</v>
      </c>
      <c r="E297" s="164" t="s">
        <v>625</v>
      </c>
      <c r="F297" s="167"/>
      <c r="G297" s="45" t="s">
        <v>7</v>
      </c>
      <c r="H297" s="46">
        <v>7.54</v>
      </c>
      <c r="I297" s="46"/>
      <c r="J297" s="46"/>
    </row>
    <row r="298" spans="1:10">
      <c r="A298" s="69"/>
      <c r="B298" s="70"/>
      <c r="C298" s="71"/>
      <c r="D298" s="72"/>
      <c r="E298" s="97" t="s">
        <v>626</v>
      </c>
      <c r="F298" s="47"/>
      <c r="G298" s="45"/>
      <c r="H298" s="46"/>
      <c r="I298" s="46"/>
      <c r="J298" s="46"/>
    </row>
    <row r="299" spans="1:10">
      <c r="A299" s="69"/>
      <c r="B299" s="70"/>
      <c r="C299" s="71"/>
      <c r="D299" s="72"/>
      <c r="E299" s="92" t="s">
        <v>627</v>
      </c>
      <c r="F299" s="47">
        <f>(11+6.3+10+7.4)*1.2*0.1</f>
        <v>4.16</v>
      </c>
      <c r="G299" s="45"/>
      <c r="H299" s="46"/>
      <c r="I299" s="46"/>
      <c r="J299" s="46"/>
    </row>
    <row r="300" spans="1:10">
      <c r="A300" s="69"/>
      <c r="B300" s="70"/>
      <c r="C300" s="71"/>
      <c r="D300" s="72"/>
      <c r="E300" s="92" t="s">
        <v>628</v>
      </c>
      <c r="F300" s="156">
        <f xml:space="preserve"> (4.5+5.7+7.9+10)*1.2*0.1</f>
        <v>3.37</v>
      </c>
      <c r="G300" s="45"/>
      <c r="H300" s="46"/>
      <c r="I300" s="46"/>
      <c r="J300" s="46"/>
    </row>
    <row r="301" spans="1:10">
      <c r="A301" s="69"/>
      <c r="B301" s="70"/>
      <c r="C301" s="71"/>
      <c r="D301" s="72"/>
      <c r="E301" s="187" t="s">
        <v>229</v>
      </c>
      <c r="F301" s="47">
        <f>SUM(F299:F300)</f>
        <v>7.53</v>
      </c>
      <c r="G301" s="45"/>
      <c r="H301" s="46"/>
      <c r="I301" s="46"/>
      <c r="J301" s="46"/>
    </row>
    <row r="302" spans="1:10">
      <c r="A302" s="69"/>
      <c r="B302" s="70"/>
      <c r="C302" s="72"/>
      <c r="D302" s="72"/>
      <c r="E302" s="187"/>
      <c r="F302" s="84"/>
      <c r="G302" s="45"/>
      <c r="H302" s="46"/>
      <c r="I302" s="46"/>
      <c r="J302" s="46"/>
    </row>
    <row r="303" spans="1:10" ht="25.5">
      <c r="A303" s="31">
        <f>MAX(A$1:A302)+1</f>
        <v>47</v>
      </c>
      <c r="B303" s="70"/>
      <c r="C303" s="32" t="s">
        <v>388</v>
      </c>
      <c r="D303" s="33"/>
      <c r="E303" s="52" t="s">
        <v>389</v>
      </c>
      <c r="F303" s="184"/>
      <c r="G303" s="24" t="s">
        <v>7</v>
      </c>
      <c r="H303" s="51">
        <v>11.63</v>
      </c>
      <c r="I303" s="381"/>
      <c r="J303" s="51">
        <f t="shared" si="4"/>
        <v>0</v>
      </c>
    </row>
    <row r="304" spans="1:10" ht="25.5">
      <c r="A304" s="69"/>
      <c r="B304" s="70"/>
      <c r="C304" s="72"/>
      <c r="D304" s="130" t="s">
        <v>390</v>
      </c>
      <c r="E304" s="167" t="s">
        <v>391</v>
      </c>
      <c r="F304" s="167"/>
      <c r="G304" s="45" t="s">
        <v>7</v>
      </c>
      <c r="H304" s="46">
        <v>11.63</v>
      </c>
      <c r="I304" s="46"/>
      <c r="J304" s="46"/>
    </row>
    <row r="305" spans="1:10">
      <c r="A305" s="69"/>
      <c r="B305" s="70"/>
      <c r="C305" s="72"/>
      <c r="D305" s="130"/>
      <c r="E305" s="92" t="s">
        <v>629</v>
      </c>
      <c r="F305" s="47">
        <f xml:space="preserve"> 0.5*5.1*2</f>
        <v>5.0999999999999996</v>
      </c>
      <c r="G305" s="45"/>
      <c r="H305" s="46"/>
      <c r="I305" s="46"/>
      <c r="J305" s="46"/>
    </row>
    <row r="306" spans="1:10" ht="25.5">
      <c r="A306" s="69"/>
      <c r="B306" s="70"/>
      <c r="C306" s="72"/>
      <c r="D306" s="72"/>
      <c r="E306" s="92" t="s">
        <v>630</v>
      </c>
      <c r="F306" s="47">
        <f xml:space="preserve"> (6.5+6.8+7.7+7.75)*0.3*0.5</f>
        <v>4.3099999999999996</v>
      </c>
      <c r="G306" s="45"/>
      <c r="H306" s="46"/>
      <c r="I306" s="46"/>
      <c r="J306" s="46"/>
    </row>
    <row r="307" spans="1:10">
      <c r="A307" s="69"/>
      <c r="B307" s="70"/>
      <c r="C307" s="72"/>
      <c r="D307" s="72"/>
      <c r="E307" s="92" t="s">
        <v>631</v>
      </c>
      <c r="F307" s="156">
        <f xml:space="preserve"> 3.7*0.3*2</f>
        <v>2.2200000000000002</v>
      </c>
      <c r="G307" s="45"/>
      <c r="H307" s="46"/>
      <c r="I307" s="46"/>
      <c r="J307" s="46"/>
    </row>
    <row r="308" spans="1:10">
      <c r="A308" s="69"/>
      <c r="B308" s="70"/>
      <c r="C308" s="72"/>
      <c r="D308" s="72"/>
      <c r="E308" s="187" t="s">
        <v>229</v>
      </c>
      <c r="F308" s="47">
        <f>SUM(F305:F307)</f>
        <v>11.63</v>
      </c>
      <c r="G308" s="45"/>
      <c r="H308" s="46"/>
      <c r="I308" s="46"/>
      <c r="J308" s="46"/>
    </row>
    <row r="309" spans="1:10">
      <c r="A309" s="69"/>
      <c r="B309" s="70"/>
      <c r="C309" s="72"/>
      <c r="D309" s="72"/>
      <c r="E309" s="187"/>
      <c r="F309" s="84"/>
      <c r="G309" s="45"/>
      <c r="H309" s="46"/>
      <c r="I309" s="46"/>
      <c r="J309" s="46"/>
    </row>
    <row r="310" spans="1:10" ht="25.5">
      <c r="A310" s="31">
        <f>MAX(A$1:A309)+1</f>
        <v>48</v>
      </c>
      <c r="B310" s="70"/>
      <c r="C310" s="32" t="s">
        <v>632</v>
      </c>
      <c r="D310" s="33"/>
      <c r="E310" s="52" t="s">
        <v>633</v>
      </c>
      <c r="F310" s="184"/>
      <c r="G310" s="24" t="s">
        <v>1</v>
      </c>
      <c r="H310" s="51">
        <v>36.75</v>
      </c>
      <c r="I310" s="381"/>
      <c r="J310" s="51">
        <f t="shared" si="4"/>
        <v>0</v>
      </c>
    </row>
    <row r="311" spans="1:10" ht="25.5">
      <c r="A311" s="69"/>
      <c r="B311" s="70"/>
      <c r="C311" s="54"/>
      <c r="D311" s="55" t="s">
        <v>634</v>
      </c>
      <c r="E311" s="56" t="s">
        <v>635</v>
      </c>
      <c r="F311" s="188"/>
      <c r="G311" s="58" t="s">
        <v>1</v>
      </c>
      <c r="H311" s="46">
        <v>36.75</v>
      </c>
      <c r="I311" s="46"/>
      <c r="J311" s="46"/>
    </row>
    <row r="312" spans="1:10">
      <c r="A312" s="69"/>
      <c r="B312" s="70"/>
      <c r="C312" s="72"/>
      <c r="D312" s="72"/>
      <c r="E312" s="92" t="s">
        <v>636</v>
      </c>
      <c r="F312" s="84">
        <f xml:space="preserve"> 0.55*5.1*2+0.5*2*2</f>
        <v>7.61</v>
      </c>
      <c r="G312" s="45"/>
      <c r="H312" s="46"/>
      <c r="I312" s="46"/>
      <c r="J312" s="46"/>
    </row>
    <row r="313" spans="1:10" ht="25.5">
      <c r="A313" s="69"/>
      <c r="B313" s="70"/>
      <c r="C313" s="72"/>
      <c r="D313" s="72"/>
      <c r="E313" s="92" t="s">
        <v>637</v>
      </c>
      <c r="F313" s="84">
        <f xml:space="preserve"> (6.5+6.8+7.7+7.75)*2*0.5</f>
        <v>28.75</v>
      </c>
      <c r="G313" s="45"/>
      <c r="H313" s="46"/>
      <c r="I313" s="46"/>
      <c r="J313" s="46"/>
    </row>
    <row r="314" spans="1:10">
      <c r="A314" s="69"/>
      <c r="B314" s="70"/>
      <c r="C314" s="72"/>
      <c r="D314" s="72"/>
      <c r="E314" s="92" t="s">
        <v>638</v>
      </c>
      <c r="F314" s="103">
        <f xml:space="preserve"> 3.702*2+0.3*0.5*2*2</f>
        <v>8</v>
      </c>
      <c r="G314" s="45"/>
      <c r="H314" s="46"/>
      <c r="I314" s="46"/>
      <c r="J314" s="46"/>
    </row>
    <row r="315" spans="1:10">
      <c r="A315" s="69"/>
      <c r="B315" s="70"/>
      <c r="C315" s="72"/>
      <c r="D315" s="72"/>
      <c r="E315" s="187" t="s">
        <v>229</v>
      </c>
      <c r="F315" s="84">
        <f>SUM(F313:F314)</f>
        <v>36.75</v>
      </c>
      <c r="G315" s="45"/>
      <c r="H315" s="46"/>
      <c r="I315" s="46"/>
      <c r="J315" s="46"/>
    </row>
    <row r="316" spans="1:10">
      <c r="A316" s="69"/>
      <c r="B316" s="70"/>
      <c r="C316" s="72"/>
      <c r="D316" s="72"/>
      <c r="E316" s="187"/>
      <c r="F316" s="84"/>
      <c r="G316" s="45"/>
      <c r="H316" s="46"/>
      <c r="I316" s="46"/>
      <c r="J316" s="46"/>
    </row>
    <row r="317" spans="1:10">
      <c r="A317" s="31">
        <f>MAX(A$1:A316)+1</f>
        <v>49</v>
      </c>
      <c r="B317" s="70"/>
      <c r="C317" s="32" t="s">
        <v>398</v>
      </c>
      <c r="D317" s="33"/>
      <c r="E317" s="52" t="s">
        <v>399</v>
      </c>
      <c r="F317" s="184"/>
      <c r="G317" s="24" t="s">
        <v>1</v>
      </c>
      <c r="H317" s="51">
        <v>75.36</v>
      </c>
      <c r="I317" s="381"/>
      <c r="J317" s="51">
        <f t="shared" si="4"/>
        <v>0</v>
      </c>
    </row>
    <row r="318" spans="1:10" ht="25.5">
      <c r="A318" s="69"/>
      <c r="B318" s="70"/>
      <c r="C318" s="71"/>
      <c r="D318" s="55" t="s">
        <v>639</v>
      </c>
      <c r="E318" s="56" t="s">
        <v>640</v>
      </c>
      <c r="F318" s="188"/>
      <c r="G318" s="58" t="s">
        <v>1</v>
      </c>
      <c r="H318" s="46">
        <v>75.36</v>
      </c>
      <c r="I318" s="46"/>
      <c r="J318" s="46"/>
    </row>
    <row r="319" spans="1:10">
      <c r="A319" s="69"/>
      <c r="B319" s="70"/>
      <c r="C319" s="71"/>
      <c r="D319" s="72"/>
      <c r="E319" s="97" t="s">
        <v>641</v>
      </c>
      <c r="F319" s="47"/>
      <c r="G319" s="45"/>
      <c r="H319" s="46"/>
      <c r="I319" s="46"/>
      <c r="J319" s="46"/>
    </row>
    <row r="320" spans="1:10">
      <c r="A320" s="69"/>
      <c r="B320" s="70"/>
      <c r="C320" s="71"/>
      <c r="D320" s="72"/>
      <c r="E320" s="92" t="s">
        <v>642</v>
      </c>
      <c r="F320" s="47">
        <f>(11+6.3+10+7.4)*1.2</f>
        <v>41.64</v>
      </c>
      <c r="G320" s="45"/>
      <c r="H320" s="46"/>
      <c r="I320" s="46"/>
      <c r="J320" s="46"/>
    </row>
    <row r="321" spans="1:10">
      <c r="A321" s="69"/>
      <c r="B321" s="70"/>
      <c r="C321" s="71"/>
      <c r="D321" s="72"/>
      <c r="E321" s="92" t="s">
        <v>643</v>
      </c>
      <c r="F321" s="156">
        <f xml:space="preserve"> (4.5+5.7+7.9+10)*1.2</f>
        <v>33.72</v>
      </c>
      <c r="G321" s="45"/>
      <c r="H321" s="46"/>
      <c r="I321" s="46"/>
      <c r="J321" s="46"/>
    </row>
    <row r="322" spans="1:10">
      <c r="A322" s="69"/>
      <c r="B322" s="70"/>
      <c r="C322" s="71"/>
      <c r="D322" s="72"/>
      <c r="E322" s="187" t="s">
        <v>229</v>
      </c>
      <c r="F322" s="47">
        <f>SUM(F320:F321)</f>
        <v>75.36</v>
      </c>
      <c r="G322" s="45"/>
      <c r="H322" s="46"/>
      <c r="I322" s="46"/>
      <c r="J322" s="46"/>
    </row>
    <row r="323" spans="1:10">
      <c r="A323" s="69"/>
      <c r="B323" s="70"/>
      <c r="C323" s="71"/>
      <c r="D323" s="72"/>
      <c r="E323" s="92"/>
      <c r="F323" s="192"/>
      <c r="G323" s="45"/>
      <c r="H323" s="46"/>
      <c r="I323" s="46"/>
      <c r="J323" s="46"/>
    </row>
    <row r="324" spans="1:10">
      <c r="A324" s="69"/>
      <c r="B324" s="70"/>
      <c r="C324" s="32"/>
      <c r="D324" s="33"/>
      <c r="E324" s="52"/>
      <c r="F324" s="184"/>
      <c r="G324" s="24"/>
      <c r="H324" s="46"/>
      <c r="I324" s="46"/>
      <c r="J324" s="46"/>
    </row>
    <row r="325" spans="1:10">
      <c r="A325" s="69"/>
      <c r="B325" s="121" t="s">
        <v>644</v>
      </c>
      <c r="C325" s="121"/>
      <c r="D325" s="33"/>
      <c r="E325" s="52" t="s">
        <v>645</v>
      </c>
      <c r="F325" s="84"/>
      <c r="G325" s="45"/>
      <c r="H325" s="46"/>
      <c r="I325" s="46"/>
      <c r="J325" s="46"/>
    </row>
    <row r="326" spans="1:10">
      <c r="A326" s="69"/>
      <c r="B326" s="70"/>
      <c r="C326" s="71"/>
      <c r="D326" s="72"/>
      <c r="E326" s="191"/>
      <c r="F326" s="84"/>
      <c r="G326" s="45"/>
      <c r="H326" s="46"/>
      <c r="I326" s="46"/>
      <c r="J326" s="46"/>
    </row>
    <row r="327" spans="1:10" ht="25.5">
      <c r="A327" s="31">
        <f>MAX(A$1:A326)+1</f>
        <v>50</v>
      </c>
      <c r="B327" s="70"/>
      <c r="C327" s="32" t="s">
        <v>646</v>
      </c>
      <c r="D327" s="33"/>
      <c r="E327" s="52" t="s">
        <v>647</v>
      </c>
      <c r="F327" s="184"/>
      <c r="G327" s="24" t="s">
        <v>1</v>
      </c>
      <c r="H327" s="51">
        <v>256.91000000000003</v>
      </c>
      <c r="I327" s="381"/>
      <c r="J327" s="51">
        <f t="shared" si="4"/>
        <v>0</v>
      </c>
    </row>
    <row r="328" spans="1:10" ht="25.5">
      <c r="A328" s="69"/>
      <c r="B328" s="70"/>
      <c r="C328" s="54"/>
      <c r="D328" s="55" t="s">
        <v>648</v>
      </c>
      <c r="E328" s="56" t="s">
        <v>649</v>
      </c>
      <c r="F328" s="188"/>
      <c r="G328" s="58" t="s">
        <v>1</v>
      </c>
      <c r="H328" s="46">
        <v>92.6</v>
      </c>
      <c r="I328" s="46"/>
      <c r="J328" s="46"/>
    </row>
    <row r="329" spans="1:10">
      <c r="A329" s="69"/>
      <c r="B329" s="70"/>
      <c r="C329" s="54"/>
      <c r="D329" s="55"/>
      <c r="E329" s="97" t="s">
        <v>650</v>
      </c>
      <c r="F329" s="47"/>
      <c r="G329" s="58"/>
      <c r="H329" s="46"/>
      <c r="I329" s="46"/>
      <c r="J329" s="46"/>
    </row>
    <row r="330" spans="1:10">
      <c r="A330" s="69"/>
      <c r="B330" s="70"/>
      <c r="C330" s="54"/>
      <c r="D330" s="55"/>
      <c r="E330" s="92" t="s">
        <v>651</v>
      </c>
      <c r="F330" s="47">
        <f>7.6*5.1</f>
        <v>38.76</v>
      </c>
      <c r="G330" s="58"/>
      <c r="H330" s="46"/>
      <c r="I330" s="46"/>
      <c r="J330" s="46"/>
    </row>
    <row r="331" spans="1:10">
      <c r="A331" s="69"/>
      <c r="B331" s="70"/>
      <c r="C331" s="54"/>
      <c r="D331" s="55"/>
      <c r="E331" s="92" t="s">
        <v>652</v>
      </c>
      <c r="F331" s="47">
        <f xml:space="preserve"> 0.7*5.3*4</f>
        <v>14.84</v>
      </c>
      <c r="G331" s="58"/>
      <c r="H331" s="46"/>
      <c r="I331" s="46"/>
      <c r="J331" s="46"/>
    </row>
    <row r="332" spans="1:10">
      <c r="A332" s="69"/>
      <c r="B332" s="70"/>
      <c r="C332" s="54"/>
      <c r="D332" s="55"/>
      <c r="E332" s="92" t="s">
        <v>653</v>
      </c>
      <c r="F332" s="156">
        <f xml:space="preserve"> 3*6.5*2</f>
        <v>39</v>
      </c>
      <c r="G332" s="58"/>
      <c r="H332" s="46"/>
      <c r="I332" s="46"/>
      <c r="J332" s="46"/>
    </row>
    <row r="333" spans="1:10">
      <c r="A333" s="69"/>
      <c r="B333" s="70"/>
      <c r="C333" s="54"/>
      <c r="D333" s="55"/>
      <c r="E333" s="187" t="s">
        <v>229</v>
      </c>
      <c r="F333" s="47">
        <f>SUM(F330:F332)</f>
        <v>92.6</v>
      </c>
      <c r="G333" s="58"/>
      <c r="H333" s="46"/>
      <c r="I333" s="46"/>
      <c r="J333" s="46"/>
    </row>
    <row r="334" spans="1:10" ht="25.5">
      <c r="A334" s="69"/>
      <c r="B334" s="70"/>
      <c r="C334" s="54"/>
      <c r="D334" s="55" t="s">
        <v>654</v>
      </c>
      <c r="E334" s="56" t="s">
        <v>655</v>
      </c>
      <c r="F334" s="188"/>
      <c r="G334" s="58" t="s">
        <v>1</v>
      </c>
      <c r="H334" s="46">
        <v>164.31</v>
      </c>
      <c r="I334" s="46"/>
      <c r="J334" s="46"/>
    </row>
    <row r="335" spans="1:10">
      <c r="A335" s="69"/>
      <c r="B335" s="70"/>
      <c r="C335" s="71"/>
      <c r="D335" s="72"/>
      <c r="E335" s="97" t="s">
        <v>650</v>
      </c>
      <c r="F335" s="84"/>
      <c r="G335" s="45"/>
      <c r="H335" s="46"/>
      <c r="I335" s="46"/>
      <c r="J335" s="46"/>
    </row>
    <row r="336" spans="1:10">
      <c r="A336" s="69"/>
      <c r="B336" s="70"/>
      <c r="C336" s="71"/>
      <c r="D336" s="72"/>
      <c r="E336" s="92" t="s">
        <v>656</v>
      </c>
      <c r="F336" s="47">
        <f xml:space="preserve"> 7.6*2.7*2</f>
        <v>41.04</v>
      </c>
      <c r="G336" s="45"/>
      <c r="H336" s="46"/>
      <c r="I336" s="46"/>
      <c r="J336" s="46"/>
    </row>
    <row r="337" spans="1:10" ht="38.25">
      <c r="A337" s="69"/>
      <c r="B337" s="70"/>
      <c r="C337" s="71"/>
      <c r="D337" s="72"/>
      <c r="E337" s="92" t="s">
        <v>657</v>
      </c>
      <c r="F337" s="156">
        <f xml:space="preserve"> (4.8+4.7+4.9+4.7)*5.3+(2.561+2.452+2.383+2.381)*0.5+(4.45+4.3+4.2+4.2)</f>
        <v>123.27</v>
      </c>
      <c r="G337" s="45"/>
      <c r="H337" s="46"/>
      <c r="I337" s="46"/>
      <c r="J337" s="46"/>
    </row>
    <row r="338" spans="1:10">
      <c r="A338" s="69"/>
      <c r="B338" s="70"/>
      <c r="C338" s="71"/>
      <c r="D338" s="72"/>
      <c r="E338" s="187" t="s">
        <v>229</v>
      </c>
      <c r="F338" s="47">
        <f>SUM(F336:F337)</f>
        <v>164.31</v>
      </c>
      <c r="G338" s="45"/>
      <c r="H338" s="46"/>
      <c r="I338" s="46"/>
      <c r="J338" s="46"/>
    </row>
    <row r="339" spans="1:10">
      <c r="A339" s="69"/>
      <c r="B339" s="70"/>
      <c r="C339" s="71"/>
      <c r="D339" s="72"/>
      <c r="E339" s="196"/>
      <c r="F339" s="47"/>
      <c r="G339" s="45"/>
      <c r="H339" s="46"/>
      <c r="I339" s="46"/>
      <c r="J339" s="46"/>
    </row>
    <row r="340" spans="1:10">
      <c r="A340" s="31">
        <f>MAX(A$1:A339)+1</f>
        <v>51</v>
      </c>
      <c r="B340" s="70"/>
      <c r="C340" s="32" t="s">
        <v>658</v>
      </c>
      <c r="D340" s="33"/>
      <c r="E340" s="52" t="s">
        <v>659</v>
      </c>
      <c r="F340" s="184"/>
      <c r="G340" s="24" t="s">
        <v>1</v>
      </c>
      <c r="H340" s="51">
        <v>87.96</v>
      </c>
      <c r="I340" s="381"/>
      <c r="J340" s="51">
        <f t="shared" ref="J340:J357" si="5">I340*H340</f>
        <v>0</v>
      </c>
    </row>
    <row r="341" spans="1:10" ht="25.5">
      <c r="A341" s="69"/>
      <c r="B341" s="70"/>
      <c r="C341" s="54"/>
      <c r="D341" s="55" t="s">
        <v>660</v>
      </c>
      <c r="E341" s="56" t="s">
        <v>661</v>
      </c>
      <c r="F341" s="188"/>
      <c r="G341" s="58" t="s">
        <v>1</v>
      </c>
      <c r="H341" s="46">
        <v>46.92</v>
      </c>
      <c r="I341" s="46"/>
      <c r="J341" s="46"/>
    </row>
    <row r="342" spans="1:10">
      <c r="A342" s="69"/>
      <c r="B342" s="70"/>
      <c r="C342" s="54"/>
      <c r="D342" s="55"/>
      <c r="E342" s="92" t="s">
        <v>651</v>
      </c>
      <c r="F342" s="47">
        <f>7.6*5.1</f>
        <v>38.76</v>
      </c>
      <c r="G342" s="58"/>
      <c r="H342" s="46"/>
      <c r="I342" s="46"/>
      <c r="J342" s="46"/>
    </row>
    <row r="343" spans="1:10">
      <c r="A343" s="69"/>
      <c r="B343" s="70"/>
      <c r="C343" s="54"/>
      <c r="D343" s="55"/>
      <c r="E343" s="92" t="s">
        <v>662</v>
      </c>
      <c r="F343" s="156">
        <f xml:space="preserve"> 0.8*5.1*2</f>
        <v>8.16</v>
      </c>
      <c r="G343" s="58"/>
      <c r="H343" s="46"/>
      <c r="I343" s="46"/>
      <c r="J343" s="46"/>
    </row>
    <row r="344" spans="1:10">
      <c r="A344" s="69"/>
      <c r="B344" s="70"/>
      <c r="C344" s="54"/>
      <c r="D344" s="55"/>
      <c r="E344" s="187" t="s">
        <v>229</v>
      </c>
      <c r="F344" s="47">
        <f>SUM(F342:F343)</f>
        <v>46.92</v>
      </c>
      <c r="G344" s="58"/>
      <c r="H344" s="46"/>
      <c r="I344" s="46"/>
      <c r="J344" s="46"/>
    </row>
    <row r="345" spans="1:10" ht="25.5">
      <c r="A345" s="69"/>
      <c r="B345" s="70"/>
      <c r="C345" s="71"/>
      <c r="D345" s="55" t="s">
        <v>663</v>
      </c>
      <c r="E345" s="56" t="s">
        <v>664</v>
      </c>
      <c r="F345" s="188"/>
      <c r="G345" s="58" t="s">
        <v>1</v>
      </c>
      <c r="H345" s="46">
        <v>41.04</v>
      </c>
      <c r="I345" s="46"/>
      <c r="J345" s="46"/>
    </row>
    <row r="346" spans="1:10">
      <c r="A346" s="69"/>
      <c r="B346" s="70"/>
      <c r="C346" s="71"/>
      <c r="D346" s="72"/>
      <c r="E346" s="92" t="s">
        <v>656</v>
      </c>
      <c r="F346" s="47">
        <f xml:space="preserve"> 7.6*2.7*2</f>
        <v>41.04</v>
      </c>
      <c r="G346" s="45"/>
      <c r="H346" s="46"/>
      <c r="I346" s="46"/>
      <c r="J346" s="46"/>
    </row>
    <row r="347" spans="1:10">
      <c r="A347" s="69"/>
      <c r="B347" s="70"/>
      <c r="C347" s="71"/>
      <c r="D347" s="72"/>
      <c r="E347" s="92"/>
      <c r="F347" s="192"/>
      <c r="G347" s="45"/>
      <c r="H347" s="46"/>
      <c r="I347" s="46"/>
      <c r="J347" s="46"/>
    </row>
    <row r="348" spans="1:10" ht="25.5">
      <c r="A348" s="31">
        <f>MAX(A$1:A347)+1</f>
        <v>52</v>
      </c>
      <c r="B348" s="70"/>
      <c r="C348" s="32" t="s">
        <v>665</v>
      </c>
      <c r="D348" s="33"/>
      <c r="E348" s="52" t="s">
        <v>666</v>
      </c>
      <c r="F348" s="184"/>
      <c r="G348" s="24" t="s">
        <v>1</v>
      </c>
      <c r="H348" s="51">
        <v>79.8</v>
      </c>
      <c r="I348" s="381"/>
      <c r="J348" s="51">
        <f t="shared" si="5"/>
        <v>0</v>
      </c>
    </row>
    <row r="349" spans="1:10" ht="25.5">
      <c r="A349" s="69"/>
      <c r="B349" s="70"/>
      <c r="C349" s="32"/>
      <c r="D349" s="55" t="s">
        <v>667</v>
      </c>
      <c r="E349" s="56" t="s">
        <v>668</v>
      </c>
      <c r="F349" s="188"/>
      <c r="G349" s="58" t="s">
        <v>1</v>
      </c>
      <c r="H349" s="46">
        <v>38.76</v>
      </c>
      <c r="I349" s="46"/>
      <c r="J349" s="46"/>
    </row>
    <row r="350" spans="1:10">
      <c r="A350" s="69"/>
      <c r="B350" s="70"/>
      <c r="C350" s="32"/>
      <c r="D350" s="33"/>
      <c r="E350" s="92" t="s">
        <v>651</v>
      </c>
      <c r="F350" s="47">
        <f>7.6*5.1</f>
        <v>38.76</v>
      </c>
      <c r="G350" s="24"/>
      <c r="H350" s="46"/>
      <c r="I350" s="46"/>
      <c r="J350" s="46"/>
    </row>
    <row r="351" spans="1:10" ht="25.5">
      <c r="A351" s="69"/>
      <c r="B351" s="70"/>
      <c r="C351" s="71"/>
      <c r="D351" s="55" t="s">
        <v>669</v>
      </c>
      <c r="E351" s="56" t="s">
        <v>670</v>
      </c>
      <c r="F351" s="188"/>
      <c r="G351" s="58" t="s">
        <v>1</v>
      </c>
      <c r="H351" s="46">
        <v>41.04</v>
      </c>
      <c r="I351" s="46"/>
      <c r="J351" s="46"/>
    </row>
    <row r="352" spans="1:10">
      <c r="A352" s="69"/>
      <c r="B352" s="70"/>
      <c r="C352" s="71"/>
      <c r="D352" s="72"/>
      <c r="E352" s="92" t="s">
        <v>656</v>
      </c>
      <c r="F352" s="47">
        <f xml:space="preserve"> 7.6*2.7*2</f>
        <v>41.04</v>
      </c>
      <c r="G352" s="45"/>
      <c r="H352" s="46"/>
      <c r="I352" s="46"/>
      <c r="J352" s="46"/>
    </row>
    <row r="353" spans="1:10">
      <c r="A353" s="69"/>
      <c r="B353" s="70"/>
      <c r="C353" s="71"/>
      <c r="D353" s="72"/>
      <c r="E353" s="92"/>
      <c r="F353" s="192"/>
      <c r="G353" s="45"/>
      <c r="H353" s="46"/>
      <c r="I353" s="46"/>
      <c r="J353" s="46"/>
    </row>
    <row r="354" spans="1:10">
      <c r="A354" s="69"/>
      <c r="B354" s="121"/>
      <c r="C354" s="121"/>
      <c r="D354" s="33"/>
      <c r="E354" s="52"/>
      <c r="F354" s="52"/>
      <c r="G354" s="58"/>
      <c r="H354" s="46"/>
      <c r="I354" s="46"/>
      <c r="J354" s="46"/>
    </row>
    <row r="355" spans="1:10" ht="25.5">
      <c r="A355" s="69"/>
      <c r="B355" s="121" t="s">
        <v>671</v>
      </c>
      <c r="C355" s="121"/>
      <c r="D355" s="33"/>
      <c r="E355" s="52" t="s">
        <v>672</v>
      </c>
      <c r="F355" s="84"/>
      <c r="G355" s="45"/>
      <c r="H355" s="46"/>
      <c r="I355" s="46"/>
      <c r="J355" s="46"/>
    </row>
    <row r="356" spans="1:10">
      <c r="A356" s="69"/>
      <c r="B356" s="70"/>
      <c r="C356" s="71"/>
      <c r="D356" s="72"/>
      <c r="E356" s="191"/>
      <c r="F356" s="84"/>
      <c r="G356" s="45"/>
      <c r="H356" s="46"/>
      <c r="I356" s="46"/>
      <c r="J356" s="46"/>
    </row>
    <row r="357" spans="1:10">
      <c r="A357" s="31">
        <f>MAX(A$1:A356)+1</f>
        <v>53</v>
      </c>
      <c r="B357" s="70"/>
      <c r="C357" s="32" t="s">
        <v>673</v>
      </c>
      <c r="D357" s="33"/>
      <c r="E357" s="52" t="s">
        <v>674</v>
      </c>
      <c r="F357" s="184"/>
      <c r="G357" s="24" t="s">
        <v>1</v>
      </c>
      <c r="H357" s="51">
        <v>38.76</v>
      </c>
      <c r="I357" s="381"/>
      <c r="J357" s="51">
        <f t="shared" si="5"/>
        <v>0</v>
      </c>
    </row>
    <row r="358" spans="1:10" ht="25.5">
      <c r="A358" s="69"/>
      <c r="B358" s="70"/>
      <c r="C358" s="71"/>
      <c r="D358" s="55" t="s">
        <v>675</v>
      </c>
      <c r="E358" s="56" t="s">
        <v>676</v>
      </c>
      <c r="F358" s="188"/>
      <c r="G358" s="58" t="s">
        <v>1</v>
      </c>
      <c r="H358" s="46">
        <v>38.76</v>
      </c>
      <c r="I358" s="46"/>
      <c r="J358" s="46"/>
    </row>
    <row r="359" spans="1:10">
      <c r="A359" s="69"/>
      <c r="B359" s="70"/>
      <c r="C359" s="71"/>
      <c r="D359" s="55"/>
      <c r="E359" s="92" t="s">
        <v>677</v>
      </c>
      <c r="F359" s="47"/>
      <c r="G359" s="58"/>
      <c r="H359" s="46"/>
      <c r="I359" s="46"/>
      <c r="J359" s="46"/>
    </row>
    <row r="360" spans="1:10">
      <c r="A360" s="69"/>
      <c r="B360" s="70"/>
      <c r="C360" s="71"/>
      <c r="D360" s="55"/>
      <c r="E360" s="92" t="s">
        <v>678</v>
      </c>
      <c r="F360" s="47">
        <f>7.6*5.1</f>
        <v>38.76</v>
      </c>
      <c r="G360" s="58"/>
      <c r="H360" s="46"/>
      <c r="I360" s="46"/>
      <c r="J360" s="46"/>
    </row>
    <row r="361" spans="1:10">
      <c r="A361" s="69"/>
      <c r="B361" s="179"/>
      <c r="C361" s="71"/>
      <c r="D361" s="198"/>
      <c r="E361" s="92"/>
      <c r="F361" s="38"/>
      <c r="G361" s="58"/>
      <c r="H361" s="199"/>
      <c r="I361" s="199"/>
      <c r="J361" s="199"/>
    </row>
    <row r="362" spans="1:10" ht="13.5" thickBot="1">
      <c r="A362" s="200"/>
      <c r="B362" s="201"/>
      <c r="C362" s="202"/>
      <c r="D362" s="106"/>
      <c r="E362" s="203"/>
      <c r="F362" s="204"/>
      <c r="G362" s="205"/>
      <c r="H362" s="206"/>
      <c r="I362" s="206"/>
      <c r="J362" s="206"/>
    </row>
    <row r="363" spans="1:10" s="226" customFormat="1" ht="13.5" thickBot="1">
      <c r="A363" s="222"/>
      <c r="B363" s="223"/>
      <c r="C363" s="223"/>
      <c r="D363" s="223"/>
      <c r="E363" s="223" t="s">
        <v>738</v>
      </c>
      <c r="F363" s="224"/>
      <c r="G363" s="223"/>
      <c r="H363" s="224"/>
      <c r="I363" s="224"/>
      <c r="J363" s="225">
        <f>SUM(J5:J362)</f>
        <v>0</v>
      </c>
    </row>
  </sheetData>
  <sheetProtection algorithmName="SHA-512" hashValue="NVGFQlQVt/taxa0xXIm1PfZuM9s//riz/90Zpe2Zym2agiVo4hnNOMi52Go3FSAWOr5JzGjltRLuyizdpfZvig==" saltValue="I4z5fygJEAu/V2hAq+0o8Q==" spinCount="100000" sheet="1" objects="1" scenarios="1"/>
  <mergeCells count="6">
    <mergeCell ref="J3:J4"/>
    <mergeCell ref="A3:C3"/>
    <mergeCell ref="E3:F4"/>
    <mergeCell ref="G3:G4"/>
    <mergeCell ref="H3:H4"/>
    <mergeCell ref="I3:I4"/>
  </mergeCells>
  <pageMargins left="0.39370078740157483" right="0.19685039370078741" top="0.98425196850393704" bottom="0.98425196850393704" header="0.51181102362204722" footer="0.51181102362204722"/>
  <pageSetup paperSize="9" scale="72" orientation="portrait" r:id="rId1"/>
  <headerFooter>
    <oddHeader>&amp;LNÁZOV STAVIEB : Rekonštrukcia a obnova mostov na cestách III. triedy BBSK, oblasť JUH
STAVBA : Most ev.č.2610-12,C III/2610 v km 12,678 – Čeláre
&amp;RO. Výkaz výmer a rozpočet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4C894-1A16-4E97-9079-8C0E270BEB2D}">
  <dimension ref="A1:J88"/>
  <sheetViews>
    <sheetView showGridLines="0" zoomScaleNormal="100" workbookViewId="0">
      <pane ySplit="4" topLeftCell="A5" activePane="bottomLeft" state="frozen"/>
      <selection pane="bottomLeft"/>
    </sheetView>
  </sheetViews>
  <sheetFormatPr defaultRowHeight="12.75"/>
  <cols>
    <col min="1" max="1" width="4.7109375" style="108" customWidth="1"/>
    <col min="2" max="2" width="9.28515625" style="108" customWidth="1"/>
    <col min="3" max="3" width="9" style="108" customWidth="1"/>
    <col min="4" max="4" width="10.85546875" style="108" customWidth="1"/>
    <col min="5" max="5" width="52.7109375" style="108" customWidth="1"/>
    <col min="6" max="6" width="9.85546875" style="113" customWidth="1"/>
    <col min="7" max="7" width="5.7109375" style="108" customWidth="1"/>
    <col min="8" max="9" width="10.140625" style="113" customWidth="1"/>
    <col min="10" max="10" width="14.85546875" style="113" customWidth="1"/>
    <col min="11" max="16384" width="9.140625" style="108"/>
  </cols>
  <sheetData>
    <row r="1" spans="1:10">
      <c r="A1" s="135" t="s">
        <v>8</v>
      </c>
      <c r="B1" s="135"/>
      <c r="C1" s="136"/>
      <c r="D1" s="137"/>
      <c r="E1" s="180" t="s">
        <v>679</v>
      </c>
      <c r="G1" s="139"/>
      <c r="H1" s="140"/>
      <c r="I1" s="140"/>
      <c r="J1" s="140"/>
    </row>
    <row r="2" spans="1:10" ht="13.5" thickBot="1">
      <c r="A2" s="8" t="s">
        <v>9</v>
      </c>
      <c r="B2" s="135"/>
      <c r="C2" s="136"/>
      <c r="D2" s="137"/>
      <c r="E2" s="141">
        <v>2224</v>
      </c>
      <c r="G2" s="10"/>
      <c r="H2" s="142"/>
      <c r="I2" s="142"/>
      <c r="J2" s="142"/>
    </row>
    <row r="3" spans="1:10">
      <c r="A3" s="377" t="s">
        <v>10</v>
      </c>
      <c r="B3" s="378"/>
      <c r="C3" s="378"/>
      <c r="D3" s="12"/>
      <c r="E3" s="369" t="s">
        <v>11</v>
      </c>
      <c r="F3" s="370"/>
      <c r="G3" s="373" t="s">
        <v>12</v>
      </c>
      <c r="H3" s="375" t="s">
        <v>13</v>
      </c>
      <c r="I3" s="354" t="s">
        <v>736</v>
      </c>
      <c r="J3" s="354" t="s">
        <v>737</v>
      </c>
    </row>
    <row r="4" spans="1:10" ht="13.5" thickBot="1">
      <c r="A4" s="13" t="s">
        <v>14</v>
      </c>
      <c r="B4" s="14" t="s">
        <v>17</v>
      </c>
      <c r="C4" s="14" t="s">
        <v>15</v>
      </c>
      <c r="D4" s="14" t="s">
        <v>16</v>
      </c>
      <c r="E4" s="371"/>
      <c r="F4" s="372"/>
      <c r="G4" s="374"/>
      <c r="H4" s="376"/>
      <c r="I4" s="355"/>
      <c r="J4" s="355"/>
    </row>
    <row r="5" spans="1:10">
      <c r="A5" s="15"/>
      <c r="B5" s="16"/>
      <c r="C5" s="16"/>
      <c r="D5" s="17"/>
      <c r="E5" s="18"/>
      <c r="F5" s="143"/>
      <c r="G5" s="20"/>
      <c r="H5" s="21"/>
      <c r="I5" s="21"/>
      <c r="J5" s="21"/>
    </row>
    <row r="6" spans="1:10">
      <c r="A6" s="31"/>
      <c r="B6" s="102" t="s">
        <v>18</v>
      </c>
      <c r="C6" s="114"/>
      <c r="D6" s="115"/>
      <c r="E6" s="173" t="s">
        <v>20</v>
      </c>
      <c r="F6" s="181"/>
      <c r="G6" s="182"/>
      <c r="H6" s="183"/>
      <c r="I6" s="183"/>
      <c r="J6" s="183"/>
    </row>
    <row r="7" spans="1:10">
      <c r="A7" s="42"/>
      <c r="B7" s="40"/>
      <c r="C7" s="43"/>
      <c r="D7" s="44"/>
      <c r="E7" s="97"/>
      <c r="F7" s="84"/>
      <c r="G7" s="45"/>
      <c r="H7" s="46"/>
      <c r="I7" s="46"/>
      <c r="J7" s="46"/>
    </row>
    <row r="8" spans="1:10">
      <c r="A8" s="31">
        <f>MAX(A$1:A7)+1</f>
        <v>1</v>
      </c>
      <c r="B8" s="40"/>
      <c r="C8" s="32" t="s">
        <v>25</v>
      </c>
      <c r="D8" s="33"/>
      <c r="E8" s="52" t="s">
        <v>26</v>
      </c>
      <c r="F8" s="184"/>
      <c r="G8" s="24" t="s">
        <v>7</v>
      </c>
      <c r="H8" s="36">
        <v>14</v>
      </c>
      <c r="I8" s="380"/>
      <c r="J8" s="30">
        <f t="shared" ref="J8" si="0">I8*H8</f>
        <v>0</v>
      </c>
    </row>
    <row r="9" spans="1:10">
      <c r="A9" s="42"/>
      <c r="B9" s="40"/>
      <c r="C9" s="32"/>
      <c r="D9" s="33"/>
      <c r="E9" s="92" t="s">
        <v>680</v>
      </c>
      <c r="F9" s="184"/>
      <c r="G9" s="24"/>
      <c r="H9" s="36"/>
      <c r="I9" s="36"/>
      <c r="J9" s="36"/>
    </row>
    <row r="10" spans="1:10">
      <c r="A10" s="42"/>
      <c r="B10" s="40"/>
      <c r="C10" s="32"/>
      <c r="D10" s="33"/>
      <c r="E10" s="92"/>
      <c r="F10" s="84"/>
      <c r="G10" s="24"/>
      <c r="H10" s="46"/>
      <c r="I10" s="46"/>
      <c r="J10" s="46"/>
    </row>
    <row r="11" spans="1:10">
      <c r="A11" s="31"/>
      <c r="B11" s="50"/>
      <c r="C11" s="117"/>
      <c r="D11" s="117"/>
      <c r="E11" s="189"/>
      <c r="F11" s="190"/>
      <c r="G11" s="27"/>
      <c r="H11" s="51"/>
      <c r="I11" s="51"/>
      <c r="J11" s="51"/>
    </row>
    <row r="12" spans="1:10">
      <c r="A12" s="31"/>
      <c r="B12" s="121" t="s">
        <v>681</v>
      </c>
      <c r="C12" s="75"/>
      <c r="D12" s="33"/>
      <c r="E12" s="52" t="s">
        <v>682</v>
      </c>
      <c r="F12" s="144"/>
      <c r="G12" s="24"/>
      <c r="H12" s="25"/>
      <c r="I12" s="25"/>
      <c r="J12" s="25"/>
    </row>
    <row r="13" spans="1:10">
      <c r="A13" s="31"/>
      <c r="B13" s="121"/>
      <c r="C13" s="75"/>
      <c r="D13" s="33"/>
      <c r="E13" s="52"/>
      <c r="F13" s="144"/>
      <c r="G13" s="24"/>
      <c r="H13" s="25"/>
      <c r="I13" s="25"/>
      <c r="J13" s="25"/>
    </row>
    <row r="14" spans="1:10">
      <c r="A14" s="31">
        <f>MAX(A$1:A13)+1</f>
        <v>2</v>
      </c>
      <c r="B14" s="121"/>
      <c r="C14" s="32" t="s">
        <v>307</v>
      </c>
      <c r="D14" s="33"/>
      <c r="E14" s="52" t="s">
        <v>308</v>
      </c>
      <c r="F14" s="184"/>
      <c r="G14" s="24" t="s">
        <v>7</v>
      </c>
      <c r="H14" s="36">
        <v>12</v>
      </c>
      <c r="I14" s="380"/>
      <c r="J14" s="30">
        <f t="shared" ref="J14" si="1">I14*H14</f>
        <v>0</v>
      </c>
    </row>
    <row r="15" spans="1:10">
      <c r="A15" s="31"/>
      <c r="B15" s="121"/>
      <c r="C15" s="72"/>
      <c r="D15" s="55" t="s">
        <v>309</v>
      </c>
      <c r="E15" s="56" t="s">
        <v>310</v>
      </c>
      <c r="F15" s="188"/>
      <c r="G15" s="58" t="s">
        <v>7</v>
      </c>
      <c r="H15" s="46">
        <v>12</v>
      </c>
      <c r="I15" s="46"/>
      <c r="J15" s="46"/>
    </row>
    <row r="16" spans="1:10">
      <c r="A16" s="31"/>
      <c r="B16" s="121"/>
      <c r="C16" s="125"/>
      <c r="D16" s="71"/>
      <c r="E16" s="92" t="s">
        <v>683</v>
      </c>
      <c r="F16" s="207">
        <v>12</v>
      </c>
      <c r="G16" s="24"/>
      <c r="H16" s="25"/>
      <c r="I16" s="25"/>
      <c r="J16" s="25"/>
    </row>
    <row r="17" spans="1:10">
      <c r="A17" s="31"/>
      <c r="B17" s="121"/>
      <c r="C17" s="75"/>
      <c r="D17" s="33"/>
      <c r="E17" s="52"/>
      <c r="F17" s="144"/>
      <c r="G17" s="24"/>
      <c r="H17" s="25"/>
      <c r="I17" s="25"/>
      <c r="J17" s="25"/>
    </row>
    <row r="18" spans="1:10">
      <c r="A18" s="31">
        <f>MAX(A$1:A17)+1</f>
        <v>3</v>
      </c>
      <c r="B18" s="121"/>
      <c r="C18" s="32" t="s">
        <v>313</v>
      </c>
      <c r="D18" s="33"/>
      <c r="E18" s="52" t="s">
        <v>314</v>
      </c>
      <c r="F18" s="184"/>
      <c r="G18" s="24" t="s">
        <v>7</v>
      </c>
      <c r="H18" s="36">
        <v>66.400000000000006</v>
      </c>
      <c r="I18" s="380"/>
      <c r="J18" s="30">
        <f t="shared" ref="J18" si="2">I18*H18</f>
        <v>0</v>
      </c>
    </row>
    <row r="19" spans="1:10">
      <c r="A19" s="31"/>
      <c r="B19" s="121"/>
      <c r="C19" s="54"/>
      <c r="D19" s="55" t="s">
        <v>684</v>
      </c>
      <c r="E19" s="56" t="s">
        <v>685</v>
      </c>
      <c r="F19" s="188"/>
      <c r="G19" s="58" t="s">
        <v>7</v>
      </c>
      <c r="H19" s="46">
        <v>66.400000000000006</v>
      </c>
      <c r="I19" s="46"/>
      <c r="J19" s="46"/>
    </row>
    <row r="20" spans="1:10">
      <c r="A20" s="31"/>
      <c r="B20" s="121"/>
      <c r="C20" s="54"/>
      <c r="D20" s="55"/>
      <c r="E20" s="92" t="s">
        <v>686</v>
      </c>
      <c r="F20" s="207">
        <v>32.4</v>
      </c>
      <c r="G20" s="58"/>
      <c r="H20" s="46"/>
      <c r="I20" s="46"/>
      <c r="J20" s="46"/>
    </row>
    <row r="21" spans="1:10">
      <c r="A21" s="31"/>
      <c r="B21" s="121"/>
      <c r="C21" s="54"/>
      <c r="D21" s="55"/>
      <c r="E21" s="92" t="s">
        <v>687</v>
      </c>
      <c r="F21" s="208">
        <v>34</v>
      </c>
      <c r="G21" s="58"/>
      <c r="H21" s="46"/>
      <c r="I21" s="46"/>
      <c r="J21" s="46"/>
    </row>
    <row r="22" spans="1:10">
      <c r="A22" s="31"/>
      <c r="B22" s="121"/>
      <c r="C22" s="54"/>
      <c r="D22" s="55"/>
      <c r="E22" s="92"/>
      <c r="F22" s="209">
        <f>SUM(F20:F21)</f>
        <v>66.400000000000006</v>
      </c>
      <c r="G22" s="58"/>
      <c r="H22" s="46"/>
      <c r="I22" s="46"/>
      <c r="J22" s="46"/>
    </row>
    <row r="23" spans="1:10">
      <c r="A23" s="31"/>
      <c r="B23" s="121"/>
      <c r="C23" s="54"/>
      <c r="D23" s="55"/>
      <c r="E23" s="56"/>
      <c r="F23" s="188"/>
      <c r="G23" s="58"/>
      <c r="H23" s="46"/>
      <c r="I23" s="46"/>
      <c r="J23" s="46"/>
    </row>
    <row r="24" spans="1:10">
      <c r="A24" s="31">
        <f>MAX(A$1:A23)+1</f>
        <v>4</v>
      </c>
      <c r="B24" s="121"/>
      <c r="C24" s="32" t="s">
        <v>688</v>
      </c>
      <c r="D24" s="33"/>
      <c r="E24" s="52" t="s">
        <v>689</v>
      </c>
      <c r="F24" s="184"/>
      <c r="G24" s="24" t="s">
        <v>7</v>
      </c>
      <c r="H24" s="51">
        <v>8.5</v>
      </c>
      <c r="I24" s="381"/>
      <c r="J24" s="30">
        <f t="shared" ref="J24" si="3">I24*H24</f>
        <v>0</v>
      </c>
    </row>
    <row r="25" spans="1:10">
      <c r="A25" s="31"/>
      <c r="B25" s="121"/>
      <c r="C25" s="54"/>
      <c r="D25" s="55" t="s">
        <v>690</v>
      </c>
      <c r="E25" s="56" t="s">
        <v>691</v>
      </c>
      <c r="F25" s="188"/>
      <c r="G25" s="58" t="s">
        <v>7</v>
      </c>
      <c r="H25" s="46">
        <v>8.5</v>
      </c>
      <c r="I25" s="46"/>
      <c r="J25" s="46"/>
    </row>
    <row r="26" spans="1:10">
      <c r="A26" s="31"/>
      <c r="B26" s="121"/>
      <c r="C26" s="54"/>
      <c r="D26" s="55"/>
      <c r="E26" s="92" t="s">
        <v>692</v>
      </c>
      <c r="F26" s="207">
        <v>8.5</v>
      </c>
      <c r="G26" s="58"/>
      <c r="H26" s="46"/>
      <c r="I26" s="46"/>
      <c r="J26" s="46"/>
    </row>
    <row r="27" spans="1:10">
      <c r="A27" s="31"/>
      <c r="B27" s="121"/>
      <c r="C27" s="54"/>
      <c r="D27" s="55"/>
      <c r="E27" s="92" t="s">
        <v>693</v>
      </c>
      <c r="F27" s="208"/>
      <c r="G27" s="58"/>
      <c r="H27" s="46"/>
      <c r="I27" s="46"/>
      <c r="J27" s="46"/>
    </row>
    <row r="28" spans="1:10">
      <c r="A28" s="31"/>
      <c r="B28" s="121"/>
      <c r="C28" s="54"/>
      <c r="D28" s="55"/>
      <c r="E28" s="92"/>
      <c r="F28" s="84"/>
      <c r="G28" s="58"/>
      <c r="H28" s="46"/>
      <c r="I28" s="46"/>
      <c r="J28" s="46"/>
    </row>
    <row r="29" spans="1:10">
      <c r="A29" s="31">
        <f>MAX(A$1:A28)+1</f>
        <v>5</v>
      </c>
      <c r="B29" s="121"/>
      <c r="C29" s="32" t="s">
        <v>325</v>
      </c>
      <c r="D29" s="33"/>
      <c r="E29" s="52" t="s">
        <v>326</v>
      </c>
      <c r="F29" s="184"/>
      <c r="G29" s="24" t="s">
        <v>7</v>
      </c>
      <c r="H29" s="51">
        <v>64</v>
      </c>
      <c r="I29" s="381"/>
      <c r="J29" s="30">
        <f t="shared" ref="J29" si="4">I29*H29</f>
        <v>0</v>
      </c>
    </row>
    <row r="30" spans="1:10">
      <c r="A30" s="31"/>
      <c r="B30" s="121"/>
      <c r="C30" s="54"/>
      <c r="D30" s="55" t="s">
        <v>327</v>
      </c>
      <c r="E30" s="56" t="s">
        <v>328</v>
      </c>
      <c r="F30" s="188"/>
      <c r="G30" s="58" t="s">
        <v>7</v>
      </c>
      <c r="H30" s="46">
        <v>64</v>
      </c>
      <c r="I30" s="46"/>
      <c r="J30" s="46"/>
    </row>
    <row r="31" spans="1:10" ht="25.5">
      <c r="A31" s="31"/>
      <c r="B31" s="121"/>
      <c r="C31" s="54"/>
      <c r="D31" s="55"/>
      <c r="E31" s="92" t="s">
        <v>694</v>
      </c>
      <c r="F31" s="207">
        <v>64</v>
      </c>
      <c r="G31" s="58"/>
      <c r="H31" s="46"/>
      <c r="I31" s="46"/>
      <c r="J31" s="46"/>
    </row>
    <row r="32" spans="1:10">
      <c r="A32" s="31"/>
      <c r="B32" s="121"/>
      <c r="C32" s="75"/>
      <c r="D32" s="33"/>
      <c r="E32" s="52"/>
      <c r="F32" s="144"/>
      <c r="G32" s="24"/>
      <c r="H32" s="25"/>
      <c r="I32" s="25"/>
      <c r="J32" s="25"/>
    </row>
    <row r="33" spans="1:10">
      <c r="A33" s="31">
        <f>MAX(A$1:A32)+1</f>
        <v>6</v>
      </c>
      <c r="B33" s="40"/>
      <c r="C33" s="32" t="s">
        <v>54</v>
      </c>
      <c r="D33" s="33"/>
      <c r="E33" s="52" t="s">
        <v>55</v>
      </c>
      <c r="F33" s="184"/>
      <c r="G33" s="24" t="s">
        <v>7</v>
      </c>
      <c r="H33" s="51">
        <v>14</v>
      </c>
      <c r="I33" s="381"/>
      <c r="J33" s="30">
        <f t="shared" ref="J33" si="5">I33*H33</f>
        <v>0</v>
      </c>
    </row>
    <row r="34" spans="1:10" ht="25.5">
      <c r="A34" s="42"/>
      <c r="B34" s="40"/>
      <c r="C34" s="54"/>
      <c r="D34" s="55" t="s">
        <v>56</v>
      </c>
      <c r="E34" s="56" t="s">
        <v>57</v>
      </c>
      <c r="F34" s="188"/>
      <c r="G34" s="58" t="s">
        <v>7</v>
      </c>
      <c r="H34" s="46">
        <v>14</v>
      </c>
      <c r="I34" s="46"/>
      <c r="J34" s="46"/>
    </row>
    <row r="35" spans="1:10" ht="25.5">
      <c r="A35" s="42"/>
      <c r="B35" s="40"/>
      <c r="C35" s="43"/>
      <c r="D35" s="55"/>
      <c r="E35" s="92" t="s">
        <v>695</v>
      </c>
      <c r="F35" s="47">
        <v>14</v>
      </c>
      <c r="G35" s="58"/>
      <c r="H35" s="46"/>
      <c r="I35" s="46"/>
      <c r="J35" s="46"/>
    </row>
    <row r="36" spans="1:10">
      <c r="A36" s="31"/>
      <c r="B36" s="121"/>
      <c r="C36" s="54"/>
      <c r="D36" s="55"/>
      <c r="E36" s="92"/>
      <c r="F36" s="84"/>
      <c r="G36" s="58"/>
      <c r="H36" s="46"/>
      <c r="I36" s="46"/>
      <c r="J36" s="46"/>
    </row>
    <row r="37" spans="1:10">
      <c r="A37" s="31">
        <f>MAX(A$1:A36)+1</f>
        <v>7</v>
      </c>
      <c r="B37" s="40"/>
      <c r="C37" s="32" t="s">
        <v>62</v>
      </c>
      <c r="D37" s="33"/>
      <c r="E37" s="52" t="s">
        <v>63</v>
      </c>
      <c r="F37" s="184"/>
      <c r="G37" s="24" t="s">
        <v>7</v>
      </c>
      <c r="H37" s="51">
        <v>28</v>
      </c>
      <c r="I37" s="381"/>
      <c r="J37" s="30">
        <f t="shared" ref="J37" si="6">I37*H37</f>
        <v>0</v>
      </c>
    </row>
    <row r="38" spans="1:10" ht="25.5">
      <c r="A38" s="31"/>
      <c r="B38" s="121"/>
      <c r="C38" s="54"/>
      <c r="D38" s="55" t="s">
        <v>64</v>
      </c>
      <c r="E38" s="56" t="s">
        <v>65</v>
      </c>
      <c r="F38" s="188"/>
      <c r="G38" s="58" t="s">
        <v>7</v>
      </c>
      <c r="H38" s="46">
        <v>28</v>
      </c>
      <c r="I38" s="46"/>
      <c r="J38" s="46"/>
    </row>
    <row r="39" spans="1:10">
      <c r="A39" s="31"/>
      <c r="B39" s="121"/>
      <c r="C39" s="54"/>
      <c r="D39" s="55"/>
      <c r="E39" s="92" t="s">
        <v>696</v>
      </c>
      <c r="F39" s="47">
        <v>28</v>
      </c>
      <c r="G39" s="58"/>
      <c r="H39" s="46"/>
      <c r="I39" s="46"/>
      <c r="J39" s="46"/>
    </row>
    <row r="40" spans="1:10">
      <c r="A40" s="31"/>
      <c r="B40" s="121"/>
      <c r="C40" s="54"/>
      <c r="D40" s="55"/>
      <c r="E40" s="92"/>
      <c r="F40" s="84"/>
      <c r="G40" s="58"/>
      <c r="H40" s="46"/>
      <c r="I40" s="46"/>
      <c r="J40" s="46"/>
    </row>
    <row r="41" spans="1:10">
      <c r="A41" s="31">
        <f>MAX(A$1:A40)+1</f>
        <v>8</v>
      </c>
      <c r="B41" s="121"/>
      <c r="C41" s="32" t="s">
        <v>697</v>
      </c>
      <c r="D41" s="33"/>
      <c r="E41" s="52" t="s">
        <v>698</v>
      </c>
      <c r="F41" s="184"/>
      <c r="G41" s="24" t="s">
        <v>5</v>
      </c>
      <c r="H41" s="51">
        <v>15</v>
      </c>
      <c r="I41" s="381"/>
      <c r="J41" s="30">
        <f t="shared" ref="J41" si="7">I41*H41</f>
        <v>0</v>
      </c>
    </row>
    <row r="42" spans="1:10" ht="25.5">
      <c r="A42" s="31"/>
      <c r="B42" s="121"/>
      <c r="C42" s="54"/>
      <c r="D42" s="55" t="s">
        <v>699</v>
      </c>
      <c r="E42" s="56" t="s">
        <v>700</v>
      </c>
      <c r="F42" s="188"/>
      <c r="G42" s="58" t="s">
        <v>5</v>
      </c>
      <c r="H42" s="46">
        <v>15</v>
      </c>
      <c r="I42" s="46"/>
      <c r="J42" s="46"/>
    </row>
    <row r="43" spans="1:10" ht="25.5">
      <c r="A43" s="31"/>
      <c r="B43" s="121"/>
      <c r="C43" s="210"/>
      <c r="D43" s="211"/>
      <c r="E43" s="92" t="s">
        <v>701</v>
      </c>
      <c r="F43" s="47">
        <v>15</v>
      </c>
      <c r="G43" s="212"/>
      <c r="H43" s="46"/>
      <c r="I43" s="46"/>
      <c r="J43" s="46"/>
    </row>
    <row r="44" spans="1:10">
      <c r="A44" s="31"/>
      <c r="B44" s="121"/>
      <c r="C44" s="54"/>
      <c r="D44" s="55"/>
      <c r="E44" s="92"/>
      <c r="F44" s="84"/>
      <c r="G44" s="58"/>
      <c r="H44" s="46"/>
      <c r="I44" s="46"/>
      <c r="J44" s="46"/>
    </row>
    <row r="45" spans="1:10">
      <c r="A45" s="31"/>
      <c r="B45" s="121"/>
      <c r="C45" s="54"/>
      <c r="D45" s="55"/>
      <c r="E45" s="92"/>
      <c r="F45" s="84"/>
      <c r="G45" s="58"/>
      <c r="H45" s="46"/>
      <c r="I45" s="46"/>
      <c r="J45" s="46"/>
    </row>
    <row r="46" spans="1:10" ht="25.5">
      <c r="A46" s="31"/>
      <c r="B46" s="121" t="s">
        <v>104</v>
      </c>
      <c r="C46" s="121"/>
      <c r="D46" s="33"/>
      <c r="E46" s="52" t="s">
        <v>107</v>
      </c>
      <c r="F46" s="84"/>
      <c r="G46" s="58"/>
      <c r="H46" s="46"/>
      <c r="I46" s="46"/>
      <c r="J46" s="46"/>
    </row>
    <row r="47" spans="1:10">
      <c r="A47" s="42"/>
      <c r="B47" s="40"/>
      <c r="C47" s="43"/>
      <c r="D47" s="44"/>
      <c r="E47" s="187"/>
      <c r="F47" s="84"/>
      <c r="G47" s="45"/>
      <c r="H47" s="46"/>
      <c r="I47" s="46"/>
      <c r="J47" s="46"/>
    </row>
    <row r="48" spans="1:10" ht="25.5">
      <c r="A48" s="31">
        <f>MAX(A$1:A47)+1</f>
        <v>9</v>
      </c>
      <c r="B48" s="121"/>
      <c r="C48" s="32" t="s">
        <v>721</v>
      </c>
      <c r="D48" s="33"/>
      <c r="E48" s="52" t="s">
        <v>722</v>
      </c>
      <c r="F48" s="184"/>
      <c r="G48" s="24" t="s">
        <v>5</v>
      </c>
      <c r="H48" s="51">
        <v>70</v>
      </c>
      <c r="I48" s="381"/>
      <c r="J48" s="30">
        <f t="shared" ref="J48" si="8">I48*H48</f>
        <v>0</v>
      </c>
    </row>
    <row r="49" spans="1:10" ht="25.5">
      <c r="A49" s="31"/>
      <c r="B49" s="121"/>
      <c r="C49" s="217"/>
      <c r="D49" s="55" t="s">
        <v>723</v>
      </c>
      <c r="E49" s="56" t="s">
        <v>724</v>
      </c>
      <c r="F49" s="188"/>
      <c r="G49" s="58" t="s">
        <v>5</v>
      </c>
      <c r="H49" s="46">
        <v>70</v>
      </c>
      <c r="I49" s="46"/>
      <c r="J49" s="46"/>
    </row>
    <row r="50" spans="1:10">
      <c r="A50" s="31"/>
      <c r="B50" s="121"/>
      <c r="C50" s="54"/>
      <c r="D50" s="55"/>
      <c r="E50" s="92" t="s">
        <v>725</v>
      </c>
      <c r="F50" s="47">
        <v>55</v>
      </c>
      <c r="G50" s="58"/>
      <c r="H50" s="46"/>
      <c r="I50" s="46"/>
      <c r="J50" s="46"/>
    </row>
    <row r="51" spans="1:10">
      <c r="A51" s="31"/>
      <c r="B51" s="121"/>
      <c r="C51" s="54"/>
      <c r="D51" s="55"/>
      <c r="E51" s="92" t="s">
        <v>726</v>
      </c>
      <c r="F51" s="156">
        <v>15</v>
      </c>
      <c r="G51" s="58"/>
      <c r="H51" s="46"/>
      <c r="I51" s="46"/>
      <c r="J51" s="46"/>
    </row>
    <row r="52" spans="1:10">
      <c r="A52" s="31"/>
      <c r="B52" s="121"/>
      <c r="C52" s="54"/>
      <c r="D52" s="55"/>
      <c r="E52" s="92"/>
      <c r="F52" s="84">
        <f>SUM(F50:F51)</f>
        <v>70</v>
      </c>
      <c r="G52" s="58"/>
      <c r="H52" s="46"/>
      <c r="I52" s="46"/>
      <c r="J52" s="46"/>
    </row>
    <row r="53" spans="1:10">
      <c r="A53" s="31"/>
      <c r="B53" s="121"/>
      <c r="C53" s="54"/>
      <c r="D53" s="55"/>
      <c r="E53" s="92"/>
      <c r="F53" s="84"/>
      <c r="G53" s="58"/>
      <c r="H53" s="46"/>
      <c r="I53" s="46"/>
      <c r="J53" s="46"/>
    </row>
    <row r="54" spans="1:10">
      <c r="A54" s="31"/>
      <c r="B54" s="121" t="s">
        <v>727</v>
      </c>
      <c r="C54" s="121"/>
      <c r="D54" s="33"/>
      <c r="E54" s="52" t="s">
        <v>728</v>
      </c>
      <c r="F54" s="84"/>
      <c r="G54" s="58"/>
      <c r="H54" s="46"/>
      <c r="I54" s="46"/>
      <c r="J54" s="46"/>
    </row>
    <row r="55" spans="1:10">
      <c r="A55" s="31"/>
      <c r="B55" s="121"/>
      <c r="C55" s="54"/>
      <c r="D55" s="55"/>
      <c r="E55" s="92"/>
      <c r="F55" s="84"/>
      <c r="G55" s="58"/>
      <c r="H55" s="46"/>
      <c r="I55" s="46"/>
      <c r="J55" s="46"/>
    </row>
    <row r="56" spans="1:10" ht="25.5">
      <c r="A56" s="31">
        <f>MAX(A$1:A55)+1</f>
        <v>10</v>
      </c>
      <c r="B56" s="121"/>
      <c r="C56" s="32" t="s">
        <v>729</v>
      </c>
      <c r="D56" s="33"/>
      <c r="E56" s="52" t="s">
        <v>730</v>
      </c>
      <c r="F56" s="184"/>
      <c r="G56" s="24" t="s">
        <v>7</v>
      </c>
      <c r="H56" s="51">
        <v>5</v>
      </c>
      <c r="I56" s="381"/>
      <c r="J56" s="30">
        <f t="shared" ref="J56" si="9">I56*H56</f>
        <v>0</v>
      </c>
    </row>
    <row r="57" spans="1:10" ht="25.5">
      <c r="A57" s="31"/>
      <c r="B57" s="121"/>
      <c r="C57" s="217"/>
      <c r="D57" s="130" t="s">
        <v>731</v>
      </c>
      <c r="E57" s="164" t="s">
        <v>732</v>
      </c>
      <c r="F57" s="167"/>
      <c r="G57" s="45" t="s">
        <v>7</v>
      </c>
      <c r="H57" s="46">
        <v>5</v>
      </c>
      <c r="I57" s="46"/>
      <c r="J57" s="46"/>
    </row>
    <row r="58" spans="1:10" ht="26.25" customHeight="1">
      <c r="A58" s="31"/>
      <c r="B58" s="121"/>
      <c r="C58" s="54"/>
      <c r="D58" s="55"/>
      <c r="E58" s="92" t="s">
        <v>733</v>
      </c>
      <c r="F58" s="47">
        <v>5</v>
      </c>
      <c r="G58" s="58"/>
      <c r="H58" s="46"/>
      <c r="I58" s="46"/>
      <c r="J58" s="46"/>
    </row>
    <row r="59" spans="1:10">
      <c r="A59" s="31"/>
      <c r="B59" s="121"/>
      <c r="C59" s="54"/>
      <c r="D59" s="55"/>
      <c r="E59" s="92"/>
      <c r="F59" s="84"/>
      <c r="G59" s="58"/>
      <c r="H59" s="46"/>
      <c r="I59" s="46"/>
      <c r="J59" s="46"/>
    </row>
    <row r="60" spans="1:10">
      <c r="A60" s="31"/>
      <c r="B60" s="121"/>
      <c r="C60" s="54"/>
      <c r="D60" s="55"/>
      <c r="E60" s="92"/>
      <c r="F60" s="84"/>
      <c r="G60" s="58"/>
      <c r="H60" s="46"/>
      <c r="I60" s="46"/>
      <c r="J60" s="46"/>
    </row>
    <row r="61" spans="1:10">
      <c r="A61" s="31"/>
      <c r="B61" s="121" t="s">
        <v>702</v>
      </c>
      <c r="C61" s="121"/>
      <c r="D61" s="33"/>
      <c r="E61" s="52" t="s">
        <v>703</v>
      </c>
      <c r="F61" s="84"/>
      <c r="G61" s="58"/>
      <c r="H61" s="46"/>
      <c r="I61" s="46"/>
      <c r="J61" s="46"/>
    </row>
    <row r="62" spans="1:10">
      <c r="A62" s="42"/>
      <c r="B62" s="40"/>
      <c r="C62" s="43"/>
      <c r="D62" s="44"/>
      <c r="E62" s="187"/>
      <c r="F62" s="84"/>
      <c r="G62" s="45"/>
      <c r="H62" s="46"/>
      <c r="I62" s="46"/>
      <c r="J62" s="46"/>
    </row>
    <row r="63" spans="1:10" ht="25.5">
      <c r="A63" s="31">
        <f>MAX(A$1:A62)+1</f>
        <v>11</v>
      </c>
      <c r="B63" s="40"/>
      <c r="C63" s="213">
        <v>92020101</v>
      </c>
      <c r="D63" s="214"/>
      <c r="E63" s="184" t="s">
        <v>704</v>
      </c>
      <c r="F63" s="184"/>
      <c r="G63" s="24" t="s">
        <v>5</v>
      </c>
      <c r="H63" s="51">
        <v>200</v>
      </c>
      <c r="I63" s="381"/>
      <c r="J63" s="30">
        <f t="shared" ref="J63" si="10">I63*H63</f>
        <v>0</v>
      </c>
    </row>
    <row r="64" spans="1:10" ht="25.5">
      <c r="A64" s="42"/>
      <c r="B64" s="40"/>
      <c r="C64" s="32"/>
      <c r="D64" s="215">
        <v>9202010105</v>
      </c>
      <c r="E64" s="56" t="s">
        <v>705</v>
      </c>
      <c r="F64" s="56"/>
      <c r="G64" s="58" t="s">
        <v>5</v>
      </c>
      <c r="H64" s="46">
        <v>200</v>
      </c>
      <c r="I64" s="46"/>
      <c r="J64" s="46"/>
    </row>
    <row r="65" spans="1:10">
      <c r="A65" s="31"/>
      <c r="B65" s="121"/>
      <c r="C65" s="54"/>
      <c r="D65" s="55"/>
      <c r="E65" s="92" t="s">
        <v>706</v>
      </c>
      <c r="F65" s="47">
        <v>60</v>
      </c>
      <c r="G65" s="58"/>
      <c r="H65" s="46"/>
      <c r="I65" s="46"/>
      <c r="J65" s="46"/>
    </row>
    <row r="66" spans="1:10">
      <c r="A66" s="31"/>
      <c r="B66" s="121"/>
      <c r="C66" s="54"/>
      <c r="D66" s="55"/>
      <c r="E66" s="92" t="s">
        <v>707</v>
      </c>
      <c r="F66" s="156">
        <v>140</v>
      </c>
      <c r="G66" s="58"/>
      <c r="H66" s="46"/>
      <c r="I66" s="46"/>
      <c r="J66" s="46"/>
    </row>
    <row r="67" spans="1:10">
      <c r="A67" s="31"/>
      <c r="B67" s="121"/>
      <c r="C67" s="54"/>
      <c r="D67" s="55"/>
      <c r="E67" s="92"/>
      <c r="F67" s="84">
        <f>SUM(F65:F66)</f>
        <v>200</v>
      </c>
      <c r="G67" s="58"/>
      <c r="H67" s="46"/>
      <c r="I67" s="46"/>
      <c r="J67" s="46"/>
    </row>
    <row r="68" spans="1:10">
      <c r="A68" s="31"/>
      <c r="B68" s="121"/>
      <c r="C68" s="54"/>
      <c r="D68" s="55"/>
      <c r="E68" s="92"/>
      <c r="F68" s="84"/>
      <c r="G68" s="58"/>
      <c r="H68" s="46"/>
      <c r="I68" s="46"/>
      <c r="J68" s="46"/>
    </row>
    <row r="69" spans="1:10" ht="25.5">
      <c r="A69" s="31">
        <f>MAX(A$1:A68)+1</f>
        <v>12</v>
      </c>
      <c r="B69" s="40"/>
      <c r="C69" s="213">
        <v>92020201</v>
      </c>
      <c r="D69" s="214"/>
      <c r="E69" s="52" t="s">
        <v>708</v>
      </c>
      <c r="F69" s="52"/>
      <c r="G69" s="24" t="s">
        <v>595</v>
      </c>
      <c r="H69" s="51">
        <v>4</v>
      </c>
      <c r="I69" s="381"/>
      <c r="J69" s="30">
        <f t="shared" ref="J69" si="11">I69*H69</f>
        <v>0</v>
      </c>
    </row>
    <row r="70" spans="1:10" ht="25.5">
      <c r="A70" s="42"/>
      <c r="B70" s="40"/>
      <c r="C70" s="32"/>
      <c r="D70" s="215">
        <v>9202020101</v>
      </c>
      <c r="E70" s="56" t="s">
        <v>709</v>
      </c>
      <c r="F70" s="56"/>
      <c r="G70" s="58" t="s">
        <v>595</v>
      </c>
      <c r="H70" s="46">
        <v>4</v>
      </c>
      <c r="I70" s="46"/>
      <c r="J70" s="46"/>
    </row>
    <row r="71" spans="1:10">
      <c r="A71" s="31"/>
      <c r="B71" s="121"/>
      <c r="C71" s="54"/>
      <c r="D71" s="55"/>
      <c r="E71" s="92" t="s">
        <v>710</v>
      </c>
      <c r="F71" s="47">
        <v>2</v>
      </c>
      <c r="G71" s="58"/>
      <c r="H71" s="46"/>
      <c r="I71" s="46"/>
      <c r="J71" s="46"/>
    </row>
    <row r="72" spans="1:10">
      <c r="A72" s="31"/>
      <c r="B72" s="121"/>
      <c r="C72" s="54"/>
      <c r="D72" s="55"/>
      <c r="E72" s="92" t="s">
        <v>711</v>
      </c>
      <c r="F72" s="156">
        <v>2</v>
      </c>
      <c r="G72" s="58"/>
      <c r="H72" s="46"/>
      <c r="I72" s="46"/>
      <c r="J72" s="46"/>
    </row>
    <row r="73" spans="1:10">
      <c r="A73" s="31"/>
      <c r="B73" s="121"/>
      <c r="C73" s="54"/>
      <c r="D73" s="55"/>
      <c r="E73" s="92"/>
      <c r="F73" s="84">
        <f>SUM(F71:F72)</f>
        <v>4</v>
      </c>
      <c r="G73" s="58"/>
      <c r="H73" s="46"/>
      <c r="I73" s="46"/>
      <c r="J73" s="46"/>
    </row>
    <row r="74" spans="1:10">
      <c r="A74" s="31"/>
      <c r="B74" s="121"/>
      <c r="C74" s="54"/>
      <c r="D74" s="55"/>
      <c r="E74" s="92"/>
      <c r="F74" s="84"/>
      <c r="G74" s="58"/>
      <c r="H74" s="46"/>
      <c r="I74" s="46"/>
      <c r="J74" s="46"/>
    </row>
    <row r="75" spans="1:10" ht="25.5">
      <c r="A75" s="31">
        <f>MAX(A$1:A74)+1</f>
        <v>13</v>
      </c>
      <c r="B75" s="40"/>
      <c r="C75" s="213">
        <v>92022301</v>
      </c>
      <c r="D75" s="214"/>
      <c r="E75" s="52" t="s">
        <v>712</v>
      </c>
      <c r="F75" s="52"/>
      <c r="G75" s="24" t="s">
        <v>595</v>
      </c>
      <c r="H75" s="51">
        <v>5</v>
      </c>
      <c r="I75" s="381"/>
      <c r="J75" s="30">
        <f t="shared" ref="J75" si="12">I75*H75</f>
        <v>0</v>
      </c>
    </row>
    <row r="76" spans="1:10" ht="25.5">
      <c r="A76" s="42"/>
      <c r="B76" s="40"/>
      <c r="C76" s="32"/>
      <c r="D76" s="215">
        <v>9202230102</v>
      </c>
      <c r="E76" s="56" t="s">
        <v>713</v>
      </c>
      <c r="F76" s="56"/>
      <c r="G76" s="58" t="s">
        <v>595</v>
      </c>
      <c r="H76" s="46">
        <v>5</v>
      </c>
      <c r="I76" s="46"/>
      <c r="J76" s="46"/>
    </row>
    <row r="77" spans="1:10">
      <c r="A77" s="31"/>
      <c r="B77" s="121"/>
      <c r="C77" s="54"/>
      <c r="D77" s="55"/>
      <c r="E77" s="92" t="s">
        <v>714</v>
      </c>
      <c r="F77" s="47">
        <v>5</v>
      </c>
      <c r="G77" s="58"/>
      <c r="H77" s="46"/>
      <c r="I77" s="46"/>
      <c r="J77" s="46"/>
    </row>
    <row r="78" spans="1:10">
      <c r="A78" s="31"/>
      <c r="B78" s="121"/>
      <c r="C78" s="54"/>
      <c r="D78" s="55"/>
      <c r="E78" s="92"/>
      <c r="F78" s="84"/>
      <c r="G78" s="58"/>
      <c r="H78" s="46"/>
      <c r="I78" s="46"/>
      <c r="J78" s="46"/>
    </row>
    <row r="79" spans="1:10" ht="25.5">
      <c r="A79" s="31">
        <f>MAX(A$1:A78)+1</f>
        <v>14</v>
      </c>
      <c r="B79" s="40"/>
      <c r="C79" s="213">
        <v>92022501</v>
      </c>
      <c r="D79" s="214"/>
      <c r="E79" s="52" t="s">
        <v>715</v>
      </c>
      <c r="F79" s="52"/>
      <c r="G79" s="24" t="s">
        <v>595</v>
      </c>
      <c r="H79" s="51">
        <v>105</v>
      </c>
      <c r="I79" s="381"/>
      <c r="J79" s="30">
        <f t="shared" ref="J79" si="13">I79*H79</f>
        <v>0</v>
      </c>
    </row>
    <row r="80" spans="1:10" ht="25.5">
      <c r="A80" s="31"/>
      <c r="B80" s="40"/>
      <c r="C80" s="216"/>
      <c r="D80" s="215">
        <v>9202250102</v>
      </c>
      <c r="E80" s="56" t="s">
        <v>716</v>
      </c>
      <c r="F80" s="56"/>
      <c r="G80" s="58" t="s">
        <v>595</v>
      </c>
      <c r="H80" s="46">
        <v>105</v>
      </c>
      <c r="I80" s="46"/>
      <c r="J80" s="46"/>
    </row>
    <row r="81" spans="1:10">
      <c r="A81" s="31"/>
      <c r="B81" s="121"/>
      <c r="C81" s="54"/>
      <c r="D81" s="55"/>
      <c r="E81" s="92" t="s">
        <v>717</v>
      </c>
      <c r="F81" s="47">
        <v>105</v>
      </c>
      <c r="G81" s="58"/>
      <c r="H81" s="46"/>
      <c r="I81" s="46"/>
      <c r="J81" s="46"/>
    </row>
    <row r="82" spans="1:10">
      <c r="A82" s="31"/>
      <c r="B82" s="121"/>
      <c r="C82" s="54"/>
      <c r="D82" s="55"/>
      <c r="E82" s="92"/>
      <c r="F82" s="84"/>
      <c r="G82" s="58"/>
      <c r="H82" s="46"/>
      <c r="I82" s="46"/>
      <c r="J82" s="46"/>
    </row>
    <row r="83" spans="1:10" ht="25.5">
      <c r="A83" s="31">
        <f>MAX(A$1:A82)+1</f>
        <v>15</v>
      </c>
      <c r="B83" s="121"/>
      <c r="C83" s="213">
        <v>92030301</v>
      </c>
      <c r="D83" s="214"/>
      <c r="E83" s="52" t="s">
        <v>718</v>
      </c>
      <c r="F83" s="184"/>
      <c r="G83" s="24" t="s">
        <v>5</v>
      </c>
      <c r="H83" s="51">
        <v>120</v>
      </c>
      <c r="I83" s="381"/>
      <c r="J83" s="30">
        <f t="shared" ref="J83" si="14">I83*H83</f>
        <v>0</v>
      </c>
    </row>
    <row r="84" spans="1:10" ht="25.5">
      <c r="A84" s="31"/>
      <c r="B84" s="121"/>
      <c r="C84" s="216"/>
      <c r="D84" s="215">
        <v>9203030105</v>
      </c>
      <c r="E84" s="56" t="s">
        <v>719</v>
      </c>
      <c r="F84" s="188"/>
      <c r="G84" s="58" t="s">
        <v>5</v>
      </c>
      <c r="H84" s="46">
        <v>120</v>
      </c>
      <c r="I84" s="46"/>
      <c r="J84" s="46"/>
    </row>
    <row r="85" spans="1:10">
      <c r="A85" s="31"/>
      <c r="B85" s="121"/>
      <c r="C85" s="54"/>
      <c r="D85" s="55"/>
      <c r="E85" s="92" t="s">
        <v>720</v>
      </c>
      <c r="F85" s="47">
        <v>120</v>
      </c>
      <c r="G85" s="58"/>
      <c r="H85" s="46"/>
      <c r="I85" s="46"/>
      <c r="J85" s="46"/>
    </row>
    <row r="86" spans="1:10">
      <c r="A86" s="31"/>
      <c r="B86" s="121"/>
      <c r="C86" s="54"/>
      <c r="D86" s="55"/>
      <c r="E86" s="92"/>
      <c r="F86" s="84"/>
      <c r="G86" s="58"/>
      <c r="H86" s="46"/>
      <c r="I86" s="46"/>
      <c r="J86" s="46"/>
    </row>
    <row r="87" spans="1:10" ht="13.5" thickBot="1">
      <c r="A87" s="218"/>
      <c r="B87" s="219"/>
      <c r="C87" s="109"/>
      <c r="D87" s="110"/>
      <c r="E87" s="220"/>
      <c r="F87" s="107"/>
      <c r="G87" s="112"/>
      <c r="H87" s="221"/>
      <c r="I87" s="221"/>
      <c r="J87" s="221"/>
    </row>
    <row r="88" spans="1:10" s="226" customFormat="1" ht="13.5" thickBot="1">
      <c r="A88" s="222"/>
      <c r="B88" s="223"/>
      <c r="C88" s="223"/>
      <c r="D88" s="223"/>
      <c r="E88" s="223" t="s">
        <v>741</v>
      </c>
      <c r="F88" s="224"/>
      <c r="G88" s="223"/>
      <c r="H88" s="224"/>
      <c r="I88" s="224"/>
      <c r="J88" s="225">
        <f>SUM(J5:J87)</f>
        <v>0</v>
      </c>
    </row>
  </sheetData>
  <sheetProtection algorithmName="SHA-512" hashValue="IH135qB14RBHMmLNl10LToXsjO1eZakrIEt7Aub7f2kPfPxbCXv3HTHmLlhXldWJSBph2VTPKyfmtBONsi1Q0g==" saltValue="Mf03cergvbvSNCxj0vRjbg==" spinCount="100000" sheet="1" objects="1" scenarios="1"/>
  <mergeCells count="6">
    <mergeCell ref="J3:J4"/>
    <mergeCell ref="A3:C3"/>
    <mergeCell ref="E3:F4"/>
    <mergeCell ref="G3:G4"/>
    <mergeCell ref="H3:H4"/>
    <mergeCell ref="I3:I4"/>
  </mergeCells>
  <pageMargins left="0.39370078740157483" right="0.19685039370078741" top="0.98425196850393704" bottom="0.98425196850393704" header="0.51181102362204722" footer="0.51181102362204722"/>
  <pageSetup paperSize="9" scale="72" orientation="portrait" r:id="rId1"/>
  <headerFooter>
    <oddHeader>&amp;LNÁZOV STAVIEB : Rekonštrukcia a obnova mostov na cestách III. triedy BBSK, oblasť JUH
STAVBA : Most ev.č.2610-12,C III/2610 v km 12,678 – Čeláre
&amp;RO. Výkaz výmer a rozpočet</oddHeader>
    <oddFooter>&amp;C&amp;P</oddFooter>
  </headerFooter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>
  <f:record>
    <f:field ref="objname" par="" text="Zadanie_ev_c_2610-12" edit="true"/>
    <f:field ref="objsubject" par="" text="" edit="true"/>
    <f:field ref="objcreatedby" par="" text="Marko, Stanislav, Ing."/>
    <f:field ref="objcreatedat" par="" date="2023-11-20T08:21:33" text="20. 11. 2023 8:21:33"/>
    <f:field ref="objchangedby" par="" text="Marko, Stanislav, Ing."/>
    <f:field ref="objmodifiedat" par="" date="2023-11-20T08:21:36" text="20. 11. 2023 8:21:36"/>
    <f:field ref="doc_FSCFOLIO_1_1001_FieldDocumentNumber" par="" text=""/>
    <f:field ref="doc_FSCFOLIO_1_1001_FieldSubject" par="" text="" edit="true"/>
    <f:field ref="FSCFOLIO_1_1001_FieldCurrentUser" par="" text="Mgr. Marta Juríčková"/>
    <f:field ref="CCAPRECONFIG_15_1001_Objektname" par="" text="Zadanie_ev_c_2610-12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11</vt:i4>
      </vt:variant>
    </vt:vector>
  </HeadingPairs>
  <TitlesOfParts>
    <vt:vector size="18" baseType="lpstr">
      <vt:lpstr>Rekapitulácia</vt:lpstr>
      <vt:lpstr>Rekapitulácia objektov</vt:lpstr>
      <vt:lpstr>001-00</vt:lpstr>
      <vt:lpstr>120-00</vt:lpstr>
      <vt:lpstr>121-00</vt:lpstr>
      <vt:lpstr>204-00</vt:lpstr>
      <vt:lpstr>651-00</vt:lpstr>
      <vt:lpstr>'001-00'!Názvy_tlače</vt:lpstr>
      <vt:lpstr>'120-00'!Názvy_tlače</vt:lpstr>
      <vt:lpstr>'121-00'!Názvy_tlače</vt:lpstr>
      <vt:lpstr>'204-00'!Názvy_tlače</vt:lpstr>
      <vt:lpstr>'651-00'!Názvy_tlače</vt:lpstr>
      <vt:lpstr>'Rekapitulácia objektov'!Názvy_tlače</vt:lpstr>
      <vt:lpstr>'001-00'!Oblasť_tlače</vt:lpstr>
      <vt:lpstr>'120-00'!Oblasť_tlače</vt:lpstr>
      <vt:lpstr>'121-00'!Oblasť_tlače</vt:lpstr>
      <vt:lpstr>'204-00'!Oblasť_tlače</vt:lpstr>
      <vt:lpstr>'651-00'!Oblasť_tlače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Ažaltovičová Alena Ing.</dc:creator>
  <cp:lastModifiedBy>Hornáček Peter Ing.</cp:lastModifiedBy>
  <cp:lastPrinted>2020-11-02T13:11:44Z</cp:lastPrinted>
  <dcterms:created xsi:type="dcterms:W3CDTF">2006-07-18T11:06:48Z</dcterms:created>
  <dcterms:modified xsi:type="dcterms:W3CDTF">2023-11-14T10:06:43Z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KBBSK@103.510:viz_AttrStrFileSubject" pid="2" fmtid="{D5CDD505-2E9C-101B-9397-08002B2CF9AE}">
    <vt:lpwstr/>
  </property>
  <property name="FSC#SKBBSK@103.510:viz_AttrStrCisloZmluvy" pid="3" fmtid="{D5CDD505-2E9C-101B-9397-08002B2CF9AE}">
    <vt:lpwstr/>
  </property>
  <property name="FSC#SKBBSK@103.510:viz_AttrStrCisloDodatku" pid="4" fmtid="{D5CDD505-2E9C-101B-9397-08002B2CF9AE}">
    <vt:lpwstr/>
  </property>
  <property name="FSC#SKBBSK@103.510:viz_AttrStrCisloZmlVDodatku" pid="5" fmtid="{D5CDD505-2E9C-101B-9397-08002B2CF9AE}">
    <vt:lpwstr/>
  </property>
  <property name="FSC#SKEDITIONREG@103.510:a_acceptor" pid="6" fmtid="{D5CDD505-2E9C-101B-9397-08002B2CF9AE}">
    <vt:lpwstr/>
  </property>
  <property name="FSC#SKEDITIONREG@103.510:a_clearedat" pid="7" fmtid="{D5CDD505-2E9C-101B-9397-08002B2CF9AE}">
    <vt:lpwstr/>
  </property>
  <property name="FSC#SKEDITIONREG@103.510:a_clearedby" pid="8" fmtid="{D5CDD505-2E9C-101B-9397-08002B2CF9AE}">
    <vt:lpwstr/>
  </property>
  <property name="FSC#SKEDITIONREG@103.510:a_comm" pid="9" fmtid="{D5CDD505-2E9C-101B-9397-08002B2CF9AE}">
    <vt:lpwstr/>
  </property>
  <property name="FSC#SKEDITIONREG@103.510:a_decisionattachments" pid="10" fmtid="{D5CDD505-2E9C-101B-9397-08002B2CF9AE}">
    <vt:lpwstr/>
  </property>
  <property name="FSC#SKEDITIONREG@103.510:a_deliveredat" pid="11" fmtid="{D5CDD505-2E9C-101B-9397-08002B2CF9AE}">
    <vt:lpwstr/>
  </property>
  <property name="FSC#SKEDITIONREG@103.510:a_delivery" pid="12" fmtid="{D5CDD505-2E9C-101B-9397-08002B2CF9AE}">
    <vt:lpwstr/>
  </property>
  <property name="FSC#SKEDITIONREG@103.510:a_extension" pid="13" fmtid="{D5CDD505-2E9C-101B-9397-08002B2CF9AE}">
    <vt:lpwstr/>
  </property>
  <property name="FSC#SKEDITIONREG@103.510:a_filenumber" pid="14" fmtid="{D5CDD505-2E9C-101B-9397-08002B2CF9AE}">
    <vt:lpwstr/>
  </property>
  <property name="FSC#SKEDITIONREG@103.510:a_fileresponsible" pid="15" fmtid="{D5CDD505-2E9C-101B-9397-08002B2CF9AE}">
    <vt:lpwstr/>
  </property>
  <property name="FSC#SKEDITIONREG@103.510:a_fileresporg" pid="16" fmtid="{D5CDD505-2E9C-101B-9397-08002B2CF9AE}">
    <vt:lpwstr/>
  </property>
  <property name="FSC#SKEDITIONREG@103.510:a_fileresporg_email_OU" pid="17" fmtid="{D5CDD505-2E9C-101B-9397-08002B2CF9AE}">
    <vt:lpwstr/>
  </property>
  <property name="FSC#SKEDITIONREG@103.510:a_fileresporg_emailaddress" pid="18" fmtid="{D5CDD505-2E9C-101B-9397-08002B2CF9AE}">
    <vt:lpwstr/>
  </property>
  <property name="FSC#SKEDITIONREG@103.510:a_fileresporg_fax" pid="19" fmtid="{D5CDD505-2E9C-101B-9397-08002B2CF9AE}">
    <vt:lpwstr/>
  </property>
  <property name="FSC#SKEDITIONREG@103.510:a_fileresporg_fax_OU" pid="20" fmtid="{D5CDD505-2E9C-101B-9397-08002B2CF9AE}">
    <vt:lpwstr/>
  </property>
  <property name="FSC#SKEDITIONREG@103.510:a_fileresporg_function" pid="21" fmtid="{D5CDD505-2E9C-101B-9397-08002B2CF9AE}">
    <vt:lpwstr/>
  </property>
  <property name="FSC#SKEDITIONREG@103.510:a_fileresporg_function_OU" pid="22" fmtid="{D5CDD505-2E9C-101B-9397-08002B2CF9AE}">
    <vt:lpwstr/>
  </property>
  <property name="FSC#SKEDITIONREG@103.510:a_fileresporg_head" pid="23" fmtid="{D5CDD505-2E9C-101B-9397-08002B2CF9AE}">
    <vt:lpwstr/>
  </property>
  <property name="FSC#SKEDITIONREG@103.510:a_fileresporg_head_OU" pid="24" fmtid="{D5CDD505-2E9C-101B-9397-08002B2CF9AE}">
    <vt:lpwstr/>
  </property>
  <property name="FSC#SKEDITIONREG@103.510:a_fileresporg_OU" pid="25" fmtid="{D5CDD505-2E9C-101B-9397-08002B2CF9AE}">
    <vt:lpwstr/>
  </property>
  <property name="FSC#SKEDITIONREG@103.510:a_fileresporg_phone" pid="26" fmtid="{D5CDD505-2E9C-101B-9397-08002B2CF9AE}">
    <vt:lpwstr/>
  </property>
  <property name="FSC#SKEDITIONREG@103.510:a_fileresporg_phone_OU" pid="27" fmtid="{D5CDD505-2E9C-101B-9397-08002B2CF9AE}">
    <vt:lpwstr/>
  </property>
  <property name="FSC#SKEDITIONREG@103.510:a_incattachments" pid="28" fmtid="{D5CDD505-2E9C-101B-9397-08002B2CF9AE}">
    <vt:lpwstr/>
  </property>
  <property name="FSC#SKEDITIONREG@103.510:a_incnr" pid="29" fmtid="{D5CDD505-2E9C-101B-9397-08002B2CF9AE}">
    <vt:lpwstr/>
  </property>
  <property name="FSC#SKEDITIONREG@103.510:a_objcreatedstr" pid="30" fmtid="{D5CDD505-2E9C-101B-9397-08002B2CF9AE}">
    <vt:lpwstr/>
  </property>
  <property name="FSC#SKEDITIONREG@103.510:a_ordernumber" pid="31" fmtid="{D5CDD505-2E9C-101B-9397-08002B2CF9AE}">
    <vt:lpwstr/>
  </property>
  <property name="FSC#SKEDITIONREG@103.510:a_oursign" pid="32" fmtid="{D5CDD505-2E9C-101B-9397-08002B2CF9AE}">
    <vt:lpwstr/>
  </property>
  <property name="FSC#SKEDITIONREG@103.510:a_sendersign" pid="33" fmtid="{D5CDD505-2E9C-101B-9397-08002B2CF9AE}">
    <vt:lpwstr/>
  </property>
  <property name="FSC#SKEDITIONREG@103.510:a_shortou" pid="34" fmtid="{D5CDD505-2E9C-101B-9397-08002B2CF9AE}">
    <vt:lpwstr/>
  </property>
  <property name="FSC#SKEDITIONREG@103.510:a_testsalutation" pid="35" fmtid="{D5CDD505-2E9C-101B-9397-08002B2CF9AE}">
    <vt:lpwstr/>
  </property>
  <property name="FSC#SKEDITIONREG@103.510:a_validfrom" pid="36" fmtid="{D5CDD505-2E9C-101B-9397-08002B2CF9AE}">
    <vt:lpwstr/>
  </property>
  <property name="FSC#SKEDITIONREG@103.510:as_activity" pid="37" fmtid="{D5CDD505-2E9C-101B-9397-08002B2CF9AE}">
    <vt:lpwstr/>
  </property>
  <property name="FSC#SKEDITIONREG@103.510:as_docdate" pid="38" fmtid="{D5CDD505-2E9C-101B-9397-08002B2CF9AE}">
    <vt:lpwstr/>
  </property>
  <property name="FSC#SKEDITIONREG@103.510:as_establishdate" pid="39" fmtid="{D5CDD505-2E9C-101B-9397-08002B2CF9AE}">
    <vt:lpwstr/>
  </property>
  <property name="FSC#SKEDITIONREG@103.510:as_fileresphead" pid="40" fmtid="{D5CDD505-2E9C-101B-9397-08002B2CF9AE}">
    <vt:lpwstr/>
  </property>
  <property name="FSC#SKEDITIONREG@103.510:as_filerespheadfnct" pid="41" fmtid="{D5CDD505-2E9C-101B-9397-08002B2CF9AE}">
    <vt:lpwstr/>
  </property>
  <property name="FSC#SKEDITIONREG@103.510:as_fileresponsible" pid="42" fmtid="{D5CDD505-2E9C-101B-9397-08002B2CF9AE}">
    <vt:lpwstr/>
  </property>
  <property name="FSC#SKEDITIONREG@103.510:as_filesubj" pid="43" fmtid="{D5CDD505-2E9C-101B-9397-08002B2CF9AE}">
    <vt:lpwstr/>
  </property>
  <property name="FSC#SKEDITIONREG@103.510:as_objname" pid="44" fmtid="{D5CDD505-2E9C-101B-9397-08002B2CF9AE}">
    <vt:lpwstr/>
  </property>
  <property name="FSC#SKEDITIONREG@103.510:as_ou" pid="45" fmtid="{D5CDD505-2E9C-101B-9397-08002B2CF9AE}">
    <vt:lpwstr/>
  </property>
  <property name="FSC#SKEDITIONREG@103.510:as_owner" pid="46" fmtid="{D5CDD505-2E9C-101B-9397-08002B2CF9AE}">
    <vt:lpwstr>JUDr. Ivana Mesiariková</vt:lpwstr>
  </property>
  <property name="FSC#SKEDITIONREG@103.510:as_phonelink" pid="47" fmtid="{D5CDD505-2E9C-101B-9397-08002B2CF9AE}">
    <vt:lpwstr/>
  </property>
  <property name="FSC#SKEDITIONREG@103.510:oz_externAdr" pid="48" fmtid="{D5CDD505-2E9C-101B-9397-08002B2CF9AE}">
    <vt:lpwstr/>
  </property>
  <property name="FSC#SKEDITIONREG@103.510:a_depositperiod" pid="49" fmtid="{D5CDD505-2E9C-101B-9397-08002B2CF9AE}">
    <vt:lpwstr/>
  </property>
  <property name="FSC#SKEDITIONREG@103.510:a_disposestate" pid="50" fmtid="{D5CDD505-2E9C-101B-9397-08002B2CF9AE}">
    <vt:lpwstr/>
  </property>
  <property name="FSC#SKEDITIONREG@103.510:a_fileresponsiblefnct" pid="51" fmtid="{D5CDD505-2E9C-101B-9397-08002B2CF9AE}">
    <vt:lpwstr/>
  </property>
  <property name="FSC#SKEDITIONREG@103.510:a_fileresporg_position" pid="52" fmtid="{D5CDD505-2E9C-101B-9397-08002B2CF9AE}">
    <vt:lpwstr/>
  </property>
  <property name="FSC#SKEDITIONREG@103.510:a_fileresporg_position_OU" pid="53" fmtid="{D5CDD505-2E9C-101B-9397-08002B2CF9AE}">
    <vt:lpwstr/>
  </property>
  <property name="FSC#SKEDITIONREG@103.510:a_osobnecislosprac" pid="54" fmtid="{D5CDD505-2E9C-101B-9397-08002B2CF9AE}">
    <vt:lpwstr/>
  </property>
  <property name="FSC#SKEDITIONREG@103.510:a_registrysign" pid="55" fmtid="{D5CDD505-2E9C-101B-9397-08002B2CF9AE}">
    <vt:lpwstr/>
  </property>
  <property name="FSC#SKEDITIONREG@103.510:a_subfileatt" pid="56" fmtid="{D5CDD505-2E9C-101B-9397-08002B2CF9AE}">
    <vt:lpwstr/>
  </property>
  <property name="FSC#SKEDITIONREG@103.510:as_filesubjall" pid="57" fmtid="{D5CDD505-2E9C-101B-9397-08002B2CF9AE}">
    <vt:lpwstr/>
  </property>
  <property name="FSC#SKEDITIONREG@103.510:CreatedAt" pid="58" fmtid="{D5CDD505-2E9C-101B-9397-08002B2CF9AE}">
    <vt:lpwstr>20. 11. 2023, 08:21</vt:lpwstr>
  </property>
  <property name="FSC#SKEDITIONREG@103.510:curruserrolegroup" pid="59" fmtid="{D5CDD505-2E9C-101B-9397-08002B2CF9AE}">
    <vt:lpwstr>Oddelenie verejného obstarávania</vt:lpwstr>
  </property>
  <property name="FSC#SKEDITIONREG@103.510:currusersubst" pid="60" fmtid="{D5CDD505-2E9C-101B-9397-08002B2CF9AE}">
    <vt:lpwstr>Mgr. Marta Juríčková</vt:lpwstr>
  </property>
  <property name="FSC#SKEDITIONREG@103.510:emailsprac" pid="61" fmtid="{D5CDD505-2E9C-101B-9397-08002B2CF9AE}">
    <vt:lpwstr/>
  </property>
  <property name="FSC#SKEDITIONREG@103.510:ms_VyskladaniePoznamok" pid="62" fmtid="{D5CDD505-2E9C-101B-9397-08002B2CF9AE}">
    <vt:lpwstr/>
  </property>
  <property name="FSC#SKEDITIONREG@103.510:oumlname_fnct" pid="63" fmtid="{D5CDD505-2E9C-101B-9397-08002B2CF9AE}">
    <vt:lpwstr/>
  </property>
  <property name="FSC#SKEDITIONREG@103.510:sk_org_city" pid="64" fmtid="{D5CDD505-2E9C-101B-9397-08002B2CF9AE}">
    <vt:lpwstr>Banská Bystrica</vt:lpwstr>
  </property>
  <property name="FSC#SKEDITIONREG@103.510:sk_org_dic" pid="65" fmtid="{D5CDD505-2E9C-101B-9397-08002B2CF9AE}">
    <vt:lpwstr/>
  </property>
  <property name="FSC#SKEDITIONREG@103.510:sk_org_email" pid="66" fmtid="{D5CDD505-2E9C-101B-9397-08002B2CF9AE}">
    <vt:lpwstr>podatelna@bbsk.sk</vt:lpwstr>
  </property>
  <property name="FSC#SKEDITIONREG@103.510:sk_org_fax" pid="67" fmtid="{D5CDD505-2E9C-101B-9397-08002B2CF9AE}">
    <vt:lpwstr/>
  </property>
  <property name="FSC#SKEDITIONREG@103.510:sk_org_fullname" pid="68" fmtid="{D5CDD505-2E9C-101B-9397-08002B2CF9AE}">
    <vt:lpwstr>Banskobystrický samosprávny kraj</vt:lpwstr>
  </property>
  <property name="FSC#SKEDITIONREG@103.510:sk_org_ico" pid="69" fmtid="{D5CDD505-2E9C-101B-9397-08002B2CF9AE}">
    <vt:lpwstr>37828100</vt:lpwstr>
  </property>
  <property name="FSC#SKEDITIONREG@103.510:sk_org_phone" pid="70" fmtid="{D5CDD505-2E9C-101B-9397-08002B2CF9AE}">
    <vt:lpwstr>048/4325111</vt:lpwstr>
  </property>
  <property name="FSC#SKEDITIONREG@103.510:sk_org_shortname" pid="71" fmtid="{D5CDD505-2E9C-101B-9397-08002B2CF9AE}">
    <vt:lpwstr/>
  </property>
  <property name="FSC#SKEDITIONREG@103.510:sk_org_state" pid="72" fmtid="{D5CDD505-2E9C-101B-9397-08002B2CF9AE}">
    <vt:lpwstr/>
  </property>
  <property name="FSC#SKEDITIONREG@103.510:sk_org_street" pid="73" fmtid="{D5CDD505-2E9C-101B-9397-08002B2CF9AE}">
    <vt:lpwstr>Námestie SNP 23/23</vt:lpwstr>
  </property>
  <property name="FSC#SKEDITIONREG@103.510:sk_org_zip" pid="74" fmtid="{D5CDD505-2E9C-101B-9397-08002B2CF9AE}">
    <vt:lpwstr>974 01</vt:lpwstr>
  </property>
  <property name="FSC#SKEDITIONREG@103.510:viz_clearedat" pid="75" fmtid="{D5CDD505-2E9C-101B-9397-08002B2CF9AE}">
    <vt:lpwstr/>
  </property>
  <property name="FSC#SKEDITIONREG@103.510:viz_clearedby" pid="76" fmtid="{D5CDD505-2E9C-101B-9397-08002B2CF9AE}">
    <vt:lpwstr/>
  </property>
  <property name="FSC#SKEDITIONREG@103.510:viz_comm" pid="77" fmtid="{D5CDD505-2E9C-101B-9397-08002B2CF9AE}">
    <vt:lpwstr/>
  </property>
  <property name="FSC#SKEDITIONREG@103.510:viz_decisionattachments" pid="78" fmtid="{D5CDD505-2E9C-101B-9397-08002B2CF9AE}">
    <vt:lpwstr/>
  </property>
  <property name="FSC#SKEDITIONREG@103.510:viz_deliveredat" pid="79" fmtid="{D5CDD505-2E9C-101B-9397-08002B2CF9AE}">
    <vt:lpwstr/>
  </property>
  <property name="FSC#SKEDITIONREG@103.510:viz_delivery" pid="80" fmtid="{D5CDD505-2E9C-101B-9397-08002B2CF9AE}">
    <vt:lpwstr/>
  </property>
  <property name="FSC#SKEDITIONREG@103.510:viz_extension" pid="81" fmtid="{D5CDD505-2E9C-101B-9397-08002B2CF9AE}">
    <vt:lpwstr/>
  </property>
  <property name="FSC#SKEDITIONREG@103.510:viz_filenumber" pid="82" fmtid="{D5CDD505-2E9C-101B-9397-08002B2CF9AE}">
    <vt:lpwstr/>
  </property>
  <property name="FSC#SKEDITIONREG@103.510:viz_fileresponsible" pid="83" fmtid="{D5CDD505-2E9C-101B-9397-08002B2CF9AE}">
    <vt:lpwstr/>
  </property>
  <property name="FSC#SKEDITIONREG@103.510:viz_fileresporg" pid="84" fmtid="{D5CDD505-2E9C-101B-9397-08002B2CF9AE}">
    <vt:lpwstr/>
  </property>
  <property name="FSC#SKEDITIONREG@103.510:viz_fileresporg_email_OU" pid="85" fmtid="{D5CDD505-2E9C-101B-9397-08002B2CF9AE}">
    <vt:lpwstr/>
  </property>
  <property name="FSC#SKEDITIONREG@103.510:viz_fileresporg_emailaddress" pid="86" fmtid="{D5CDD505-2E9C-101B-9397-08002B2CF9AE}">
    <vt:lpwstr/>
  </property>
  <property name="FSC#SKEDITIONREG@103.510:viz_fileresporg_fax" pid="87" fmtid="{D5CDD505-2E9C-101B-9397-08002B2CF9AE}">
    <vt:lpwstr/>
  </property>
  <property name="FSC#SKEDITIONREG@103.510:viz_fileresporg_fax_OU" pid="88" fmtid="{D5CDD505-2E9C-101B-9397-08002B2CF9AE}">
    <vt:lpwstr/>
  </property>
  <property name="FSC#SKEDITIONREG@103.510:viz_fileresporg_function" pid="89" fmtid="{D5CDD505-2E9C-101B-9397-08002B2CF9AE}">
    <vt:lpwstr/>
  </property>
  <property name="FSC#SKEDITIONREG@103.510:viz_fileresporg_function_OU" pid="90" fmtid="{D5CDD505-2E9C-101B-9397-08002B2CF9AE}">
    <vt:lpwstr/>
  </property>
  <property name="FSC#SKEDITIONREG@103.510:viz_fileresporg_head" pid="91" fmtid="{D5CDD505-2E9C-101B-9397-08002B2CF9AE}">
    <vt:lpwstr/>
  </property>
  <property name="FSC#SKEDITIONREG@103.510:viz_fileresporg_head_OU" pid="92" fmtid="{D5CDD505-2E9C-101B-9397-08002B2CF9AE}">
    <vt:lpwstr/>
  </property>
  <property name="FSC#SKEDITIONREG@103.510:viz_fileresporg_longname" pid="93" fmtid="{D5CDD505-2E9C-101B-9397-08002B2CF9AE}">
    <vt:lpwstr/>
  </property>
  <property name="FSC#SKEDITIONREG@103.510:viz_fileresporg_mesto" pid="94" fmtid="{D5CDD505-2E9C-101B-9397-08002B2CF9AE}">
    <vt:lpwstr/>
  </property>
  <property name="FSC#SKEDITIONREG@103.510:viz_fileresporg_odbor" pid="95" fmtid="{D5CDD505-2E9C-101B-9397-08002B2CF9AE}">
    <vt:lpwstr/>
  </property>
  <property name="FSC#SKEDITIONREG@103.510:viz_fileresporg_odbor_function" pid="96" fmtid="{D5CDD505-2E9C-101B-9397-08002B2CF9AE}">
    <vt:lpwstr/>
  </property>
  <property name="FSC#SKEDITIONREG@103.510:viz_fileresporg_odbor_head" pid="97" fmtid="{D5CDD505-2E9C-101B-9397-08002B2CF9AE}">
    <vt:lpwstr/>
  </property>
  <property name="FSC#SKEDITIONREG@103.510:viz_fileresporg_OU" pid="98" fmtid="{D5CDD505-2E9C-101B-9397-08002B2CF9AE}">
    <vt:lpwstr/>
  </property>
  <property name="FSC#SKEDITIONREG@103.510:viz_fileresporg_phone" pid="99" fmtid="{D5CDD505-2E9C-101B-9397-08002B2CF9AE}">
    <vt:lpwstr/>
  </property>
  <property name="FSC#SKEDITIONREG@103.510:viz_fileresporg_phone_OU" pid="100" fmtid="{D5CDD505-2E9C-101B-9397-08002B2CF9AE}">
    <vt:lpwstr/>
  </property>
  <property name="FSC#SKEDITIONREG@103.510:viz_fileresporg_position" pid="101" fmtid="{D5CDD505-2E9C-101B-9397-08002B2CF9AE}">
    <vt:lpwstr/>
  </property>
  <property name="FSC#SKEDITIONREG@103.510:viz_fileresporg_position_OU" pid="102" fmtid="{D5CDD505-2E9C-101B-9397-08002B2CF9AE}">
    <vt:lpwstr/>
  </property>
  <property name="FSC#SKEDITIONREG@103.510:viz_fileresporg_psc" pid="103" fmtid="{D5CDD505-2E9C-101B-9397-08002B2CF9AE}">
    <vt:lpwstr/>
  </property>
  <property name="FSC#SKEDITIONREG@103.510:viz_fileresporg_sekcia" pid="104" fmtid="{D5CDD505-2E9C-101B-9397-08002B2CF9AE}">
    <vt:lpwstr/>
  </property>
  <property name="FSC#SKEDITIONREG@103.510:viz_fileresporg_sekcia_function" pid="105" fmtid="{D5CDD505-2E9C-101B-9397-08002B2CF9AE}">
    <vt:lpwstr/>
  </property>
  <property name="FSC#SKEDITIONREG@103.510:viz_fileresporg_sekcia_head" pid="106" fmtid="{D5CDD505-2E9C-101B-9397-08002B2CF9AE}">
    <vt:lpwstr/>
  </property>
  <property name="FSC#SKEDITIONREG@103.510:viz_fileresporg_stat" pid="107" fmtid="{D5CDD505-2E9C-101B-9397-08002B2CF9AE}">
    <vt:lpwstr/>
  </property>
  <property name="FSC#SKEDITIONREG@103.510:viz_fileresporg_ulica" pid="108" fmtid="{D5CDD505-2E9C-101B-9397-08002B2CF9AE}">
    <vt:lpwstr/>
  </property>
  <property name="FSC#SKEDITIONREG@103.510:viz_fileresporgknazov" pid="109" fmtid="{D5CDD505-2E9C-101B-9397-08002B2CF9AE}">
    <vt:lpwstr/>
  </property>
  <property name="FSC#SKEDITIONREG@103.510:viz_filesubj" pid="110" fmtid="{D5CDD505-2E9C-101B-9397-08002B2CF9AE}">
    <vt:lpwstr/>
  </property>
  <property name="FSC#SKEDITIONREG@103.510:viz_incattachments" pid="111" fmtid="{D5CDD505-2E9C-101B-9397-08002B2CF9AE}">
    <vt:lpwstr/>
  </property>
  <property name="FSC#SKEDITIONREG@103.510:viz_incnr" pid="112" fmtid="{D5CDD505-2E9C-101B-9397-08002B2CF9AE}">
    <vt:lpwstr/>
  </property>
  <property name="FSC#SKEDITIONREG@103.510:viz_intletterrecivers" pid="113" fmtid="{D5CDD505-2E9C-101B-9397-08002B2CF9AE}">
    <vt:lpwstr/>
  </property>
  <property name="FSC#SKEDITIONREG@103.510:viz_objcreatedstr" pid="114" fmtid="{D5CDD505-2E9C-101B-9397-08002B2CF9AE}">
    <vt:lpwstr/>
  </property>
  <property name="FSC#SKEDITIONREG@103.510:viz_ordernumber" pid="115" fmtid="{D5CDD505-2E9C-101B-9397-08002B2CF9AE}">
    <vt:lpwstr/>
  </property>
  <property name="FSC#SKEDITIONREG@103.510:viz_oursign" pid="116" fmtid="{D5CDD505-2E9C-101B-9397-08002B2CF9AE}">
    <vt:lpwstr/>
  </property>
  <property name="FSC#SKEDITIONREG@103.510:viz_responseto_createdby" pid="117" fmtid="{D5CDD505-2E9C-101B-9397-08002B2CF9AE}">
    <vt:lpwstr/>
  </property>
  <property name="FSC#SKEDITIONREG@103.510:viz_sendersign" pid="118" fmtid="{D5CDD505-2E9C-101B-9397-08002B2CF9AE}">
    <vt:lpwstr/>
  </property>
  <property name="FSC#SKEDITIONREG@103.510:viz_shortfileresporg" pid="119" fmtid="{D5CDD505-2E9C-101B-9397-08002B2CF9AE}">
    <vt:lpwstr/>
  </property>
  <property name="FSC#SKEDITIONREG@103.510:viz_tel_number" pid="120" fmtid="{D5CDD505-2E9C-101B-9397-08002B2CF9AE}">
    <vt:lpwstr/>
  </property>
  <property name="FSC#SKEDITIONREG@103.510:viz_tel_number2" pid="121" fmtid="{D5CDD505-2E9C-101B-9397-08002B2CF9AE}">
    <vt:lpwstr/>
  </property>
  <property name="FSC#SKEDITIONREG@103.510:viz_testsalutation" pid="122" fmtid="{D5CDD505-2E9C-101B-9397-08002B2CF9AE}">
    <vt:lpwstr/>
  </property>
  <property name="FSC#SKEDITIONREG@103.510:viz_validfrom" pid="123" fmtid="{D5CDD505-2E9C-101B-9397-08002B2CF9AE}">
    <vt:lpwstr/>
  </property>
  <property name="FSC#SKEDITIONREG@103.510:zaznam_jeden_adresat" pid="124" fmtid="{D5CDD505-2E9C-101B-9397-08002B2CF9AE}">
    <vt:lpwstr/>
  </property>
  <property name="FSC#SKEDITIONREG@103.510:zaznam_vnut_adresati_1" pid="125" fmtid="{D5CDD505-2E9C-101B-9397-08002B2CF9AE}">
    <vt:lpwstr/>
  </property>
  <property name="FSC#SKEDITIONREG@103.510:zaznam_vnut_adresati_2" pid="126" fmtid="{D5CDD505-2E9C-101B-9397-08002B2CF9AE}">
    <vt:lpwstr/>
  </property>
  <property name="FSC#SKEDITIONREG@103.510:zaznam_vnut_adresati_3" pid="127" fmtid="{D5CDD505-2E9C-101B-9397-08002B2CF9AE}">
    <vt:lpwstr/>
  </property>
  <property name="FSC#SKEDITIONREG@103.510:zaznam_vnut_adresati_4" pid="128" fmtid="{D5CDD505-2E9C-101B-9397-08002B2CF9AE}">
    <vt:lpwstr/>
  </property>
  <property name="FSC#SKEDITIONREG@103.510:zaznam_vnut_adresati_5" pid="129" fmtid="{D5CDD505-2E9C-101B-9397-08002B2CF9AE}">
    <vt:lpwstr/>
  </property>
  <property name="FSC#SKEDITIONREG@103.510:zaznam_vnut_adresati_6" pid="130" fmtid="{D5CDD505-2E9C-101B-9397-08002B2CF9AE}">
    <vt:lpwstr/>
  </property>
  <property name="FSC#SKEDITIONREG@103.510:zaznam_vnut_adresati_7" pid="131" fmtid="{D5CDD505-2E9C-101B-9397-08002B2CF9AE}">
    <vt:lpwstr/>
  </property>
  <property name="FSC#SKEDITIONREG@103.510:zaznam_vnut_adresati_8" pid="132" fmtid="{D5CDD505-2E9C-101B-9397-08002B2CF9AE}">
    <vt:lpwstr/>
  </property>
  <property name="FSC#SKEDITIONREG@103.510:zaznam_vnut_adresati_9" pid="133" fmtid="{D5CDD505-2E9C-101B-9397-08002B2CF9AE}">
    <vt:lpwstr/>
  </property>
  <property name="FSC#SKEDITIONREG@103.510:zaznam_vnut_adresati_10" pid="134" fmtid="{D5CDD505-2E9C-101B-9397-08002B2CF9AE}">
    <vt:lpwstr/>
  </property>
  <property name="FSC#SKEDITIONREG@103.510:zaznam_vnut_adresati_11" pid="135" fmtid="{D5CDD505-2E9C-101B-9397-08002B2CF9AE}">
    <vt:lpwstr/>
  </property>
  <property name="FSC#SKEDITIONREG@103.510:zaznam_vnut_adresati_12" pid="136" fmtid="{D5CDD505-2E9C-101B-9397-08002B2CF9AE}">
    <vt:lpwstr/>
  </property>
  <property name="FSC#SKEDITIONREG@103.510:zaznam_vnut_adresati_13" pid="137" fmtid="{D5CDD505-2E9C-101B-9397-08002B2CF9AE}">
    <vt:lpwstr/>
  </property>
  <property name="FSC#SKEDITIONREG@103.510:zaznam_vnut_adresati_14" pid="138" fmtid="{D5CDD505-2E9C-101B-9397-08002B2CF9AE}">
    <vt:lpwstr/>
  </property>
  <property name="FSC#SKEDITIONREG@103.510:zaznam_vnut_adresati_15" pid="139" fmtid="{D5CDD505-2E9C-101B-9397-08002B2CF9AE}">
    <vt:lpwstr/>
  </property>
  <property name="FSC#SKEDITIONREG@103.510:zaznam_vnut_adresati_16" pid="140" fmtid="{D5CDD505-2E9C-101B-9397-08002B2CF9AE}">
    <vt:lpwstr/>
  </property>
  <property name="FSC#SKEDITIONREG@103.510:zaznam_vnut_adresati_17" pid="141" fmtid="{D5CDD505-2E9C-101B-9397-08002B2CF9AE}">
    <vt:lpwstr/>
  </property>
  <property name="FSC#SKEDITIONREG@103.510:zaznam_vnut_adresati_18" pid="142" fmtid="{D5CDD505-2E9C-101B-9397-08002B2CF9AE}">
    <vt:lpwstr/>
  </property>
  <property name="FSC#SKEDITIONREG@103.510:zaznam_vnut_adresati_19" pid="143" fmtid="{D5CDD505-2E9C-101B-9397-08002B2CF9AE}">
    <vt:lpwstr/>
  </property>
  <property name="FSC#SKEDITIONREG@103.510:zaznam_vnut_adresati_20" pid="144" fmtid="{D5CDD505-2E9C-101B-9397-08002B2CF9AE}">
    <vt:lpwstr/>
  </property>
  <property name="FSC#SKEDITIONREG@103.510:zaznam_vnut_adresati_21" pid="145" fmtid="{D5CDD505-2E9C-101B-9397-08002B2CF9AE}">
    <vt:lpwstr/>
  </property>
  <property name="FSC#SKEDITIONREG@103.510:zaznam_vnut_adresati_22" pid="146" fmtid="{D5CDD505-2E9C-101B-9397-08002B2CF9AE}">
    <vt:lpwstr/>
  </property>
  <property name="FSC#SKEDITIONREG@103.510:zaznam_vnut_adresati_23" pid="147" fmtid="{D5CDD505-2E9C-101B-9397-08002B2CF9AE}">
    <vt:lpwstr/>
  </property>
  <property name="FSC#SKEDITIONREG@103.510:zaznam_vnut_adresati_24" pid="148" fmtid="{D5CDD505-2E9C-101B-9397-08002B2CF9AE}">
    <vt:lpwstr/>
  </property>
  <property name="FSC#SKEDITIONREG@103.510:zaznam_vnut_adresati_25" pid="149" fmtid="{D5CDD505-2E9C-101B-9397-08002B2CF9AE}">
    <vt:lpwstr/>
  </property>
  <property name="FSC#SKEDITIONREG@103.510:zaznam_vnut_adresati_26" pid="150" fmtid="{D5CDD505-2E9C-101B-9397-08002B2CF9AE}">
    <vt:lpwstr/>
  </property>
  <property name="FSC#SKEDITIONREG@103.510:zaznam_vnut_adresati_27" pid="151" fmtid="{D5CDD505-2E9C-101B-9397-08002B2CF9AE}">
    <vt:lpwstr/>
  </property>
  <property name="FSC#SKEDITIONREG@103.510:zaznam_vnut_adresati_28" pid="152" fmtid="{D5CDD505-2E9C-101B-9397-08002B2CF9AE}">
    <vt:lpwstr/>
  </property>
  <property name="FSC#SKEDITIONREG@103.510:zaznam_vnut_adresati_29" pid="153" fmtid="{D5CDD505-2E9C-101B-9397-08002B2CF9AE}">
    <vt:lpwstr/>
  </property>
  <property name="FSC#SKEDITIONREG@103.510:zaznam_vnut_adresati_30" pid="154" fmtid="{D5CDD505-2E9C-101B-9397-08002B2CF9AE}">
    <vt:lpwstr/>
  </property>
  <property name="FSC#SKEDITIONREG@103.510:zaznam_vnut_adresati_31" pid="155" fmtid="{D5CDD505-2E9C-101B-9397-08002B2CF9AE}">
    <vt:lpwstr/>
  </property>
  <property name="FSC#SKEDITIONREG@103.510:zaznam_vnut_adresati_32" pid="156" fmtid="{D5CDD505-2E9C-101B-9397-08002B2CF9AE}">
    <vt:lpwstr/>
  </property>
  <property name="FSC#SKEDITIONREG@103.510:zaznam_vnut_adresati_33" pid="157" fmtid="{D5CDD505-2E9C-101B-9397-08002B2CF9AE}">
    <vt:lpwstr/>
  </property>
  <property name="FSC#SKEDITIONREG@103.510:zaznam_vnut_adresati_34" pid="158" fmtid="{D5CDD505-2E9C-101B-9397-08002B2CF9AE}">
    <vt:lpwstr/>
  </property>
  <property name="FSC#SKEDITIONREG@103.510:zaznam_vnut_adresati_35" pid="159" fmtid="{D5CDD505-2E9C-101B-9397-08002B2CF9AE}">
    <vt:lpwstr/>
  </property>
  <property name="FSC#SKEDITIONREG@103.510:zaznam_vnut_adresati_36" pid="160" fmtid="{D5CDD505-2E9C-101B-9397-08002B2CF9AE}">
    <vt:lpwstr/>
  </property>
  <property name="FSC#SKEDITIONREG@103.510:zaznam_vnut_adresati_37" pid="161" fmtid="{D5CDD505-2E9C-101B-9397-08002B2CF9AE}">
    <vt:lpwstr/>
  </property>
  <property name="FSC#SKEDITIONREG@103.510:zaznam_vnut_adresati_38" pid="162" fmtid="{D5CDD505-2E9C-101B-9397-08002B2CF9AE}">
    <vt:lpwstr/>
  </property>
  <property name="FSC#SKEDITIONREG@103.510:zaznam_vnut_adresati_39" pid="163" fmtid="{D5CDD505-2E9C-101B-9397-08002B2CF9AE}">
    <vt:lpwstr/>
  </property>
  <property name="FSC#SKEDITIONREG@103.510:zaznam_vnut_adresati_40" pid="164" fmtid="{D5CDD505-2E9C-101B-9397-08002B2CF9AE}">
    <vt:lpwstr/>
  </property>
  <property name="FSC#SKEDITIONREG@103.510:zaznam_vnut_adresati_41" pid="165" fmtid="{D5CDD505-2E9C-101B-9397-08002B2CF9AE}">
    <vt:lpwstr/>
  </property>
  <property name="FSC#SKEDITIONREG@103.510:zaznam_vnut_adresati_42" pid="166" fmtid="{D5CDD505-2E9C-101B-9397-08002B2CF9AE}">
    <vt:lpwstr/>
  </property>
  <property name="FSC#SKEDITIONREG@103.510:zaznam_vnut_adresati_43" pid="167" fmtid="{D5CDD505-2E9C-101B-9397-08002B2CF9AE}">
    <vt:lpwstr/>
  </property>
  <property name="FSC#SKEDITIONREG@103.510:zaznam_vnut_adresati_44" pid="168" fmtid="{D5CDD505-2E9C-101B-9397-08002B2CF9AE}">
    <vt:lpwstr/>
  </property>
  <property name="FSC#SKEDITIONREG@103.510:zaznam_vnut_adresati_45" pid="169" fmtid="{D5CDD505-2E9C-101B-9397-08002B2CF9AE}">
    <vt:lpwstr/>
  </property>
  <property name="FSC#SKEDITIONREG@103.510:zaznam_vnut_adresati_46" pid="170" fmtid="{D5CDD505-2E9C-101B-9397-08002B2CF9AE}">
    <vt:lpwstr/>
  </property>
  <property name="FSC#SKEDITIONREG@103.510:zaznam_vnut_adresati_47" pid="171" fmtid="{D5CDD505-2E9C-101B-9397-08002B2CF9AE}">
    <vt:lpwstr/>
  </property>
  <property name="FSC#SKEDITIONREG@103.510:zaznam_vnut_adresati_48" pid="172" fmtid="{D5CDD505-2E9C-101B-9397-08002B2CF9AE}">
    <vt:lpwstr/>
  </property>
  <property name="FSC#SKEDITIONREG@103.510:zaznam_vnut_adresati_49" pid="173" fmtid="{D5CDD505-2E9C-101B-9397-08002B2CF9AE}">
    <vt:lpwstr/>
  </property>
  <property name="FSC#SKEDITIONREG@103.510:zaznam_vnut_adresati_50" pid="174" fmtid="{D5CDD505-2E9C-101B-9397-08002B2CF9AE}">
    <vt:lpwstr/>
  </property>
  <property name="FSC#SKEDITIONREG@103.510:zaznam_vnut_adresati_51" pid="175" fmtid="{D5CDD505-2E9C-101B-9397-08002B2CF9AE}">
    <vt:lpwstr/>
  </property>
  <property name="FSC#SKEDITIONREG@103.510:zaznam_vnut_adresati_52" pid="176" fmtid="{D5CDD505-2E9C-101B-9397-08002B2CF9AE}">
    <vt:lpwstr/>
  </property>
  <property name="FSC#SKEDITIONREG@103.510:zaznam_vnut_adresati_53" pid="177" fmtid="{D5CDD505-2E9C-101B-9397-08002B2CF9AE}">
    <vt:lpwstr/>
  </property>
  <property name="FSC#SKEDITIONREG@103.510:zaznam_vnut_adresati_54" pid="178" fmtid="{D5CDD505-2E9C-101B-9397-08002B2CF9AE}">
    <vt:lpwstr/>
  </property>
  <property name="FSC#SKEDITIONREG@103.510:zaznam_vnut_adresati_55" pid="179" fmtid="{D5CDD505-2E9C-101B-9397-08002B2CF9AE}">
    <vt:lpwstr/>
  </property>
  <property name="FSC#SKEDITIONREG@103.510:zaznam_vnut_adresati_56" pid="180" fmtid="{D5CDD505-2E9C-101B-9397-08002B2CF9AE}">
    <vt:lpwstr/>
  </property>
  <property name="FSC#SKEDITIONREG@103.510:zaznam_vnut_adresati_57" pid="181" fmtid="{D5CDD505-2E9C-101B-9397-08002B2CF9AE}">
    <vt:lpwstr/>
  </property>
  <property name="FSC#SKEDITIONREG@103.510:zaznam_vnut_adresati_58" pid="182" fmtid="{D5CDD505-2E9C-101B-9397-08002B2CF9AE}">
    <vt:lpwstr/>
  </property>
  <property name="FSC#SKEDITIONREG@103.510:zaznam_vnut_adresati_59" pid="183" fmtid="{D5CDD505-2E9C-101B-9397-08002B2CF9AE}">
    <vt:lpwstr/>
  </property>
  <property name="FSC#SKEDITIONREG@103.510:zaznam_vnut_adresati_60" pid="184" fmtid="{D5CDD505-2E9C-101B-9397-08002B2CF9AE}">
    <vt:lpwstr/>
  </property>
  <property name="FSC#SKEDITIONREG@103.510:zaznam_vnut_adresati_61" pid="185" fmtid="{D5CDD505-2E9C-101B-9397-08002B2CF9AE}">
    <vt:lpwstr/>
  </property>
  <property name="FSC#SKEDITIONREG@103.510:zaznam_vnut_adresati_62" pid="186" fmtid="{D5CDD505-2E9C-101B-9397-08002B2CF9AE}">
    <vt:lpwstr/>
  </property>
  <property name="FSC#SKEDITIONREG@103.510:zaznam_vnut_adresati_63" pid="187" fmtid="{D5CDD505-2E9C-101B-9397-08002B2CF9AE}">
    <vt:lpwstr/>
  </property>
  <property name="FSC#SKEDITIONREG@103.510:zaznam_vnut_adresati_64" pid="188" fmtid="{D5CDD505-2E9C-101B-9397-08002B2CF9AE}">
    <vt:lpwstr/>
  </property>
  <property name="FSC#SKEDITIONREG@103.510:zaznam_vnut_adresati_65" pid="189" fmtid="{D5CDD505-2E9C-101B-9397-08002B2CF9AE}">
    <vt:lpwstr/>
  </property>
  <property name="FSC#SKEDITIONREG@103.510:zaznam_vnut_adresati_66" pid="190" fmtid="{D5CDD505-2E9C-101B-9397-08002B2CF9AE}">
    <vt:lpwstr/>
  </property>
  <property name="FSC#SKEDITIONREG@103.510:zaznam_vnut_adresati_67" pid="191" fmtid="{D5CDD505-2E9C-101B-9397-08002B2CF9AE}">
    <vt:lpwstr/>
  </property>
  <property name="FSC#SKEDITIONREG@103.510:zaznam_vnut_adresati_68" pid="192" fmtid="{D5CDD505-2E9C-101B-9397-08002B2CF9AE}">
    <vt:lpwstr/>
  </property>
  <property name="FSC#SKEDITIONREG@103.510:zaznam_vnut_adresati_69" pid="193" fmtid="{D5CDD505-2E9C-101B-9397-08002B2CF9AE}">
    <vt:lpwstr/>
  </property>
  <property name="FSC#SKEDITIONREG@103.510:zaznam_vnut_adresati_70" pid="194" fmtid="{D5CDD505-2E9C-101B-9397-08002B2CF9AE}">
    <vt:lpwstr/>
  </property>
  <property name="FSC#SKEDITIONREG@103.510:zaznam_vonk_adresati_1" pid="195" fmtid="{D5CDD505-2E9C-101B-9397-08002B2CF9AE}">
    <vt:lpwstr/>
  </property>
  <property name="FSC#SKEDITIONREG@103.510:zaznam_vonk_adresati_2" pid="196" fmtid="{D5CDD505-2E9C-101B-9397-08002B2CF9AE}">
    <vt:lpwstr/>
  </property>
  <property name="FSC#SKEDITIONREG@103.510:zaznam_vonk_adresati_3" pid="197" fmtid="{D5CDD505-2E9C-101B-9397-08002B2CF9AE}">
    <vt:lpwstr/>
  </property>
  <property name="FSC#SKEDITIONREG@103.510:zaznam_vonk_adresati_4" pid="198" fmtid="{D5CDD505-2E9C-101B-9397-08002B2CF9AE}">
    <vt:lpwstr/>
  </property>
  <property name="FSC#SKEDITIONREG@103.510:zaznam_vonk_adresati_5" pid="199" fmtid="{D5CDD505-2E9C-101B-9397-08002B2CF9AE}">
    <vt:lpwstr/>
  </property>
  <property name="FSC#SKEDITIONREG@103.510:zaznam_vonk_adresati_6" pid="200" fmtid="{D5CDD505-2E9C-101B-9397-08002B2CF9AE}">
    <vt:lpwstr/>
  </property>
  <property name="FSC#SKEDITIONREG@103.510:zaznam_vonk_adresati_7" pid="201" fmtid="{D5CDD505-2E9C-101B-9397-08002B2CF9AE}">
    <vt:lpwstr/>
  </property>
  <property name="FSC#SKEDITIONREG@103.510:zaznam_vonk_adresati_8" pid="202" fmtid="{D5CDD505-2E9C-101B-9397-08002B2CF9AE}">
    <vt:lpwstr/>
  </property>
  <property name="FSC#SKEDITIONREG@103.510:zaznam_vonk_adresati_9" pid="203" fmtid="{D5CDD505-2E9C-101B-9397-08002B2CF9AE}">
    <vt:lpwstr/>
  </property>
  <property name="FSC#SKEDITIONREG@103.510:zaznam_vonk_adresati_10" pid="204" fmtid="{D5CDD505-2E9C-101B-9397-08002B2CF9AE}">
    <vt:lpwstr/>
  </property>
  <property name="FSC#SKEDITIONREG@103.510:zaznam_vonk_adresati_11" pid="205" fmtid="{D5CDD505-2E9C-101B-9397-08002B2CF9AE}">
    <vt:lpwstr/>
  </property>
  <property name="FSC#SKEDITIONREG@103.510:zaznam_vonk_adresati_12" pid="206" fmtid="{D5CDD505-2E9C-101B-9397-08002B2CF9AE}">
    <vt:lpwstr/>
  </property>
  <property name="FSC#SKEDITIONREG@103.510:zaznam_vonk_adresati_13" pid="207" fmtid="{D5CDD505-2E9C-101B-9397-08002B2CF9AE}">
    <vt:lpwstr/>
  </property>
  <property name="FSC#SKEDITIONREG@103.510:zaznam_vonk_adresati_14" pid="208" fmtid="{D5CDD505-2E9C-101B-9397-08002B2CF9AE}">
    <vt:lpwstr/>
  </property>
  <property name="FSC#SKEDITIONREG@103.510:zaznam_vonk_adresati_15" pid="209" fmtid="{D5CDD505-2E9C-101B-9397-08002B2CF9AE}">
    <vt:lpwstr/>
  </property>
  <property name="FSC#SKEDITIONREG@103.510:zaznam_vonk_adresati_16" pid="210" fmtid="{D5CDD505-2E9C-101B-9397-08002B2CF9AE}">
    <vt:lpwstr/>
  </property>
  <property name="FSC#SKEDITIONREG@103.510:zaznam_vonk_adresati_17" pid="211" fmtid="{D5CDD505-2E9C-101B-9397-08002B2CF9AE}">
    <vt:lpwstr/>
  </property>
  <property name="FSC#SKEDITIONREG@103.510:zaznam_vonk_adresati_18" pid="212" fmtid="{D5CDD505-2E9C-101B-9397-08002B2CF9AE}">
    <vt:lpwstr/>
  </property>
  <property name="FSC#SKEDITIONREG@103.510:zaznam_vonk_adresati_19" pid="213" fmtid="{D5CDD505-2E9C-101B-9397-08002B2CF9AE}">
    <vt:lpwstr/>
  </property>
  <property name="FSC#SKEDITIONREG@103.510:zaznam_vonk_adresati_20" pid="214" fmtid="{D5CDD505-2E9C-101B-9397-08002B2CF9AE}">
    <vt:lpwstr/>
  </property>
  <property name="FSC#SKEDITIONREG@103.510:zaznam_vonk_adresati_21" pid="215" fmtid="{D5CDD505-2E9C-101B-9397-08002B2CF9AE}">
    <vt:lpwstr/>
  </property>
  <property name="FSC#SKEDITIONREG@103.510:zaznam_vonk_adresati_22" pid="216" fmtid="{D5CDD505-2E9C-101B-9397-08002B2CF9AE}">
    <vt:lpwstr/>
  </property>
  <property name="FSC#SKEDITIONREG@103.510:zaznam_vonk_adresati_23" pid="217" fmtid="{D5CDD505-2E9C-101B-9397-08002B2CF9AE}">
    <vt:lpwstr/>
  </property>
  <property name="FSC#SKEDITIONREG@103.510:zaznam_vonk_adresati_24" pid="218" fmtid="{D5CDD505-2E9C-101B-9397-08002B2CF9AE}">
    <vt:lpwstr/>
  </property>
  <property name="FSC#SKEDITIONREG@103.510:zaznam_vonk_adresati_25" pid="219" fmtid="{D5CDD505-2E9C-101B-9397-08002B2CF9AE}">
    <vt:lpwstr/>
  </property>
  <property name="FSC#SKEDITIONREG@103.510:zaznam_vonk_adresati_26" pid="220" fmtid="{D5CDD505-2E9C-101B-9397-08002B2CF9AE}">
    <vt:lpwstr/>
  </property>
  <property name="FSC#SKEDITIONREG@103.510:zaznam_vonk_adresati_27" pid="221" fmtid="{D5CDD505-2E9C-101B-9397-08002B2CF9AE}">
    <vt:lpwstr/>
  </property>
  <property name="FSC#SKEDITIONREG@103.510:zaznam_vonk_adresati_28" pid="222" fmtid="{D5CDD505-2E9C-101B-9397-08002B2CF9AE}">
    <vt:lpwstr/>
  </property>
  <property name="FSC#SKEDITIONREG@103.510:zaznam_vonk_adresati_29" pid="223" fmtid="{D5CDD505-2E9C-101B-9397-08002B2CF9AE}">
    <vt:lpwstr/>
  </property>
  <property name="FSC#SKEDITIONREG@103.510:zaznam_vonk_adresati_30" pid="224" fmtid="{D5CDD505-2E9C-101B-9397-08002B2CF9AE}">
    <vt:lpwstr/>
  </property>
  <property name="FSC#SKEDITIONREG@103.510:zaznam_vonk_adresati_31" pid="225" fmtid="{D5CDD505-2E9C-101B-9397-08002B2CF9AE}">
    <vt:lpwstr/>
  </property>
  <property name="FSC#SKEDITIONREG@103.510:zaznam_vonk_adresati_32" pid="226" fmtid="{D5CDD505-2E9C-101B-9397-08002B2CF9AE}">
    <vt:lpwstr/>
  </property>
  <property name="FSC#SKEDITIONREG@103.510:zaznam_vonk_adresati_33" pid="227" fmtid="{D5CDD505-2E9C-101B-9397-08002B2CF9AE}">
    <vt:lpwstr/>
  </property>
  <property name="FSC#SKEDITIONREG@103.510:zaznam_vonk_adresati_34" pid="228" fmtid="{D5CDD505-2E9C-101B-9397-08002B2CF9AE}">
    <vt:lpwstr/>
  </property>
  <property name="FSC#SKEDITIONREG@103.510:zaznam_vonk_adresati_35" pid="229" fmtid="{D5CDD505-2E9C-101B-9397-08002B2CF9AE}">
    <vt:lpwstr/>
  </property>
  <property name="FSC#SKEDITIONREG@103.510:Stazovatel" pid="230" fmtid="{D5CDD505-2E9C-101B-9397-08002B2CF9AE}">
    <vt:lpwstr/>
  </property>
  <property name="FSC#SKEDITIONREG@103.510:ProtiKomu" pid="231" fmtid="{D5CDD505-2E9C-101B-9397-08002B2CF9AE}">
    <vt:lpwstr/>
  </property>
  <property name="FSC#SKEDITIONREG@103.510:EvCisloStaz" pid="232" fmtid="{D5CDD505-2E9C-101B-9397-08002B2CF9AE}">
    <vt:lpwstr/>
  </property>
  <property name="FSC#SKEDITIONREG@103.510:jod_AttrDateSkutocnyDatumVydania" pid="233" fmtid="{D5CDD505-2E9C-101B-9397-08002B2CF9AE}">
    <vt:lpwstr/>
  </property>
  <property name="FSC#SKEDITIONREG@103.510:jod_AttrNumCisloZmeny" pid="234" fmtid="{D5CDD505-2E9C-101B-9397-08002B2CF9AE}">
    <vt:lpwstr/>
  </property>
  <property name="FSC#SKEDITIONREG@103.510:jod_AttrStrRegCisloZaznamu" pid="235" fmtid="{D5CDD505-2E9C-101B-9397-08002B2CF9AE}">
    <vt:lpwstr/>
  </property>
  <property name="FSC#SKEDITIONREG@103.510:jod_cislodoc" pid="236" fmtid="{D5CDD505-2E9C-101B-9397-08002B2CF9AE}">
    <vt:lpwstr/>
  </property>
  <property name="FSC#SKEDITIONREG@103.510:jod_druh" pid="237" fmtid="{D5CDD505-2E9C-101B-9397-08002B2CF9AE}">
    <vt:lpwstr/>
  </property>
  <property name="FSC#SKEDITIONREG@103.510:jod_lu" pid="238" fmtid="{D5CDD505-2E9C-101B-9397-08002B2CF9AE}">
    <vt:lpwstr/>
  </property>
  <property name="FSC#SKEDITIONREG@103.510:jod_nazov" pid="239" fmtid="{D5CDD505-2E9C-101B-9397-08002B2CF9AE}">
    <vt:lpwstr/>
  </property>
  <property name="FSC#SKEDITIONREG@103.510:jod_typ" pid="240" fmtid="{D5CDD505-2E9C-101B-9397-08002B2CF9AE}">
    <vt:lpwstr/>
  </property>
  <property name="FSC#SKEDITIONREG@103.510:jod_zh" pid="241" fmtid="{D5CDD505-2E9C-101B-9397-08002B2CF9AE}">
    <vt:lpwstr/>
  </property>
  <property name="FSC#SKEDITIONREG@103.510:jod_sAttrDatePlatnostDo" pid="242" fmtid="{D5CDD505-2E9C-101B-9397-08002B2CF9AE}">
    <vt:lpwstr/>
  </property>
  <property name="FSC#SKEDITIONREG@103.510:jod_sAttrDatePlatnostOd" pid="243" fmtid="{D5CDD505-2E9C-101B-9397-08002B2CF9AE}">
    <vt:lpwstr/>
  </property>
  <property name="FSC#SKEDITIONREG@103.510:jod_sAttrDateUcinnostDoc" pid="244" fmtid="{D5CDD505-2E9C-101B-9397-08002B2CF9AE}">
    <vt:lpwstr/>
  </property>
  <property name="FSC#SKEDITIONREG@103.510:a_telephone" pid="245" fmtid="{D5CDD505-2E9C-101B-9397-08002B2CF9AE}">
    <vt:lpwstr/>
  </property>
  <property name="FSC#SKEDITIONREG@103.510:a_email" pid="246" fmtid="{D5CDD505-2E9C-101B-9397-08002B2CF9AE}">
    <vt:lpwstr/>
  </property>
  <property name="FSC#SKEDITIONREG@103.510:a_nazovOU" pid="247" fmtid="{D5CDD505-2E9C-101B-9397-08002B2CF9AE}">
    <vt:lpwstr/>
  </property>
  <property name="FSC#SKEDITIONREG@103.510:a_veduciOU" pid="248" fmtid="{D5CDD505-2E9C-101B-9397-08002B2CF9AE}">
    <vt:lpwstr/>
  </property>
  <property name="FSC#SKEDITIONREG@103.510:a_nadradeneOU" pid="249" fmtid="{D5CDD505-2E9C-101B-9397-08002B2CF9AE}">
    <vt:lpwstr/>
  </property>
  <property name="FSC#SKEDITIONREG@103.510:a_veduciOd" pid="250" fmtid="{D5CDD505-2E9C-101B-9397-08002B2CF9AE}">
    <vt:lpwstr/>
  </property>
  <property name="FSC#SKEDITIONREG@103.510:a_komu" pid="251" fmtid="{D5CDD505-2E9C-101B-9397-08002B2CF9AE}">
    <vt:lpwstr/>
  </property>
  <property name="FSC#SKEDITIONREG@103.510:a_nasecislo" pid="252" fmtid="{D5CDD505-2E9C-101B-9397-08002B2CF9AE}">
    <vt:lpwstr/>
  </property>
  <property name="FSC#SKEDITIONREG@103.510:a_riaditelOdboru" pid="253" fmtid="{D5CDD505-2E9C-101B-9397-08002B2CF9AE}">
    <vt:lpwstr/>
  </property>
  <property name="FSC#SKEDITIONREG@103.510:zaz_fileresporg_addrstreet" pid="254" fmtid="{D5CDD505-2E9C-101B-9397-08002B2CF9AE}">
    <vt:lpwstr/>
  </property>
  <property name="FSC#SKEDITIONREG@103.510:zaz_fileresporg_addrzipcode" pid="255" fmtid="{D5CDD505-2E9C-101B-9397-08002B2CF9AE}">
    <vt:lpwstr/>
  </property>
  <property name="FSC#SKEDITIONREG@103.510:zaz_fileresporg_addrcity" pid="256" fmtid="{D5CDD505-2E9C-101B-9397-08002B2CF9AE}">
    <vt:lpwstr/>
  </property>
  <property name="FSC#SKMODSYS@103.500:mdnazov" pid="257" fmtid="{D5CDD505-2E9C-101B-9397-08002B2CF9AE}">
    <vt:lpwstr/>
  </property>
  <property name="FSC#SKMODSYS@103.500:mdfileresp" pid="258" fmtid="{D5CDD505-2E9C-101B-9397-08002B2CF9AE}">
    <vt:lpwstr/>
  </property>
  <property name="FSC#SKMODSYS@103.500:mdfileresporg" pid="259" fmtid="{D5CDD505-2E9C-101B-9397-08002B2CF9AE}">
    <vt:lpwstr/>
  </property>
  <property name="FSC#SKMODSYS@103.500:mdcreateat" pid="260" fmtid="{D5CDD505-2E9C-101B-9397-08002B2CF9AE}">
    <vt:lpwstr>20. 11. 2023</vt:lpwstr>
  </property>
  <property name="FSC#SKCP@103.500:cp_AttrPtrOrgUtvar" pid="261" fmtid="{D5CDD505-2E9C-101B-9397-08002B2CF9AE}">
    <vt:lpwstr/>
  </property>
  <property name="FSC#SKCP@103.500:cp_AttrStrEvCisloCP" pid="262" fmtid="{D5CDD505-2E9C-101B-9397-08002B2CF9AE}">
    <vt:lpwstr/>
  </property>
  <property name="FSC#SKCP@103.500:cp_zamestnanec" pid="263" fmtid="{D5CDD505-2E9C-101B-9397-08002B2CF9AE}">
    <vt:lpwstr/>
  </property>
  <property name="FSC#SKCP@103.500:cpt_miestoRokovania" pid="264" fmtid="{D5CDD505-2E9C-101B-9397-08002B2CF9AE}">
    <vt:lpwstr/>
  </property>
  <property name="FSC#SKCP@103.500:cpt_datumCesty" pid="265" fmtid="{D5CDD505-2E9C-101B-9397-08002B2CF9AE}">
    <vt:lpwstr/>
  </property>
  <property name="FSC#SKCP@103.500:cpt_ucelCesty" pid="266" fmtid="{D5CDD505-2E9C-101B-9397-08002B2CF9AE}">
    <vt:lpwstr/>
  </property>
  <property name="FSC#SKCP@103.500:cpz_miestoRokovania" pid="267" fmtid="{D5CDD505-2E9C-101B-9397-08002B2CF9AE}">
    <vt:lpwstr/>
  </property>
  <property name="FSC#SKCP@103.500:cpz_datumCesty" pid="268" fmtid="{D5CDD505-2E9C-101B-9397-08002B2CF9AE}">
    <vt:lpwstr/>
  </property>
  <property name="FSC#SKCP@103.500:cpz_ucelCesty" pid="269" fmtid="{D5CDD505-2E9C-101B-9397-08002B2CF9AE}">
    <vt:lpwstr/>
  </property>
  <property name="FSC#SKCP@103.500:cpz_datumVypracovania" pid="270" fmtid="{D5CDD505-2E9C-101B-9397-08002B2CF9AE}">
    <vt:lpwstr/>
  </property>
  <property name="FSC#SKCP@103.500:cpz_datPodpSchv1" pid="271" fmtid="{D5CDD505-2E9C-101B-9397-08002B2CF9AE}">
    <vt:lpwstr/>
  </property>
  <property name="FSC#SKCP@103.500:cpz_datPodpSchv2" pid="272" fmtid="{D5CDD505-2E9C-101B-9397-08002B2CF9AE}">
    <vt:lpwstr/>
  </property>
  <property name="FSC#SKCP@103.500:cpz_datPodpSchv3" pid="273" fmtid="{D5CDD505-2E9C-101B-9397-08002B2CF9AE}">
    <vt:lpwstr/>
  </property>
  <property name="FSC#SKCP@103.500:cpz_PodpSchv1" pid="274" fmtid="{D5CDD505-2E9C-101B-9397-08002B2CF9AE}">
    <vt:lpwstr/>
  </property>
  <property name="FSC#SKCP@103.500:cpz_PodpSchv2" pid="275" fmtid="{D5CDD505-2E9C-101B-9397-08002B2CF9AE}">
    <vt:lpwstr/>
  </property>
  <property name="FSC#SKCP@103.500:cpz_PodpSchv3" pid="276" fmtid="{D5CDD505-2E9C-101B-9397-08002B2CF9AE}">
    <vt:lpwstr/>
  </property>
  <property name="FSC#SKCP@103.500:cpz_Funkcia" pid="277" fmtid="{D5CDD505-2E9C-101B-9397-08002B2CF9AE}">
    <vt:lpwstr/>
  </property>
  <property name="FSC#SKCP@103.500:cp_Spolucestujuci" pid="278" fmtid="{D5CDD505-2E9C-101B-9397-08002B2CF9AE}">
    <vt:lpwstr/>
  </property>
  <property name="FSC#SKNAD@103.500:nad_objname" pid="279" fmtid="{D5CDD505-2E9C-101B-9397-08002B2CF9AE}">
    <vt:lpwstr/>
  </property>
  <property name="FSC#SKNAD@103.500:nad_AttrStrNazov" pid="280" fmtid="{D5CDD505-2E9C-101B-9397-08002B2CF9AE}">
    <vt:lpwstr/>
  </property>
  <property name="FSC#SKNAD@103.500:nad_AttrPtrSpracovatel" pid="281" fmtid="{D5CDD505-2E9C-101B-9397-08002B2CF9AE}">
    <vt:lpwstr/>
  </property>
  <property name="FSC#SKNAD@103.500:nad_AttrPtrGestor1" pid="282" fmtid="{D5CDD505-2E9C-101B-9397-08002B2CF9AE}">
    <vt:lpwstr/>
  </property>
  <property name="FSC#SKNAD@103.500:nad_AttrPtrGestor1Funkcia" pid="283" fmtid="{D5CDD505-2E9C-101B-9397-08002B2CF9AE}">
    <vt:lpwstr/>
  </property>
  <property name="FSC#SKNAD@103.500:nad_AttrPtrGestor1OU" pid="284" fmtid="{D5CDD505-2E9C-101B-9397-08002B2CF9AE}">
    <vt:lpwstr/>
  </property>
  <property name="FSC#SKNAD@103.500:nad_AttrPtrGestor2" pid="285" fmtid="{D5CDD505-2E9C-101B-9397-08002B2CF9AE}">
    <vt:lpwstr/>
  </property>
  <property name="FSC#SKNAD@103.500:nad_AttrPtrGestor2Funkcia" pid="286" fmtid="{D5CDD505-2E9C-101B-9397-08002B2CF9AE}">
    <vt:lpwstr/>
  </property>
  <property name="FSC#SKNAD@103.500:nad_schvalil" pid="287" fmtid="{D5CDD505-2E9C-101B-9397-08002B2CF9AE}">
    <vt:lpwstr/>
  </property>
  <property name="FSC#SKNAD@103.500:nad_schvalilfunkcia" pid="288" fmtid="{D5CDD505-2E9C-101B-9397-08002B2CF9AE}">
    <vt:lpwstr/>
  </property>
  <property name="FSC#SKNAD@103.500:nad_vr" pid="289" fmtid="{D5CDD505-2E9C-101B-9397-08002B2CF9AE}">
    <vt:lpwstr/>
  </property>
  <property name="FSC#SKNAD@103.500:nad_AttrDateDatumPodpisania" pid="290" fmtid="{D5CDD505-2E9C-101B-9397-08002B2CF9AE}">
    <vt:lpwstr/>
  </property>
  <property name="FSC#SKNAD@103.500:nad_pripobjname" pid="291" fmtid="{D5CDD505-2E9C-101B-9397-08002B2CF9AE}">
    <vt:lpwstr/>
  </property>
  <property name="FSC#SKNAD@103.500:nad_pripVytvorilKto" pid="292" fmtid="{D5CDD505-2E9C-101B-9397-08002B2CF9AE}">
    <vt:lpwstr/>
  </property>
  <property name="FSC#SKNAD@103.500:nad_pripVytvorilKedy" pid="293" fmtid="{D5CDD505-2E9C-101B-9397-08002B2CF9AE}">
    <vt:lpwstr>20.11.2023, 08:21</vt:lpwstr>
  </property>
  <property name="FSC#SKNAD@103.500:nad_AttrStrCisloNA" pid="294" fmtid="{D5CDD505-2E9C-101B-9397-08002B2CF9AE}">
    <vt:lpwstr/>
  </property>
  <property name="FSC#SKNAD@103.500:nad_AttrDateUcinnaOd" pid="295" fmtid="{D5CDD505-2E9C-101B-9397-08002B2CF9AE}">
    <vt:lpwstr/>
  </property>
  <property name="FSC#SKNAD@103.500:nad_AttrDateUcinnaDo" pid="296" fmtid="{D5CDD505-2E9C-101B-9397-08002B2CF9AE}">
    <vt:lpwstr/>
  </property>
  <property name="FSC#SKNAD@103.500:nad_AttrPtrPredchadzajuceNA" pid="297" fmtid="{D5CDD505-2E9C-101B-9397-08002B2CF9AE}">
    <vt:lpwstr/>
  </property>
  <property name="FSC#SKNAD@103.500:nad_AttrPtrSpracovatelOU" pid="298" fmtid="{D5CDD505-2E9C-101B-9397-08002B2CF9AE}">
    <vt:lpwstr/>
  </property>
  <property name="FSC#SKNAD@103.500:nad_AttrPtrPatriKNA" pid="299" fmtid="{D5CDD505-2E9C-101B-9397-08002B2CF9AE}">
    <vt:lpwstr/>
  </property>
  <property name="FSC#SKNAD@103.500:nad_AttrIntCisloDodatku" pid="300" fmtid="{D5CDD505-2E9C-101B-9397-08002B2CF9AE}">
    <vt:lpwstr/>
  </property>
  <property name="FSC#SKNAD@103.500:nad_AttrPtrSpracVeduci" pid="301" fmtid="{D5CDD505-2E9C-101B-9397-08002B2CF9AE}">
    <vt:lpwstr/>
  </property>
  <property name="FSC#SKNAD@103.500:nad_AttrPtrSpracVeduciOU" pid="302" fmtid="{D5CDD505-2E9C-101B-9397-08002B2CF9AE}">
    <vt:lpwstr/>
  </property>
  <property name="FSC#SKNAD@103.500:nad_spis" pid="303" fmtid="{D5CDD505-2E9C-101B-9397-08002B2CF9AE}">
    <vt:lpwstr/>
  </property>
  <property name="FSC#SKPUPP@103.500:pupp_riaditelPorady" pid="304" fmtid="{D5CDD505-2E9C-101B-9397-08002B2CF9AE}">
    <vt:lpwstr/>
  </property>
  <property name="FSC#SKPUPP@103.500:pupp_cisloporady" pid="305" fmtid="{D5CDD505-2E9C-101B-9397-08002B2CF9AE}">
    <vt:lpwstr/>
  </property>
  <property name="FSC#SKPUPP@103.500:pupp_konanieOHodine" pid="306" fmtid="{D5CDD505-2E9C-101B-9397-08002B2CF9AE}">
    <vt:lpwstr/>
  </property>
  <property name="FSC#SKPUPP@103.500:pupp_datPorMesiacString" pid="307" fmtid="{D5CDD505-2E9C-101B-9397-08002B2CF9AE}">
    <vt:lpwstr/>
  </property>
  <property name="FSC#SKPUPP@103.500:pupp_datumporady" pid="308" fmtid="{D5CDD505-2E9C-101B-9397-08002B2CF9AE}">
    <vt:lpwstr/>
  </property>
  <property name="FSC#SKPUPP@103.500:pupp_konaniedo" pid="309" fmtid="{D5CDD505-2E9C-101B-9397-08002B2CF9AE}">
    <vt:lpwstr/>
  </property>
  <property name="FSC#SKPUPP@103.500:pupp_konanieod" pid="310" fmtid="{D5CDD505-2E9C-101B-9397-08002B2CF9AE}">
    <vt:lpwstr/>
  </property>
  <property name="FSC#SKPUPP@103.500:pupp_menopp" pid="311" fmtid="{D5CDD505-2E9C-101B-9397-08002B2CF9AE}">
    <vt:lpwstr/>
  </property>
  <property name="FSC#SKPUPP@103.500:pupp_miestokonania" pid="312" fmtid="{D5CDD505-2E9C-101B-9397-08002B2CF9AE}">
    <vt:lpwstr/>
  </property>
  <property name="FSC#SKPUPP@103.500:pupp_temaporady" pid="313" fmtid="{D5CDD505-2E9C-101B-9397-08002B2CF9AE}">
    <vt:lpwstr/>
  </property>
  <property name="FSC#SKPUPP@103.500:pupp_ucastnici" pid="314" fmtid="{D5CDD505-2E9C-101B-9397-08002B2CF9AE}">
    <vt:lpwstr/>
  </property>
  <property name="FSC#SKPUPP@103.500:pupp_ulohy" pid="315" fmtid="{D5CDD505-2E9C-101B-9397-08002B2CF9AE}">
    <vt:lpwstr>test</vt:lpwstr>
  </property>
  <property name="FSC#SKPUPP@103.500:pupp_ucastnici_funkcie" pid="316" fmtid="{D5CDD505-2E9C-101B-9397-08002B2CF9AE}">
    <vt:lpwstr/>
  </property>
  <property name="FSC#SKPUPP@103.500:pupp_nazov_ulohy" pid="317" fmtid="{D5CDD505-2E9C-101B-9397-08002B2CF9AE}">
    <vt:lpwstr/>
  </property>
  <property name="FSC#SKPUPP@103.500:pupp_cislo_ulohy" pid="318" fmtid="{D5CDD505-2E9C-101B-9397-08002B2CF9AE}">
    <vt:lpwstr/>
  </property>
  <property name="FSC#SKPUPP@103.500:pupp_riesitel_ulohy" pid="319" fmtid="{D5CDD505-2E9C-101B-9397-08002B2CF9AE}">
    <vt:lpwstr/>
  </property>
  <property name="FSC#SKPUPP@103.500:pupp_vybavit_ulohy" pid="320" fmtid="{D5CDD505-2E9C-101B-9397-08002B2CF9AE}">
    <vt:lpwstr/>
  </property>
  <property name="FSC#SKPUPP@103.500:pupp_orgutvar" pid="321" fmtid="{D5CDD505-2E9C-101B-9397-08002B2CF9AE}">
    <vt:lpwstr/>
  </property>
  <property name="FSC#SKCPINTEGREG@103.510:cpt_emailaddress" pid="322" fmtid="{D5CDD505-2E9C-101B-9397-08002B2CF9AE}">
    <vt:lpwstr/>
  </property>
  <property name="FSC#SKCPINTEGREG@103.510:cpt_najblizsiodbor" pid="323" fmtid="{D5CDD505-2E9C-101B-9397-08002B2CF9AE}">
    <vt:lpwstr/>
  </property>
  <property name="FSC#SKCPINTEGREG@103.510:cpt_extension" pid="324" fmtid="{D5CDD505-2E9C-101B-9397-08002B2CF9AE}">
    <vt:lpwstr/>
  </property>
  <property name="FSC#COOELAK@1.1001:Subject" pid="325" fmtid="{D5CDD505-2E9C-101B-9397-08002B2CF9AE}">
    <vt:lpwstr/>
  </property>
  <property name="FSC#COOELAK@1.1001:FileReference" pid="326" fmtid="{D5CDD505-2E9C-101B-9397-08002B2CF9AE}">
    <vt:lpwstr/>
  </property>
  <property name="FSC#COOELAK@1.1001:FileRefYear" pid="327" fmtid="{D5CDD505-2E9C-101B-9397-08002B2CF9AE}">
    <vt:lpwstr/>
  </property>
  <property name="FSC#COOELAK@1.1001:FileRefOrdinal" pid="328" fmtid="{D5CDD505-2E9C-101B-9397-08002B2CF9AE}">
    <vt:lpwstr/>
  </property>
  <property name="FSC#COOELAK@1.1001:FileRefOU" pid="329" fmtid="{D5CDD505-2E9C-101B-9397-08002B2CF9AE}">
    <vt:lpwstr/>
  </property>
  <property name="FSC#COOELAK@1.1001:Organization" pid="330" fmtid="{D5CDD505-2E9C-101B-9397-08002B2CF9AE}">
    <vt:lpwstr/>
  </property>
  <property name="FSC#COOELAK@1.1001:Owner" pid="331" fmtid="{D5CDD505-2E9C-101B-9397-08002B2CF9AE}">
    <vt:lpwstr>Mesiariková, Ivana, JUDr.</vt:lpwstr>
  </property>
  <property name="FSC#COOELAK@1.1001:OwnerExtension" pid="332" fmtid="{D5CDD505-2E9C-101B-9397-08002B2CF9AE}">
    <vt:lpwstr/>
  </property>
  <property name="FSC#COOELAK@1.1001:OwnerFaxExtension" pid="333" fmtid="{D5CDD505-2E9C-101B-9397-08002B2CF9AE}">
    <vt:lpwstr/>
  </property>
  <property name="FSC#COOELAK@1.1001:DispatchedBy" pid="334" fmtid="{D5CDD505-2E9C-101B-9397-08002B2CF9AE}">
    <vt:lpwstr/>
  </property>
  <property name="FSC#COOELAK@1.1001:DispatchedAt" pid="335" fmtid="{D5CDD505-2E9C-101B-9397-08002B2CF9AE}">
    <vt:lpwstr/>
  </property>
  <property name="FSC#COOELAK@1.1001:ApprovedBy" pid="336" fmtid="{D5CDD505-2E9C-101B-9397-08002B2CF9AE}">
    <vt:lpwstr/>
  </property>
  <property name="FSC#COOELAK@1.1001:ApprovedAt" pid="337" fmtid="{D5CDD505-2E9C-101B-9397-08002B2CF9AE}">
    <vt:lpwstr/>
  </property>
  <property name="FSC#COOELAK@1.1001:Department" pid="338" fmtid="{D5CDD505-2E9C-101B-9397-08002B2CF9AE}">
    <vt:lpwstr>ODDVO (Oddelenie verejného obstarávania)</vt:lpwstr>
  </property>
  <property name="FSC#COOELAK@1.1001:CreatedAt" pid="339" fmtid="{D5CDD505-2E9C-101B-9397-08002B2CF9AE}">
    <vt:lpwstr>20.11.2023</vt:lpwstr>
  </property>
  <property name="FSC#COOELAK@1.1001:OU" pid="340" fmtid="{D5CDD505-2E9C-101B-9397-08002B2CF9AE}">
    <vt:lpwstr>ODDVO (Oddelenie verejného obstarávania)</vt:lpwstr>
  </property>
  <property name="FSC#COOELAK@1.1001:Priority" pid="341" fmtid="{D5CDD505-2E9C-101B-9397-08002B2CF9AE}">
    <vt:lpwstr> ()</vt:lpwstr>
  </property>
  <property name="FSC#COOELAK@1.1001:ObjBarCode" pid="342" fmtid="{D5CDD505-2E9C-101B-9397-08002B2CF9AE}">
    <vt:lpwstr>*COO.2090.100.9.6858663*</vt:lpwstr>
  </property>
  <property name="FSC#COOELAK@1.1001:RefBarCode" pid="343" fmtid="{D5CDD505-2E9C-101B-9397-08002B2CF9AE}">
    <vt:lpwstr/>
  </property>
  <property name="FSC#COOELAK@1.1001:FileRefBarCode" pid="344" fmtid="{D5CDD505-2E9C-101B-9397-08002B2CF9AE}">
    <vt:lpwstr>**</vt:lpwstr>
  </property>
  <property name="FSC#COOELAK@1.1001:ExternalRef" pid="345" fmtid="{D5CDD505-2E9C-101B-9397-08002B2CF9AE}">
    <vt:lpwstr/>
  </property>
  <property name="FSC#COOELAK@1.1001:IncomingNumber" pid="346" fmtid="{D5CDD505-2E9C-101B-9397-08002B2CF9AE}">
    <vt:lpwstr/>
  </property>
  <property name="FSC#COOELAK@1.1001:IncomingSubject" pid="347" fmtid="{D5CDD505-2E9C-101B-9397-08002B2CF9AE}">
    <vt:lpwstr/>
  </property>
  <property name="FSC#COOELAK@1.1001:ProcessResponsible" pid="348" fmtid="{D5CDD505-2E9C-101B-9397-08002B2CF9AE}">
    <vt:lpwstr/>
  </property>
  <property name="FSC#COOELAK@1.1001:ProcessResponsiblePhone" pid="349" fmtid="{D5CDD505-2E9C-101B-9397-08002B2CF9AE}">
    <vt:lpwstr/>
  </property>
  <property name="FSC#COOELAK@1.1001:ProcessResponsibleMail" pid="350" fmtid="{D5CDD505-2E9C-101B-9397-08002B2CF9AE}">
    <vt:lpwstr/>
  </property>
  <property name="FSC#COOELAK@1.1001:ProcessResponsibleFax" pid="351" fmtid="{D5CDD505-2E9C-101B-9397-08002B2CF9AE}">
    <vt:lpwstr/>
  </property>
  <property name="FSC#COOELAK@1.1001:ApproverFirstName" pid="352" fmtid="{D5CDD505-2E9C-101B-9397-08002B2CF9AE}">
    <vt:lpwstr/>
  </property>
  <property name="FSC#COOELAK@1.1001:ApproverSurName" pid="353" fmtid="{D5CDD505-2E9C-101B-9397-08002B2CF9AE}">
    <vt:lpwstr/>
  </property>
  <property name="FSC#COOELAK@1.1001:ApproverTitle" pid="354" fmtid="{D5CDD505-2E9C-101B-9397-08002B2CF9AE}">
    <vt:lpwstr/>
  </property>
  <property name="FSC#COOELAK@1.1001:ExternalDate" pid="355" fmtid="{D5CDD505-2E9C-101B-9397-08002B2CF9AE}">
    <vt:lpwstr/>
  </property>
  <property name="FSC#COOELAK@1.1001:SettlementApprovedAt" pid="356" fmtid="{D5CDD505-2E9C-101B-9397-08002B2CF9AE}">
    <vt:lpwstr/>
  </property>
  <property name="FSC#COOELAK@1.1001:BaseNumber" pid="357" fmtid="{D5CDD505-2E9C-101B-9397-08002B2CF9AE}">
    <vt:lpwstr/>
  </property>
  <property name="FSC#COOELAK@1.1001:CurrentUserRolePos" pid="358" fmtid="{D5CDD505-2E9C-101B-9397-08002B2CF9AE}">
    <vt:lpwstr>Odborný referent X</vt:lpwstr>
  </property>
  <property name="FSC#COOELAK@1.1001:CurrentUserEmail" pid="359" fmtid="{D5CDD505-2E9C-101B-9397-08002B2CF9AE}">
    <vt:lpwstr>marta.jurickova@bbsk.sk</vt:lpwstr>
  </property>
  <property name="FSC#ELAKGOV@1.1001:PersonalSubjGender" pid="360" fmtid="{D5CDD505-2E9C-101B-9397-08002B2CF9AE}">
    <vt:lpwstr/>
  </property>
  <property name="FSC#ELAKGOV@1.1001:PersonalSubjFirstName" pid="361" fmtid="{D5CDD505-2E9C-101B-9397-08002B2CF9AE}">
    <vt:lpwstr/>
  </property>
  <property name="FSC#ELAKGOV@1.1001:PersonalSubjSurName" pid="362" fmtid="{D5CDD505-2E9C-101B-9397-08002B2CF9AE}">
    <vt:lpwstr/>
  </property>
  <property name="FSC#ELAKGOV@1.1001:PersonalSubjSalutation" pid="363" fmtid="{D5CDD505-2E9C-101B-9397-08002B2CF9AE}">
    <vt:lpwstr/>
  </property>
  <property name="FSC#ELAKGOV@1.1001:PersonalSubjAddress" pid="364" fmtid="{D5CDD505-2E9C-101B-9397-08002B2CF9AE}">
    <vt:lpwstr/>
  </property>
  <property name="FSC#ATSTATECFG@1.1001:Office" pid="365" fmtid="{D5CDD505-2E9C-101B-9397-08002B2CF9AE}">
    <vt:lpwstr/>
  </property>
  <property name="FSC#ATSTATECFG@1.1001:Agent" pid="366" fmtid="{D5CDD505-2E9C-101B-9397-08002B2CF9AE}">
    <vt:lpwstr/>
  </property>
  <property name="FSC#ATSTATECFG@1.1001:AgentPhone" pid="367" fmtid="{D5CDD505-2E9C-101B-9397-08002B2CF9AE}">
    <vt:lpwstr/>
  </property>
  <property name="FSC#ATSTATECFG@1.1001:DepartmentFax" pid="368" fmtid="{D5CDD505-2E9C-101B-9397-08002B2CF9AE}">
    <vt:lpwstr/>
  </property>
  <property name="FSC#ATSTATECFG@1.1001:DepartmentEmail" pid="369" fmtid="{D5CDD505-2E9C-101B-9397-08002B2CF9AE}">
    <vt:lpwstr/>
  </property>
  <property name="FSC#ATSTATECFG@1.1001:SubfileDate" pid="370" fmtid="{D5CDD505-2E9C-101B-9397-08002B2CF9AE}">
    <vt:lpwstr/>
  </property>
  <property name="FSC#ATSTATECFG@1.1001:SubfileSubject" pid="371" fmtid="{D5CDD505-2E9C-101B-9397-08002B2CF9AE}">
    <vt:lpwstr/>
  </property>
  <property name="FSC#ATSTATECFG@1.1001:DepartmentZipCode" pid="372" fmtid="{D5CDD505-2E9C-101B-9397-08002B2CF9AE}">
    <vt:lpwstr/>
  </property>
  <property name="FSC#ATSTATECFG@1.1001:DepartmentCountry" pid="373" fmtid="{D5CDD505-2E9C-101B-9397-08002B2CF9AE}">
    <vt:lpwstr/>
  </property>
  <property name="FSC#ATSTATECFG@1.1001:DepartmentCity" pid="374" fmtid="{D5CDD505-2E9C-101B-9397-08002B2CF9AE}">
    <vt:lpwstr/>
  </property>
  <property name="FSC#ATSTATECFG@1.1001:DepartmentStreet" pid="375" fmtid="{D5CDD505-2E9C-101B-9397-08002B2CF9AE}">
    <vt:lpwstr/>
  </property>
  <property name="FSC#ATSTATECFG@1.1001:DepartmentDVR" pid="376" fmtid="{D5CDD505-2E9C-101B-9397-08002B2CF9AE}">
    <vt:lpwstr/>
  </property>
  <property name="FSC#ATSTATECFG@1.1001:DepartmentUID" pid="377" fmtid="{D5CDD505-2E9C-101B-9397-08002B2CF9AE}">
    <vt:lpwstr/>
  </property>
  <property name="FSC#ATSTATECFG@1.1001:SubfileReference" pid="378" fmtid="{D5CDD505-2E9C-101B-9397-08002B2CF9AE}">
    <vt:lpwstr/>
  </property>
  <property name="FSC#ATSTATECFG@1.1001:Clause" pid="379" fmtid="{D5CDD505-2E9C-101B-9397-08002B2CF9AE}">
    <vt:lpwstr/>
  </property>
  <property name="FSC#ATSTATECFG@1.1001:ApprovedSignature" pid="380" fmtid="{D5CDD505-2E9C-101B-9397-08002B2CF9AE}">
    <vt:lpwstr/>
  </property>
  <property name="FSC#ATSTATECFG@1.1001:BankAccount" pid="381" fmtid="{D5CDD505-2E9C-101B-9397-08002B2CF9AE}">
    <vt:lpwstr/>
  </property>
  <property name="FSC#ATSTATECFG@1.1001:BankAccountOwner" pid="382" fmtid="{D5CDD505-2E9C-101B-9397-08002B2CF9AE}">
    <vt:lpwstr/>
  </property>
  <property name="FSC#ATSTATECFG@1.1001:BankInstitute" pid="383" fmtid="{D5CDD505-2E9C-101B-9397-08002B2CF9AE}">
    <vt:lpwstr/>
  </property>
  <property name="FSC#ATSTATECFG@1.1001:BankAccountID" pid="384" fmtid="{D5CDD505-2E9C-101B-9397-08002B2CF9AE}">
    <vt:lpwstr/>
  </property>
  <property name="FSC#ATSTATECFG@1.1001:BankAccountIBAN" pid="385" fmtid="{D5CDD505-2E9C-101B-9397-08002B2CF9AE}">
    <vt:lpwstr/>
  </property>
  <property name="FSC#ATSTATECFG@1.1001:BankAccountBIC" pid="386" fmtid="{D5CDD505-2E9C-101B-9397-08002B2CF9AE}">
    <vt:lpwstr/>
  </property>
  <property name="FSC#ATSTATECFG@1.1001:BankName" pid="387" fmtid="{D5CDD505-2E9C-101B-9397-08002B2CF9AE}">
    <vt:lpwstr/>
  </property>
  <property name="FSC#COOELAK@1.1001:ObjectAddressees" pid="388" fmtid="{D5CDD505-2E9C-101B-9397-08002B2CF9AE}">
    <vt:lpwstr/>
  </property>
  <property name="FSC#COOELAK@1.1001:replyreference" pid="389" fmtid="{D5CDD505-2E9C-101B-9397-08002B2CF9AE}">
    <vt:lpwstr/>
  </property>
  <property name="FSC#SKCONV@103.510:docname" pid="390" fmtid="{D5CDD505-2E9C-101B-9397-08002B2CF9AE}">
    <vt:lpwstr/>
  </property>
  <property name="FSC#COOSYSTEM@1.1:Container" pid="391" fmtid="{D5CDD505-2E9C-101B-9397-08002B2CF9AE}">
    <vt:lpwstr>COO.2090.100.9.6858663</vt:lpwstr>
  </property>
  <property name="FSC#FSCFOLIO@1.1001:docpropproject" pid="392" fmtid="{D5CDD505-2E9C-101B-9397-08002B2CF9AE}">
    <vt:lpwstr/>
  </property>
</Properties>
</file>