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user\naďa\Rákoš_križovatka\VV_ocenenie 2023\VV_ ocenenie_2023\"/>
    </mc:Choice>
  </mc:AlternateContent>
  <xr:revisionPtr revIDLastSave="0" documentId="8_{5D11DF4C-F2EC-4217-8C21-BBE374994BCA}" xr6:coauthVersionLast="47" xr6:coauthVersionMax="47" xr10:uidLastSave="{00000000-0000-0000-0000-000000000000}"/>
  <bookViews>
    <workbookView xWindow="-120" yWindow="-120" windowWidth="29040" windowHeight="17640" tabRatio="940" xr2:uid="{00000000-000D-0000-FFFF-FFFF00000000}"/>
  </bookViews>
  <sheets>
    <sheet name="Rekapitulácia" sheetId="22" r:id="rId1"/>
    <sheet name="Rekapitulácia objektov" sheetId="24" r:id="rId2"/>
    <sheet name="01.1" sheetId="23" r:id="rId3"/>
    <sheet name="01.2" sheetId="18" r:id="rId4"/>
    <sheet name="01.3" sheetId="19" r:id="rId5"/>
    <sheet name="01.4" sheetId="29" r:id="rId6"/>
    <sheet name="02" sheetId="32" r:id="rId7"/>
    <sheet name="03" sheetId="31" r:id="rId8"/>
    <sheet name="04" sheetId="30" r:id="rId9"/>
    <sheet name="05" sheetId="28" r:id="rId10"/>
    <sheet name="06" sheetId="20" r:id="rId11"/>
    <sheet name="07" sheetId="21" r:id="rId12"/>
  </sheets>
  <definedNames>
    <definedName name="_xlnm.Print_Titles" localSheetId="2">'01.1'!$1:$5</definedName>
    <definedName name="_xlnm.Print_Titles" localSheetId="3">'01.2'!$1:$5</definedName>
    <definedName name="_xlnm.Print_Titles" localSheetId="4">'01.3'!$1:$4</definedName>
    <definedName name="_xlnm.Print_Titles" localSheetId="5">'01.4'!$1:$4</definedName>
    <definedName name="_xlnm.Print_Titles" localSheetId="6">'02'!$1:$4</definedName>
    <definedName name="_xlnm.Print_Titles" localSheetId="7">'03'!$1:$4</definedName>
    <definedName name="_xlnm.Print_Titles" localSheetId="9">'05'!$1:$4</definedName>
    <definedName name="_xlnm.Print_Titles" localSheetId="10">'06'!$1:$4</definedName>
    <definedName name="_xlnm.Print_Titles" localSheetId="11">'07'!$1:$4</definedName>
    <definedName name="_xlnm.Print_Titles" localSheetId="1">'Rekapitulácia objektov'!$1:$3</definedName>
    <definedName name="_xlnm.Print_Area" localSheetId="2">'01.1'!$A$1:$J$629</definedName>
    <definedName name="_xlnm.Print_Area" localSheetId="3">'01.2'!$A$1:$J$727</definedName>
    <definedName name="_xlnm.Print_Area" localSheetId="4">'01.3'!$A$1:$J$77</definedName>
    <definedName name="_xlnm.Print_Area" localSheetId="10">'06'!$A$1:$J$15</definedName>
    <definedName name="_xlnm.Print_Area" localSheetId="11">'07'!$A$1:$J$77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0" i="18" l="1"/>
  <c r="H253" i="18"/>
  <c r="J253" i="18" s="1"/>
  <c r="A134" i="23"/>
  <c r="H129" i="23"/>
  <c r="J129" i="23" s="1"/>
  <c r="H174" i="18" l="1"/>
  <c r="J174" i="18" s="1"/>
  <c r="J9" i="28"/>
  <c r="A9" i="28"/>
  <c r="H78" i="31" l="1"/>
  <c r="J78" i="31" s="1"/>
  <c r="J10" i="29" l="1"/>
  <c r="A10" i="29"/>
  <c r="J10" i="19"/>
  <c r="A10" i="19"/>
  <c r="H61" i="30"/>
  <c r="J61" i="30" s="1"/>
  <c r="J57" i="30"/>
  <c r="H57" i="30"/>
  <c r="H53" i="30"/>
  <c r="J53" i="30" s="1"/>
  <c r="H46" i="30"/>
  <c r="J46" i="30" s="1"/>
  <c r="H39" i="30"/>
  <c r="J39" i="30" s="1"/>
  <c r="H35" i="30"/>
  <c r="J35" i="30" s="1"/>
  <c r="H30" i="30"/>
  <c r="J30" i="30" s="1"/>
  <c r="H25" i="30"/>
  <c r="J25" i="30" s="1"/>
  <c r="H20" i="30"/>
  <c r="J20" i="30" s="1"/>
  <c r="J16" i="30"/>
  <c r="H16" i="30"/>
  <c r="J10" i="30"/>
  <c r="A10" i="30"/>
  <c r="J67" i="30" l="1"/>
  <c r="E10" i="24" s="1"/>
  <c r="A16" i="30"/>
  <c r="A20" i="30" l="1"/>
  <c r="A25" i="30" s="1"/>
  <c r="A30" i="30" l="1"/>
  <c r="A35" i="30" s="1"/>
  <c r="A39" i="30" l="1"/>
  <c r="A46" i="30" l="1"/>
  <c r="A53" i="30" s="1"/>
  <c r="A57" i="30" s="1"/>
  <c r="A61" i="30" s="1"/>
  <c r="H74" i="31" l="1"/>
  <c r="J74" i="31" s="1"/>
  <c r="F72" i="31"/>
  <c r="H67" i="31"/>
  <c r="J67" i="31" s="1"/>
  <c r="H60" i="31"/>
  <c r="J60" i="31" s="1"/>
  <c r="J54" i="31"/>
  <c r="F52" i="31"/>
  <c r="H47" i="31"/>
  <c r="J47" i="31" s="1"/>
  <c r="H39" i="31"/>
  <c r="J39" i="31" s="1"/>
  <c r="H35" i="31"/>
  <c r="J35" i="31" s="1"/>
  <c r="H30" i="31"/>
  <c r="J30" i="31" s="1"/>
  <c r="H24" i="31"/>
  <c r="J24" i="31" s="1"/>
  <c r="F22" i="31"/>
  <c r="H18" i="31"/>
  <c r="J18" i="31" s="1"/>
  <c r="H14" i="31"/>
  <c r="J14" i="31" s="1"/>
  <c r="J9" i="31"/>
  <c r="A9" i="31"/>
  <c r="J83" i="31" l="1"/>
  <c r="A14" i="31"/>
  <c r="A18" i="31"/>
  <c r="A24" i="31" s="1"/>
  <c r="A30" i="31" s="1"/>
  <c r="A35" i="31" l="1"/>
  <c r="A39" i="31" s="1"/>
  <c r="A47" i="31" l="1"/>
  <c r="A54" i="31" l="1"/>
  <c r="A60" i="31" s="1"/>
  <c r="A67" i="31" s="1"/>
  <c r="A74" i="31" s="1"/>
  <c r="A78" i="31" l="1"/>
  <c r="E9" i="24"/>
  <c r="J154" i="32"/>
  <c r="H154" i="32"/>
  <c r="H150" i="32"/>
  <c r="J150" i="32" s="1"/>
  <c r="H146" i="32"/>
  <c r="J146" i="32" s="1"/>
  <c r="H140" i="32"/>
  <c r="J140" i="32" s="1"/>
  <c r="H136" i="32"/>
  <c r="J136" i="32" s="1"/>
  <c r="J132" i="32"/>
  <c r="H132" i="32"/>
  <c r="F130" i="32"/>
  <c r="J125" i="32"/>
  <c r="H125" i="32"/>
  <c r="H121" i="32"/>
  <c r="J121" i="32" s="1"/>
  <c r="F119" i="32"/>
  <c r="H114" i="32"/>
  <c r="J114" i="32" s="1"/>
  <c r="F112" i="32"/>
  <c r="H106" i="32"/>
  <c r="J106" i="32" s="1"/>
  <c r="H102" i="32"/>
  <c r="J102" i="32" s="1"/>
  <c r="J98" i="32"/>
  <c r="H98" i="32"/>
  <c r="F96" i="32"/>
  <c r="H92" i="32"/>
  <c r="J92" i="32" s="1"/>
  <c r="J86" i="32"/>
  <c r="H86" i="32"/>
  <c r="H82" i="32"/>
  <c r="J82" i="32" s="1"/>
  <c r="F78" i="32"/>
  <c r="H73" i="32"/>
  <c r="J73" i="32" s="1"/>
  <c r="H67" i="32"/>
  <c r="J67" i="32" s="1"/>
  <c r="H63" i="32"/>
  <c r="J63" i="32" s="1"/>
  <c r="J59" i="32"/>
  <c r="H59" i="32"/>
  <c r="J53" i="32"/>
  <c r="F51" i="32"/>
  <c r="H47" i="32"/>
  <c r="J47" i="32" s="1"/>
  <c r="F45" i="32"/>
  <c r="H39" i="32"/>
  <c r="J39" i="32" s="1"/>
  <c r="F35" i="32"/>
  <c r="H30" i="32"/>
  <c r="J30" i="32" s="1"/>
  <c r="H26" i="32"/>
  <c r="J26" i="32" s="1"/>
  <c r="J22" i="32"/>
  <c r="H22" i="32"/>
  <c r="J19" i="32"/>
  <c r="J12" i="32"/>
  <c r="J8" i="32"/>
  <c r="A8" i="32"/>
  <c r="J159" i="32" l="1"/>
  <c r="E8" i="24" s="1"/>
  <c r="A12" i="32"/>
  <c r="A19" i="32" s="1"/>
  <c r="A22" i="32" l="1"/>
  <c r="A26" i="32" l="1"/>
  <c r="A30" i="32" l="1"/>
  <c r="A39" i="32" s="1"/>
  <c r="A47" i="32" l="1"/>
  <c r="A53" i="32" l="1"/>
  <c r="A59" i="32" l="1"/>
  <c r="A63" i="32" s="1"/>
  <c r="A67" i="32" s="1"/>
  <c r="A73" i="32" s="1"/>
  <c r="A82" i="32" s="1"/>
  <c r="A86" i="32" s="1"/>
  <c r="A92" i="32" s="1"/>
  <c r="A98" i="32" s="1"/>
  <c r="A102" i="32" s="1"/>
  <c r="A106" i="32" s="1"/>
  <c r="A114" i="32" s="1"/>
  <c r="A121" i="32" s="1"/>
  <c r="A125" i="32" s="1"/>
  <c r="A132" i="32" s="1"/>
  <c r="A136" i="32" s="1"/>
  <c r="A140" i="32" s="1"/>
  <c r="A146" i="32" s="1"/>
  <c r="A150" i="32" s="1"/>
  <c r="A154" i="32" s="1"/>
  <c r="F292" i="28" l="1"/>
  <c r="J71" i="29" l="1"/>
  <c r="F67" i="29"/>
  <c r="J66" i="29" s="1"/>
  <c r="J61" i="29"/>
  <c r="F57" i="29"/>
  <c r="F39" i="29"/>
  <c r="F34" i="29"/>
  <c r="F44" i="29" s="1"/>
  <c r="F30" i="29"/>
  <c r="F25" i="29"/>
  <c r="F48" i="29" s="1"/>
  <c r="F19" i="29"/>
  <c r="A16" i="29"/>
  <c r="J71" i="19"/>
  <c r="F67" i="19"/>
  <c r="J66" i="19" s="1"/>
  <c r="J61" i="19"/>
  <c r="F57" i="19"/>
  <c r="F39" i="19"/>
  <c r="F33" i="19"/>
  <c r="F29" i="19"/>
  <c r="F24" i="19"/>
  <c r="F48" i="19" s="1"/>
  <c r="F18" i="19"/>
  <c r="A15" i="19"/>
  <c r="J36" i="29" l="1"/>
  <c r="J55" i="19"/>
  <c r="J21" i="29"/>
  <c r="H27" i="29"/>
  <c r="J27" i="29" s="1"/>
  <c r="J55" i="29"/>
  <c r="J46" i="29"/>
  <c r="J16" i="29"/>
  <c r="A21" i="29"/>
  <c r="A27" i="29" s="1"/>
  <c r="J41" i="29"/>
  <c r="F53" i="29"/>
  <c r="J36" i="19"/>
  <c r="J20" i="19"/>
  <c r="J46" i="19"/>
  <c r="J26" i="19"/>
  <c r="F44" i="19"/>
  <c r="A20" i="19"/>
  <c r="A26" i="19" s="1"/>
  <c r="J15" i="19"/>
  <c r="A36" i="29" l="1"/>
  <c r="A41" i="29" s="1"/>
  <c r="J51" i="29"/>
  <c r="J77" i="29" s="1"/>
  <c r="A36" i="19"/>
  <c r="F53" i="19"/>
  <c r="J41" i="19"/>
  <c r="J294" i="28"/>
  <c r="J290" i="28"/>
  <c r="J280" i="28"/>
  <c r="F272" i="28"/>
  <c r="F271" i="28"/>
  <c r="F267" i="28"/>
  <c r="F266" i="28"/>
  <c r="F265" i="28"/>
  <c r="F257" i="28"/>
  <c r="F259" i="28" s="1"/>
  <c r="J246" i="28"/>
  <c r="J227" i="28"/>
  <c r="F221" i="28"/>
  <c r="F253" i="28" s="1"/>
  <c r="F216" i="28"/>
  <c r="J206" i="28"/>
  <c r="F202" i="28"/>
  <c r="F197" i="28"/>
  <c r="F189" i="28"/>
  <c r="F183" i="28"/>
  <c r="F182" i="28"/>
  <c r="F179" i="28"/>
  <c r="F178" i="28"/>
  <c r="J168" i="28"/>
  <c r="J142" i="28"/>
  <c r="F137" i="28"/>
  <c r="F136" i="28"/>
  <c r="F132" i="28"/>
  <c r="F131" i="28"/>
  <c r="F109" i="28"/>
  <c r="F105" i="28"/>
  <c r="F104" i="28"/>
  <c r="F95" i="28"/>
  <c r="F91" i="28"/>
  <c r="F90" i="28"/>
  <c r="F84" i="28"/>
  <c r="F82" i="28"/>
  <c r="F74" i="28"/>
  <c r="F72" i="28"/>
  <c r="F68" i="28"/>
  <c r="F66" i="28"/>
  <c r="F55" i="28"/>
  <c r="F54" i="28"/>
  <c r="F53" i="28"/>
  <c r="F52" i="28"/>
  <c r="F50" i="28"/>
  <c r="F45" i="28"/>
  <c r="F44" i="28"/>
  <c r="F43" i="28"/>
  <c r="F42" i="28"/>
  <c r="F40" i="28"/>
  <c r="F34" i="28"/>
  <c r="F28" i="28"/>
  <c r="F26" i="28"/>
  <c r="J19" i="28"/>
  <c r="J15" i="28"/>
  <c r="A15" i="28"/>
  <c r="E7" i="24" l="1"/>
  <c r="F204" i="28"/>
  <c r="F76" i="28"/>
  <c r="F185" i="28"/>
  <c r="A46" i="29"/>
  <c r="A51" i="29" s="1"/>
  <c r="A55" i="29" s="1"/>
  <c r="A61" i="29" s="1"/>
  <c r="A66" i="29" s="1"/>
  <c r="J51" i="19"/>
  <c r="J77" i="19" s="1"/>
  <c r="A41" i="19"/>
  <c r="J237" i="28"/>
  <c r="F138" i="28"/>
  <c r="J191" i="28"/>
  <c r="H211" i="28"/>
  <c r="J211" i="28" s="1"/>
  <c r="J187" i="28"/>
  <c r="F268" i="28"/>
  <c r="J31" i="28"/>
  <c r="F46" i="28"/>
  <c r="F56" i="28"/>
  <c r="F92" i="28"/>
  <c r="F97" i="28" s="1"/>
  <c r="F85" i="28"/>
  <c r="F133" i="28"/>
  <c r="F29" i="28"/>
  <c r="F106" i="28"/>
  <c r="F273" i="28"/>
  <c r="J255" i="28"/>
  <c r="J251" i="28"/>
  <c r="A19" i="28"/>
  <c r="J43" i="21"/>
  <c r="J40" i="21"/>
  <c r="J37" i="21"/>
  <c r="H43" i="21"/>
  <c r="F58" i="21"/>
  <c r="F66" i="21"/>
  <c r="F74" i="21" s="1"/>
  <c r="F73" i="21"/>
  <c r="F57" i="21"/>
  <c r="F32" i="21"/>
  <c r="F26" i="21"/>
  <c r="F275" i="28" l="1"/>
  <c r="J263" i="28" s="1"/>
  <c r="J23" i="28"/>
  <c r="E6" i="24"/>
  <c r="F112" i="28"/>
  <c r="J100" i="28" s="1"/>
  <c r="F58" i="28"/>
  <c r="A71" i="29"/>
  <c r="A46" i="19"/>
  <c r="A51" i="19" s="1"/>
  <c r="F140" i="28"/>
  <c r="J128" i="28" s="1"/>
  <c r="F121" i="28"/>
  <c r="J175" i="28"/>
  <c r="F152" i="28"/>
  <c r="J60" i="28"/>
  <c r="A23" i="28"/>
  <c r="F117" i="28"/>
  <c r="J36" i="28" l="1"/>
  <c r="J119" i="28"/>
  <c r="F156" i="28"/>
  <c r="A55" i="19"/>
  <c r="A61" i="19" s="1"/>
  <c r="J150" i="28"/>
  <c r="A31" i="28"/>
  <c r="H78" i="28"/>
  <c r="J78" i="28" s="1"/>
  <c r="F126" i="28"/>
  <c r="J114" i="28"/>
  <c r="J154" i="28" l="1"/>
  <c r="F160" i="28"/>
  <c r="A66" i="19"/>
  <c r="A71" i="19" s="1"/>
  <c r="A36" i="28"/>
  <c r="J124" i="28"/>
  <c r="J158" i="28" l="1"/>
  <c r="J300" i="28" s="1"/>
  <c r="J162" i="28"/>
  <c r="A60" i="28"/>
  <c r="A78" i="28" l="1"/>
  <c r="A100" i="28" l="1"/>
  <c r="A114" i="28" s="1"/>
  <c r="A119" i="28" s="1"/>
  <c r="A124" i="28" s="1"/>
  <c r="A128" i="28" s="1"/>
  <c r="A142" i="28" s="1"/>
  <c r="A150" i="28" s="1"/>
  <c r="A154" i="28" s="1"/>
  <c r="A158" i="28" s="1"/>
  <c r="A162" i="28" s="1"/>
  <c r="A168" i="28" s="1"/>
  <c r="A175" i="28" s="1"/>
  <c r="A187" i="28" s="1"/>
  <c r="A191" i="28" s="1"/>
  <c r="A206" i="28" s="1"/>
  <c r="A211" i="28" s="1"/>
  <c r="A227" i="28" s="1"/>
  <c r="A237" i="28" s="1"/>
  <c r="A246" i="28" s="1"/>
  <c r="A251" i="28" s="1"/>
  <c r="A255" i="28" s="1"/>
  <c r="A263" i="28" s="1"/>
  <c r="A280" i="28" s="1"/>
  <c r="A290" i="28" s="1"/>
  <c r="A294" i="28" s="1"/>
  <c r="F17" i="21" l="1"/>
  <c r="F34" i="21" s="1"/>
  <c r="A9" i="21"/>
  <c r="J9" i="21"/>
  <c r="J77" i="21" l="1"/>
  <c r="E13" i="24" s="1"/>
  <c r="H721" i="18"/>
  <c r="J721" i="18" s="1"/>
  <c r="H717" i="18"/>
  <c r="J717" i="18" s="1"/>
  <c r="F715" i="18"/>
  <c r="H710" i="18"/>
  <c r="J710" i="18" s="1"/>
  <c r="F705" i="18"/>
  <c r="H703" i="18"/>
  <c r="J703" i="18" s="1"/>
  <c r="F700" i="18"/>
  <c r="H698" i="18"/>
  <c r="J698" i="18" s="1"/>
  <c r="F695" i="18"/>
  <c r="H693" i="18"/>
  <c r="J693" i="18" s="1"/>
  <c r="F691" i="18"/>
  <c r="H689" i="18"/>
  <c r="J689" i="18" s="1"/>
  <c r="H684" i="18"/>
  <c r="J684" i="18" s="1"/>
  <c r="F681" i="18"/>
  <c r="H678" i="18"/>
  <c r="J678" i="18" s="1"/>
  <c r="F675" i="18"/>
  <c r="H672" i="18"/>
  <c r="J672" i="18" s="1"/>
  <c r="H659" i="18"/>
  <c r="J659" i="18" s="1"/>
  <c r="F654" i="18"/>
  <c r="F653" i="18"/>
  <c r="F652" i="18"/>
  <c r="F650" i="18"/>
  <c r="H645" i="18"/>
  <c r="J645" i="18" s="1"/>
  <c r="F643" i="18"/>
  <c r="H633" i="18"/>
  <c r="J633" i="18" s="1"/>
  <c r="F628" i="18"/>
  <c r="F627" i="18"/>
  <c r="F623" i="18"/>
  <c r="F622" i="18"/>
  <c r="F618" i="18"/>
  <c r="F617" i="18"/>
  <c r="F616" i="18"/>
  <c r="F614" i="18"/>
  <c r="H609" i="18"/>
  <c r="J609" i="18" s="1"/>
  <c r="F606" i="18"/>
  <c r="F605" i="18"/>
  <c r="H601" i="18"/>
  <c r="J601" i="18" s="1"/>
  <c r="F599" i="18"/>
  <c r="H590" i="18"/>
  <c r="J590" i="18" s="1"/>
  <c r="F587" i="18"/>
  <c r="F583" i="18"/>
  <c r="F579" i="18"/>
  <c r="F578" i="18"/>
  <c r="F574" i="18"/>
  <c r="F573" i="18"/>
  <c r="F572" i="18"/>
  <c r="F570" i="18"/>
  <c r="J566" i="18"/>
  <c r="F562" i="18"/>
  <c r="F558" i="18"/>
  <c r="H554" i="18"/>
  <c r="J554" i="18" s="1"/>
  <c r="J546" i="18"/>
  <c r="H541" i="18"/>
  <c r="J541" i="18" s="1"/>
  <c r="F533" i="18"/>
  <c r="F527" i="18"/>
  <c r="H521" i="18"/>
  <c r="J521" i="18" s="1"/>
  <c r="H514" i="18"/>
  <c r="J514" i="18" s="1"/>
  <c r="F511" i="18"/>
  <c r="H506" i="18"/>
  <c r="J506" i="18" s="1"/>
  <c r="F503" i="18"/>
  <c r="H491" i="18"/>
  <c r="J491" i="18" s="1"/>
  <c r="H485" i="18"/>
  <c r="J485" i="18" s="1"/>
  <c r="F482" i="18"/>
  <c r="H479" i="18"/>
  <c r="J479" i="18" s="1"/>
  <c r="F477" i="18"/>
  <c r="J471" i="18"/>
  <c r="F460" i="18"/>
  <c r="H456" i="18"/>
  <c r="J456" i="18" s="1"/>
  <c r="F453" i="18"/>
  <c r="H447" i="18"/>
  <c r="J447" i="18" s="1"/>
  <c r="F440" i="18"/>
  <c r="J435" i="18"/>
  <c r="F432" i="18"/>
  <c r="F431" i="18"/>
  <c r="F430" i="18"/>
  <c r="F428" i="18"/>
  <c r="H423" i="18"/>
  <c r="J423" i="18" s="1"/>
  <c r="F420" i="18"/>
  <c r="F419" i="18"/>
  <c r="F418" i="18"/>
  <c r="F416" i="18"/>
  <c r="H411" i="18"/>
  <c r="J411" i="18" s="1"/>
  <c r="F407" i="18"/>
  <c r="F399" i="18"/>
  <c r="F391" i="18"/>
  <c r="H381" i="18"/>
  <c r="J381" i="18" s="1"/>
  <c r="F373" i="18"/>
  <c r="F372" i="18"/>
  <c r="F371" i="18"/>
  <c r="F364" i="18"/>
  <c r="F363" i="18"/>
  <c r="F355" i="18"/>
  <c r="F354" i="18"/>
  <c r="H349" i="18"/>
  <c r="J349" i="18" s="1"/>
  <c r="F345" i="18"/>
  <c r="H340" i="18"/>
  <c r="J340" i="18" s="1"/>
  <c r="F338" i="18"/>
  <c r="H333" i="18"/>
  <c r="J333" i="18" s="1"/>
  <c r="H325" i="18"/>
  <c r="J325" i="18" s="1"/>
  <c r="H321" i="18"/>
  <c r="J321" i="18" s="1"/>
  <c r="F314" i="18"/>
  <c r="F307" i="18"/>
  <c r="H298" i="18"/>
  <c r="J298" i="18" s="1"/>
  <c r="J291" i="18"/>
  <c r="F288" i="18"/>
  <c r="F282" i="18"/>
  <c r="H280" i="18"/>
  <c r="J280" i="18" s="1"/>
  <c r="F275" i="18"/>
  <c r="H267" i="18"/>
  <c r="J267" i="18" s="1"/>
  <c r="H262" i="18"/>
  <c r="J262" i="18" s="1"/>
  <c r="F250" i="18"/>
  <c r="F242" i="18"/>
  <c r="H234" i="18"/>
  <c r="J234" i="18" s="1"/>
  <c r="F232" i="18"/>
  <c r="H223" i="18"/>
  <c r="J223" i="18" s="1"/>
  <c r="F221" i="18"/>
  <c r="H218" i="18"/>
  <c r="J218" i="18" s="1"/>
  <c r="F216" i="18"/>
  <c r="H209" i="18"/>
  <c r="J209" i="18" s="1"/>
  <c r="F205" i="18"/>
  <c r="F200" i="18"/>
  <c r="F192" i="18"/>
  <c r="H183" i="18"/>
  <c r="J183" i="18" s="1"/>
  <c r="F181" i="18"/>
  <c r="H179" i="18"/>
  <c r="J179" i="18" s="1"/>
  <c r="F172" i="18"/>
  <c r="H164" i="18"/>
  <c r="J164" i="18" s="1"/>
  <c r="F159" i="18"/>
  <c r="H157" i="18"/>
  <c r="J157" i="18" s="1"/>
  <c r="F155" i="18"/>
  <c r="J153" i="18"/>
  <c r="F151" i="18"/>
  <c r="J149" i="18"/>
  <c r="F147" i="18"/>
  <c r="H139" i="18"/>
  <c r="J139" i="18" s="1"/>
  <c r="F134" i="18"/>
  <c r="F127" i="18"/>
  <c r="H119" i="18"/>
  <c r="J119" i="18" s="1"/>
  <c r="F116" i="18"/>
  <c r="F115" i="18"/>
  <c r="H112" i="18"/>
  <c r="J112" i="18" s="1"/>
  <c r="F108" i="18"/>
  <c r="F107" i="18"/>
  <c r="F106" i="18"/>
  <c r="F105" i="18"/>
  <c r="F104" i="18"/>
  <c r="F103" i="18"/>
  <c r="F102" i="18"/>
  <c r="F101" i="18"/>
  <c r="F100" i="18"/>
  <c r="F99" i="18"/>
  <c r="F98" i="18"/>
  <c r="H96" i="18"/>
  <c r="J96" i="18" s="1"/>
  <c r="J92" i="18"/>
  <c r="F90" i="18"/>
  <c r="F84" i="18"/>
  <c r="H76" i="18"/>
  <c r="J76" i="18" s="1"/>
  <c r="F73" i="18"/>
  <c r="H68" i="18"/>
  <c r="J68" i="18" s="1"/>
  <c r="F65" i="18"/>
  <c r="H60" i="18"/>
  <c r="J60" i="18" s="1"/>
  <c r="F54" i="18"/>
  <c r="H48" i="18"/>
  <c r="J48" i="18" s="1"/>
  <c r="F46" i="18"/>
  <c r="H37" i="18"/>
  <c r="J37" i="18" s="1"/>
  <c r="F35" i="18"/>
  <c r="H33" i="18"/>
  <c r="J33" i="18" s="1"/>
  <c r="F27" i="18"/>
  <c r="J25" i="18"/>
  <c r="J22" i="18"/>
  <c r="F19" i="18"/>
  <c r="F18" i="18"/>
  <c r="F17" i="18"/>
  <c r="F16" i="18"/>
  <c r="F15" i="18"/>
  <c r="F14" i="18"/>
  <c r="F13" i="18"/>
  <c r="F12" i="18"/>
  <c r="F11" i="18"/>
  <c r="F10" i="18"/>
  <c r="J9" i="18"/>
  <c r="A9" i="18"/>
  <c r="A22" i="18" l="1"/>
  <c r="F629" i="18"/>
  <c r="F117" i="18"/>
  <c r="F408" i="18"/>
  <c r="F356" i="18"/>
  <c r="F374" i="18"/>
  <c r="F289" i="18"/>
  <c r="F365" i="18"/>
  <c r="F607" i="18"/>
  <c r="F563" i="18"/>
  <c r="F538" i="18"/>
  <c r="J727" i="18"/>
  <c r="F20" i="18"/>
  <c r="F206" i="18"/>
  <c r="F575" i="18"/>
  <c r="F580" i="18"/>
  <c r="F655" i="18"/>
  <c r="F421" i="18"/>
  <c r="F109" i="18"/>
  <c r="F251" i="18"/>
  <c r="F433" i="18"/>
  <c r="F619" i="18"/>
  <c r="F624" i="18"/>
  <c r="A25" i="18" l="1"/>
  <c r="F588" i="18"/>
  <c r="F630" i="18"/>
  <c r="A33" i="18" l="1"/>
  <c r="A37" i="18" s="1"/>
  <c r="A48" i="18" l="1"/>
  <c r="A60" i="18" s="1"/>
  <c r="A68" i="18" l="1"/>
  <c r="A76" i="18" s="1"/>
  <c r="A92" i="18" l="1"/>
  <c r="A96" i="18" s="1"/>
  <c r="A112" i="18" s="1"/>
  <c r="A119" i="18" l="1"/>
  <c r="A139" i="18" l="1"/>
  <c r="A149" i="18" s="1"/>
  <c r="A153" i="18" s="1"/>
  <c r="A157" i="18" s="1"/>
  <c r="A164" i="18" s="1"/>
  <c r="A174" i="18" l="1"/>
  <c r="A179" i="18" s="1"/>
  <c r="F625" i="23"/>
  <c r="H622" i="23"/>
  <c r="J622" i="23" s="1"/>
  <c r="F620" i="23"/>
  <c r="H618" i="23"/>
  <c r="J618" i="23" s="1"/>
  <c r="F613" i="23"/>
  <c r="F616" i="23" s="1"/>
  <c r="H611" i="23"/>
  <c r="J611" i="23" s="1"/>
  <c r="F606" i="23"/>
  <c r="H604" i="23"/>
  <c r="J604" i="23" s="1"/>
  <c r="F601" i="23"/>
  <c r="H599" i="23"/>
  <c r="J599" i="23" s="1"/>
  <c r="F596" i="23"/>
  <c r="H594" i="23"/>
  <c r="J594" i="23" s="1"/>
  <c r="F592" i="23"/>
  <c r="H590" i="23"/>
  <c r="J590" i="23" s="1"/>
  <c r="H585" i="23"/>
  <c r="J585" i="23" s="1"/>
  <c r="F582" i="23"/>
  <c r="H579" i="23"/>
  <c r="J579" i="23" s="1"/>
  <c r="F576" i="23"/>
  <c r="F575" i="23"/>
  <c r="F571" i="23"/>
  <c r="F570" i="23"/>
  <c r="H567" i="23"/>
  <c r="J567" i="23" s="1"/>
  <c r="F564" i="23"/>
  <c r="F563" i="23"/>
  <c r="H560" i="23"/>
  <c r="J560" i="23" s="1"/>
  <c r="F558" i="23"/>
  <c r="H555" i="23"/>
  <c r="J555" i="23" s="1"/>
  <c r="F550" i="23"/>
  <c r="F546" i="23"/>
  <c r="H542" i="23"/>
  <c r="F537" i="23"/>
  <c r="H532" i="23"/>
  <c r="J532" i="23" s="1"/>
  <c r="F530" i="23"/>
  <c r="J526" i="23"/>
  <c r="F521" i="23"/>
  <c r="F520" i="23"/>
  <c r="F519" i="23"/>
  <c r="H515" i="23"/>
  <c r="J515" i="23" s="1"/>
  <c r="F513" i="23"/>
  <c r="H506" i="23"/>
  <c r="J506" i="23" s="1"/>
  <c r="F501" i="23"/>
  <c r="F500" i="23"/>
  <c r="F496" i="23"/>
  <c r="F495" i="23"/>
  <c r="F491" i="23"/>
  <c r="F490" i="23"/>
  <c r="F489" i="23"/>
  <c r="H485" i="23"/>
  <c r="J485" i="23" s="1"/>
  <c r="F481" i="23"/>
  <c r="F480" i="23"/>
  <c r="H476" i="23"/>
  <c r="J476" i="23" s="1"/>
  <c r="H471" i="23"/>
  <c r="J471" i="23" s="1"/>
  <c r="F467" i="23"/>
  <c r="F466" i="23"/>
  <c r="F462" i="23"/>
  <c r="F461" i="23"/>
  <c r="F457" i="23"/>
  <c r="F456" i="23"/>
  <c r="F455" i="23"/>
  <c r="J452" i="23"/>
  <c r="F449" i="23"/>
  <c r="F448" i="23"/>
  <c r="H444" i="23"/>
  <c r="J444" i="23" s="1"/>
  <c r="F438" i="23"/>
  <c r="H432" i="23"/>
  <c r="J432" i="23" s="1"/>
  <c r="F427" i="23"/>
  <c r="F420" i="23"/>
  <c r="F414" i="23"/>
  <c r="H408" i="23"/>
  <c r="J408" i="23" s="1"/>
  <c r="H401" i="23"/>
  <c r="J401" i="23" s="1"/>
  <c r="F397" i="23"/>
  <c r="H390" i="23"/>
  <c r="J390" i="23" s="1"/>
  <c r="F377" i="23"/>
  <c r="F386" i="23" s="1"/>
  <c r="H370" i="23"/>
  <c r="J370" i="23" s="1"/>
  <c r="F367" i="23"/>
  <c r="F366" i="23"/>
  <c r="J365" i="23"/>
  <c r="F363" i="23"/>
  <c r="H357" i="23"/>
  <c r="J357" i="23" s="1"/>
  <c r="F352" i="23"/>
  <c r="F355" i="23" s="1"/>
  <c r="H346" i="23"/>
  <c r="J346" i="23" s="1"/>
  <c r="F339" i="23"/>
  <c r="J334" i="23"/>
  <c r="F331" i="23"/>
  <c r="F330" i="23"/>
  <c r="F329" i="23"/>
  <c r="H325" i="23"/>
  <c r="J325" i="23" s="1"/>
  <c r="F322" i="23"/>
  <c r="F321" i="23"/>
  <c r="F320" i="23"/>
  <c r="H316" i="23"/>
  <c r="J316" i="23" s="1"/>
  <c r="F312" i="23"/>
  <c r="F308" i="23"/>
  <c r="F303" i="23"/>
  <c r="H296" i="23"/>
  <c r="J296" i="23" s="1"/>
  <c r="F287" i="23"/>
  <c r="F286" i="23"/>
  <c r="F285" i="23"/>
  <c r="F284" i="23"/>
  <c r="F283" i="23"/>
  <c r="F282" i="23"/>
  <c r="F281" i="23"/>
  <c r="F280" i="23"/>
  <c r="F279" i="23"/>
  <c r="F272" i="23"/>
  <c r="F271" i="23"/>
  <c r="F270" i="23"/>
  <c r="F269" i="23"/>
  <c r="F261" i="23"/>
  <c r="F260" i="23"/>
  <c r="H255" i="23"/>
  <c r="J255" i="23" s="1"/>
  <c r="F250" i="23"/>
  <c r="H244" i="23"/>
  <c r="J244" i="23" s="1"/>
  <c r="F242" i="23"/>
  <c r="H236" i="23"/>
  <c r="J236" i="23" s="1"/>
  <c r="H231" i="23"/>
  <c r="J231" i="23" s="1"/>
  <c r="H224" i="23"/>
  <c r="J224" i="23" s="1"/>
  <c r="H220" i="23"/>
  <c r="J220" i="23" s="1"/>
  <c r="F213" i="23"/>
  <c r="H205" i="23"/>
  <c r="H198" i="23"/>
  <c r="J198" i="23" s="1"/>
  <c r="F195" i="23"/>
  <c r="F189" i="23"/>
  <c r="H187" i="23"/>
  <c r="F182" i="23"/>
  <c r="H177" i="23"/>
  <c r="J177" i="23" s="1"/>
  <c r="H172" i="23"/>
  <c r="J172" i="23" s="1"/>
  <c r="F170" i="23"/>
  <c r="H164" i="23"/>
  <c r="J164" i="23" s="1"/>
  <c r="H159" i="23"/>
  <c r="J159" i="23" s="1"/>
  <c r="F157" i="23"/>
  <c r="H151" i="23"/>
  <c r="J151" i="23" s="1"/>
  <c r="H146" i="23"/>
  <c r="J146" i="23" s="1"/>
  <c r="F143" i="23"/>
  <c r="F142" i="23"/>
  <c r="H139" i="23"/>
  <c r="J139" i="23" s="1"/>
  <c r="F136" i="23"/>
  <c r="H134" i="23"/>
  <c r="J134" i="23" s="1"/>
  <c r="F127" i="23"/>
  <c r="H122" i="23"/>
  <c r="J122" i="23" s="1"/>
  <c r="F117" i="23"/>
  <c r="H115" i="23"/>
  <c r="J115" i="23" s="1"/>
  <c r="F113" i="23"/>
  <c r="H111" i="23"/>
  <c r="J111" i="23" s="1"/>
  <c r="F109" i="23"/>
  <c r="H107" i="23"/>
  <c r="J107" i="23" s="1"/>
  <c r="F105" i="23"/>
  <c r="H99" i="23"/>
  <c r="J99" i="23" s="1"/>
  <c r="F94" i="23"/>
  <c r="F88" i="23"/>
  <c r="H82" i="23"/>
  <c r="F79" i="23"/>
  <c r="F78" i="23"/>
  <c r="H74" i="23"/>
  <c r="J74" i="23" s="1"/>
  <c r="F71" i="23"/>
  <c r="F70" i="23"/>
  <c r="F69" i="23"/>
  <c r="F68" i="23"/>
  <c r="F67" i="23"/>
  <c r="F66" i="23"/>
  <c r="F65" i="23"/>
  <c r="H63" i="23"/>
  <c r="J63" i="23" s="1"/>
  <c r="J59" i="23"/>
  <c r="F57" i="23"/>
  <c r="H51" i="23"/>
  <c r="J51" i="23" s="1"/>
  <c r="F49" i="23"/>
  <c r="H44" i="23"/>
  <c r="J44" i="23" s="1"/>
  <c r="F42" i="23"/>
  <c r="H37" i="23"/>
  <c r="J37" i="23" s="1"/>
  <c r="H32" i="23"/>
  <c r="J32" i="23" s="1"/>
  <c r="F30" i="23"/>
  <c r="H28" i="23"/>
  <c r="J28" i="23" s="1"/>
  <c r="F23" i="23"/>
  <c r="J21" i="23"/>
  <c r="J18" i="23"/>
  <c r="F15" i="23"/>
  <c r="F14" i="23"/>
  <c r="F13" i="23"/>
  <c r="F12" i="23"/>
  <c r="F11" i="23"/>
  <c r="F10" i="23"/>
  <c r="J9" i="23"/>
  <c r="A9" i="23"/>
  <c r="A183" i="18" l="1"/>
  <c r="A209" i="18" s="1"/>
  <c r="A218" i="18" s="1"/>
  <c r="A223" i="18" s="1"/>
  <c r="A234" i="18" s="1"/>
  <c r="A18" i="23"/>
  <c r="A21" i="23" s="1"/>
  <c r="F482" i="23"/>
  <c r="F497" i="23"/>
  <c r="F450" i="23"/>
  <c r="F577" i="23"/>
  <c r="F468" i="23"/>
  <c r="F262" i="23"/>
  <c r="F313" i="23"/>
  <c r="F463" i="23"/>
  <c r="F144" i="23"/>
  <c r="F565" i="23"/>
  <c r="F429" i="23"/>
  <c r="F458" i="23"/>
  <c r="F502" i="23"/>
  <c r="F16" i="23"/>
  <c r="J187" i="23"/>
  <c r="J205" i="23"/>
  <c r="F332" i="23"/>
  <c r="F368" i="23"/>
  <c r="F72" i="23"/>
  <c r="F273" i="23"/>
  <c r="F522" i="23"/>
  <c r="F80" i="23"/>
  <c r="F196" i="23"/>
  <c r="F288" i="23"/>
  <c r="F323" i="23"/>
  <c r="F492" i="23"/>
  <c r="F572" i="23"/>
  <c r="J82" i="23"/>
  <c r="J542" i="23"/>
  <c r="A253" i="18" l="1"/>
  <c r="A262" i="18" s="1"/>
  <c r="J629" i="23"/>
  <c r="F469" i="23"/>
  <c r="F503" i="23"/>
  <c r="A28" i="23"/>
  <c r="A267" i="18" l="1"/>
  <c r="A280" i="18" s="1"/>
  <c r="A291" i="18" s="1"/>
  <c r="A298" i="18" s="1"/>
  <c r="A321" i="18" s="1"/>
  <c r="A325" i="18" s="1"/>
  <c r="A333" i="18" s="1"/>
  <c r="A340" i="18" s="1"/>
  <c r="A349" i="18" s="1"/>
  <c r="A381" i="18" s="1"/>
  <c r="A411" i="18" s="1"/>
  <c r="A423" i="18" s="1"/>
  <c r="A435" i="18" s="1"/>
  <c r="A447" i="18" s="1"/>
  <c r="A456" i="18" s="1"/>
  <c r="A471" i="18" s="1"/>
  <c r="A479" i="18" s="1"/>
  <c r="A485" i="18" s="1"/>
  <c r="A491" i="18" s="1"/>
  <c r="A506" i="18" s="1"/>
  <c r="A514" i="18" s="1"/>
  <c r="A521" i="18" s="1"/>
  <c r="A541" i="18" s="1"/>
  <c r="A546" i="18" s="1"/>
  <c r="A554" i="18" s="1"/>
  <c r="A566" i="18" s="1"/>
  <c r="A590" i="18" s="1"/>
  <c r="A601" i="18" s="1"/>
  <c r="A609" i="18" s="1"/>
  <c r="A633" i="18" s="1"/>
  <c r="A645" i="18" s="1"/>
  <c r="A659" i="18" s="1"/>
  <c r="A672" i="18" s="1"/>
  <c r="A678" i="18" s="1"/>
  <c r="A684" i="18" s="1"/>
  <c r="A689" i="18" s="1"/>
  <c r="A693" i="18" s="1"/>
  <c r="A698" i="18" s="1"/>
  <c r="A703" i="18" s="1"/>
  <c r="A710" i="18" s="1"/>
  <c r="A717" i="18" s="1"/>
  <c r="A721" i="18" s="1"/>
  <c r="A32" i="23"/>
  <c r="A37" i="23" l="1"/>
  <c r="A44" i="23" l="1"/>
  <c r="A51" i="23" l="1"/>
  <c r="A59" i="23" l="1"/>
  <c r="A63" i="23" l="1"/>
  <c r="A74" i="23" l="1"/>
  <c r="A82" i="23" s="1"/>
  <c r="A99" i="23" s="1"/>
  <c r="A107" i="23" s="1"/>
  <c r="A111" i="23" s="1"/>
  <c r="A115" i="23" s="1"/>
  <c r="A122" i="23" s="1"/>
  <c r="A129" i="23" l="1"/>
  <c r="J9" i="20"/>
  <c r="J15" i="20" s="1"/>
  <c r="A139" i="23" l="1"/>
  <c r="A146" i="23" s="1"/>
  <c r="A151" i="23" s="1"/>
  <c r="A159" i="23" s="1"/>
  <c r="A164" i="23" s="1"/>
  <c r="A172" i="23" s="1"/>
  <c r="A177" i="23" s="1"/>
  <c r="A187" i="23" s="1"/>
  <c r="A198" i="23" s="1"/>
  <c r="A205" i="23" s="1"/>
  <c r="A220" i="23" s="1"/>
  <c r="A224" i="23" s="1"/>
  <c r="A231" i="23" s="1"/>
  <c r="A236" i="23" s="1"/>
  <c r="A244" i="23" s="1"/>
  <c r="A255" i="23" s="1"/>
  <c r="A296" i="23" s="1"/>
  <c r="A316" i="23" s="1"/>
  <c r="A325" i="23" s="1"/>
  <c r="A334" i="23" s="1"/>
  <c r="A346" i="23" s="1"/>
  <c r="A357" i="23" s="1"/>
  <c r="A365" i="23" s="1"/>
  <c r="A370" i="23" s="1"/>
  <c r="A390" i="23" s="1"/>
  <c r="A401" i="23" s="1"/>
  <c r="A408" i="23" s="1"/>
  <c r="A432" i="23" s="1"/>
  <c r="A444" i="23" s="1"/>
  <c r="A452" i="23" s="1"/>
  <c r="A471" i="23" s="1"/>
  <c r="A476" i="23" s="1"/>
  <c r="A485" i="23" s="1"/>
  <c r="A506" i="23" s="1"/>
  <c r="A515" i="23" s="1"/>
  <c r="A526" i="23" s="1"/>
  <c r="A532" i="23" s="1"/>
  <c r="A542" i="23" s="1"/>
  <c r="A555" i="23" s="1"/>
  <c r="A560" i="23" s="1"/>
  <c r="A567" i="23" s="1"/>
  <c r="A579" i="23" s="1"/>
  <c r="A585" i="23" s="1"/>
  <c r="A590" i="23" s="1"/>
  <c r="A594" i="23" s="1"/>
  <c r="A599" i="23" s="1"/>
  <c r="A604" i="23" s="1"/>
  <c r="A611" i="23" s="1"/>
  <c r="A618" i="23" s="1"/>
  <c r="A622" i="23" s="1"/>
  <c r="E12" i="24"/>
  <c r="E5" i="24"/>
  <c r="E4" i="24" l="1"/>
  <c r="E11" i="24" l="1"/>
  <c r="E14" i="24" s="1"/>
  <c r="F5" i="22" s="1"/>
  <c r="F6" i="22" l="1"/>
  <c r="G5" i="22"/>
  <c r="H5" i="22" l="1"/>
  <c r="H6" i="22" s="1"/>
  <c r="G6" i="22"/>
</calcChain>
</file>

<file path=xl/sharedStrings.xml><?xml version="1.0" encoding="utf-8"?>
<sst xmlns="http://schemas.openxmlformats.org/spreadsheetml/2006/main" count="2721" uniqueCount="1154">
  <si>
    <t>t</t>
  </si>
  <si>
    <t>ks</t>
  </si>
  <si>
    <t>m2</t>
  </si>
  <si>
    <t>Konštrukcie z hornín - prechodové vrstvy so zhutnením</t>
  </si>
  <si>
    <t>Konštrukcie z hornín - prechodové vrstvy so zhutnením zo sypanín kamenistých a balvanitých</t>
  </si>
  <si>
    <t>01040302</t>
  </si>
  <si>
    <t>0104030205</t>
  </si>
  <si>
    <t>m</t>
  </si>
  <si>
    <t>m3</t>
  </si>
  <si>
    <t>45.26.22</t>
  </si>
  <si>
    <t>Základové práce a vŕtanie vodných studní</t>
  </si>
  <si>
    <t>45.26.23</t>
  </si>
  <si>
    <t>Betonárske práce</t>
  </si>
  <si>
    <t>ČASŤ STAVBY :</t>
  </si>
  <si>
    <t>KS:</t>
  </si>
  <si>
    <t>POLOŽKA</t>
  </si>
  <si>
    <t>VÝKAZ VÝMER</t>
  </si>
  <si>
    <t>M.J.</t>
  </si>
  <si>
    <t>MNOŽ.</t>
  </si>
  <si>
    <t>Č.</t>
  </si>
  <si>
    <t>KÓD SP</t>
  </si>
  <si>
    <t>KÓD SPP</t>
  </si>
  <si>
    <t>KÓD CPV</t>
  </si>
  <si>
    <t>45.11.11</t>
  </si>
  <si>
    <t>Demolačné práce</t>
  </si>
  <si>
    <t>05030261</t>
  </si>
  <si>
    <t>Odstránenie spevnených plôch vozoviek a doplňujúcich konštrukcií podkladov z betónu prostého</t>
  </si>
  <si>
    <t>05080200</t>
  </si>
  <si>
    <t>Doprava vybúraných hmôt vodorovná</t>
  </si>
  <si>
    <t>0508020003</t>
  </si>
  <si>
    <t>Doprava vybúraných hmôt vodorovná, nad 1 km</t>
  </si>
  <si>
    <t>05090362</t>
  </si>
  <si>
    <t>Doplňujúce práce, frézovanie bitúmenového krytu, podkladu</t>
  </si>
  <si>
    <t>0509036204</t>
  </si>
  <si>
    <t>Doplňujúce práce, frézovanie bitúmenového krytu, podkladu hr. 50 mm</t>
  </si>
  <si>
    <t>05090462</t>
  </si>
  <si>
    <t>Doplňujúce práce, diamantové rezanie bitúmenového krytu, podkladu</t>
  </si>
  <si>
    <t>0509046202</t>
  </si>
  <si>
    <t>Doplňujúce práce, diamantové rezanie bitúmenového krytu, podkladu hr nad 50 do 100 mm</t>
  </si>
  <si>
    <t xml:space="preserve">45.11.12 </t>
  </si>
  <si>
    <t>Úprava staveniska a vyčisťovacie práce</t>
  </si>
  <si>
    <t>01010104</t>
  </si>
  <si>
    <t>Pripravné práce, odstránenie porastov mačiny</t>
  </si>
  <si>
    <t>0101010401</t>
  </si>
  <si>
    <t>Pripravné práce, odstránenie porastov mačiny hr. do 100 mm</t>
  </si>
  <si>
    <t>01080102</t>
  </si>
  <si>
    <t>Povrchové úpravy terénu, úprava pláne so  zhutnením v násypoch</t>
  </si>
  <si>
    <t>0108010201</t>
  </si>
  <si>
    <t>Povrchové úpravy terénu, úprava pláne so  zhutnením v násypoch, tr.horniny 1-4</t>
  </si>
  <si>
    <t>01080300</t>
  </si>
  <si>
    <t>Povrchové úpravy terénu, úprava podložia</t>
  </si>
  <si>
    <t>0108030001</t>
  </si>
  <si>
    <t>Povrchové úpravy terénu, úprava podložia,  tr.horniny 1-4</t>
  </si>
  <si>
    <t>01020400</t>
  </si>
  <si>
    <t>Odkopávky a prekopávky komunikácií,železníc,plôch</t>
  </si>
  <si>
    <t>0102040007</t>
  </si>
  <si>
    <t>Odkopávky a prekopávky komunikácií,železníc,plôch, tr.horniny 1-4</t>
  </si>
  <si>
    <t>01030201</t>
  </si>
  <si>
    <t>Hĺbené vykopávky rýh š. do 600 mm</t>
  </si>
  <si>
    <t>0103020107</t>
  </si>
  <si>
    <t>Hĺbené vykopávky rýh š. do 600 mm, tr. horniny 1-4</t>
  </si>
  <si>
    <t>01080401</t>
  </si>
  <si>
    <t>Povrchové úpravy terénu, svahovanie v zárezoch</t>
  </si>
  <si>
    <t>0108040101</t>
  </si>
  <si>
    <t>Povrchové úpravy terénu, svahovanie v zárezoch, tr.horniny 1-4</t>
  </si>
  <si>
    <t>01080811</t>
  </si>
  <si>
    <t>Povrchové úpravy terénu, sadenie, presádzanie, ošetrovanie, ochrana trávnika</t>
  </si>
  <si>
    <t>0108081102</t>
  </si>
  <si>
    <t>Povrchové úpravy terénu, sadenie, presádzanie, ošetrovanie, ochrana trávnika na svahu</t>
  </si>
  <si>
    <t xml:space="preserve">45.11.24 </t>
  </si>
  <si>
    <t>Výkopové práce</t>
  </si>
  <si>
    <t>45.11.27</t>
  </si>
  <si>
    <t>Terénne úpravy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</si>
  <si>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</si>
  <si>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</si>
  <si>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</si>
  <si>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</si>
  <si>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2201020101</t>
  </si>
  <si>
    <t>Podkladné a krycie vrstvy bez spojiva, spevnenie krajníc zo zeminy so zhutnením</t>
  </si>
  <si>
    <t>22020421</t>
  </si>
  <si>
    <t>Podkladné a krycie vrstvy s hydraulickým spojivom, cementobetónové jednovrstvové, kamenivo spevnené cementom</t>
  </si>
  <si>
    <t>2202042102</t>
  </si>
  <si>
    <t>Podkladné a krycie vrstvy s hydraulickým spojivom, cementobetónové jednovrstvové, kamenivo spevnené cementom KZC II</t>
  </si>
  <si>
    <t>22030329</t>
  </si>
  <si>
    <t>2203032903</t>
  </si>
  <si>
    <t>22030330</t>
  </si>
  <si>
    <t>Podkladné a krycie vrstvy z asfaltových zmesí, bitúmenové postreky, nátery, posypy spojovací postrek</t>
  </si>
  <si>
    <t>22030640</t>
  </si>
  <si>
    <t>Podkladné a krycie vrstvy z asfaltových zmesí, bitúmenové vrstvy, asfaltový betón</t>
  </si>
  <si>
    <t>22251161</t>
  </si>
  <si>
    <t>Doplňujúce konštrukcie,  otvorené žľaby z betónových tvárnic</t>
  </si>
  <si>
    <t>2225116102</t>
  </si>
  <si>
    <t>Doplňujúce konštrukcie,  otvorené žľaby z betónových tvárnic š. nad 500 mm</t>
  </si>
  <si>
    <t>45.23.32</t>
  </si>
  <si>
    <t>Práce na vrchnej stavbe diaľníc, ciest, ulíc, chodníkov a nekrytých parkovísk</t>
  </si>
  <si>
    <t>45.23.33</t>
  </si>
  <si>
    <t>Podkladné a krycie vrstvy z asfaltových zmesí, bitúmenové postreky, nátery,posypy infiltračný postrek</t>
  </si>
  <si>
    <t>Podkladné a krycie vrstvy z asfaltových zmesí, bitúmenové postreky, nátery,posypy infiltračný postrek z emulzie</t>
  </si>
  <si>
    <t>22030539</t>
  </si>
  <si>
    <t>Podkladné a krycie vrstvy z asfaltových zmesí s bitúmenovým spojivom, kamenivo obaľované asfaltom</t>
  </si>
  <si>
    <t>Práce na spodnej stavby diaľnic, ciest, ulíc a chodníkov a nekrytých parkovísk</t>
  </si>
  <si>
    <t>45.11.25</t>
  </si>
  <si>
    <t>Presun zemín</t>
  </si>
  <si>
    <t>01060204</t>
  </si>
  <si>
    <t>Premiestnenie  vodorovné nad 3 000 m</t>
  </si>
  <si>
    <t>0106020401</t>
  </si>
  <si>
    <t>Premiestnenie  výkopku resp. rúbaniny, vodorovné nad 3 000 m, tr. horniny 1-4</t>
  </si>
  <si>
    <t>45.00.00</t>
  </si>
  <si>
    <t>Všeobecné položky v procese obstarávania stavieb</t>
  </si>
  <si>
    <t>00010402</t>
  </si>
  <si>
    <t>Zmluvné požiadavky poplatky za zemník</t>
  </si>
  <si>
    <t>00010403</t>
  </si>
  <si>
    <t>Zmluvné požiadavky poplatky za skládky zeminy</t>
  </si>
  <si>
    <t>00010401</t>
  </si>
  <si>
    <t>Zmluvné požiadavky poplatky za skládky vybúraných hmôt a sutí</t>
  </si>
  <si>
    <t>spolu:</t>
  </si>
  <si>
    <t>kpl</t>
  </si>
  <si>
    <t>spolu</t>
  </si>
  <si>
    <t>prebytočná zemina</t>
  </si>
  <si>
    <t>01030102</t>
  </si>
  <si>
    <t>Hĺbené vykopávky jám nezapažených</t>
  </si>
  <si>
    <t>0103010207</t>
  </si>
  <si>
    <t>Hĺbené vykopávky jám nezapažených, tr. horniny 1-4</t>
  </si>
  <si>
    <t>01040402</t>
  </si>
  <si>
    <t>Konštrukcie z hornín - zásypy so zhutnením</t>
  </si>
  <si>
    <t>0104040207</t>
  </si>
  <si>
    <t>Konštrukcie z hornín - zásypy so zhutnením, tr. horniny 1-4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</si>
  <si>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</si>
  <si>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</si>
  <si>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</si>
  <si>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</si>
  <si>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45.22.11</t>
  </si>
  <si>
    <t>Stavebné práce na mostoch</t>
  </si>
  <si>
    <t>21250422</t>
  </si>
  <si>
    <t>Doplňujúce konštrukcie, dilatačné zariadenia, výplň dilatačných škár</t>
  </si>
  <si>
    <t>2125042204</t>
  </si>
  <si>
    <t>Doplňujúce konštrukcie, dilatačné zariadenia, výplň dilatačných škár z polystyrénu</t>
  </si>
  <si>
    <t>2203064001</t>
  </si>
  <si>
    <t>Podkladné a krycie vrstvy z asfaltových zmesí, bitúmenové vrstvy, asfaltový betón  triedy I</t>
  </si>
  <si>
    <t>22250671</t>
  </si>
  <si>
    <t>Doplňujúce konštrukcie,  zvislé dopravné značky, normálny alebo zväčšený rozmer</t>
  </si>
  <si>
    <t>2225067106</t>
  </si>
  <si>
    <t>Doplňujúce konštrukcie,  zvislé dopravné značky, normálny alebo zväčšený rozmer hliníkové reflexné</t>
  </si>
  <si>
    <t>22250980</t>
  </si>
  <si>
    <t>Doplňujúce konštrukcie,  obrubníky chodníkové</t>
  </si>
  <si>
    <t>2225098001</t>
  </si>
  <si>
    <t>Doplňujúce konštrukcie,  obrubníky chodníkové betónové</t>
  </si>
  <si>
    <t>45.24.70</t>
  </si>
  <si>
    <t>Práce na hrubej stavbe úprav tokov, hrádzí, zavlažovacích kanálov a akvaduktov</t>
  </si>
  <si>
    <t>45.26.14</t>
  </si>
  <si>
    <t>Izolačné práce proti vode</t>
  </si>
  <si>
    <t>61010101</t>
  </si>
  <si>
    <t>Izolácie proti vode a zemnej vlhkosti, bežných konštrukcií náterivami a tmelmi</t>
  </si>
  <si>
    <t>6101010101</t>
  </si>
  <si>
    <t>Izolácie proti vode a zemnej vlhkosti, bežných konštrukcií náterivami a tmelmi na ploche vodorovnej</t>
  </si>
  <si>
    <t>6101010102</t>
  </si>
  <si>
    <t>Izolácie proti vode a zemnej vlhkosti, bežných konštrukcií náterivami a tmelmi na ploche zvislej</t>
  </si>
  <si>
    <t>02050132</t>
  </si>
  <si>
    <t>Steny štetovnicové baranené, z kovových dielcov</t>
  </si>
  <si>
    <t>0205013201</t>
  </si>
  <si>
    <t>Steny štetovnicové baranené, z kovových dielcov, hĺ. do 10 m</t>
  </si>
  <si>
    <t>01030202</t>
  </si>
  <si>
    <t>Hĺbené vykopávky rýh š nad 600 mm</t>
  </si>
  <si>
    <t>J. CENA BEZ DPH</t>
  </si>
  <si>
    <t>CENA CELKOM BEZ DPH</t>
  </si>
  <si>
    <t>REKAPITULÁCIA</t>
  </si>
  <si>
    <t>Cena spolu bez DPH v €</t>
  </si>
  <si>
    <t>DPH 20%</t>
  </si>
  <si>
    <t>Cena s DPH v €</t>
  </si>
  <si>
    <t>Časti stavby</t>
  </si>
  <si>
    <t>Navrhovaná zmluvná cena (Akceptovaná zmluvná hodnota)</t>
  </si>
  <si>
    <t>Číslo časti stavby</t>
  </si>
  <si>
    <t>Klasifikácia stavieb</t>
  </si>
  <si>
    <t>Názov časti stavby</t>
  </si>
  <si>
    <t xml:space="preserve">    </t>
  </si>
  <si>
    <t>Celkový súčet bez DPH  v €</t>
  </si>
  <si>
    <t>Cena bez DPH v €</t>
  </si>
  <si>
    <t>REKAPITULÁCIA OBJEKTOV</t>
  </si>
  <si>
    <t>01</t>
  </si>
  <si>
    <t>02</t>
  </si>
  <si>
    <t>Verejné osvetlenie</t>
  </si>
  <si>
    <t>03</t>
  </si>
  <si>
    <t>Elektrické telekomunikačné siete Slovak Telekom</t>
  </si>
  <si>
    <t>04</t>
  </si>
  <si>
    <t>Elektrické telekomunikačné siete MO SR</t>
  </si>
  <si>
    <t>05</t>
  </si>
  <si>
    <t>Dažďová kanalizácia</t>
  </si>
  <si>
    <t>06</t>
  </si>
  <si>
    <t>07</t>
  </si>
  <si>
    <t>Sadové úpravy</t>
  </si>
  <si>
    <t>01.1   Turbookružná križovatka ZV - Rákoš na ceste III/2460</t>
  </si>
  <si>
    <t>01.2   Miestne komunikácie a chodníky pri turbookružnej križovatke ZV-Rákoš</t>
  </si>
  <si>
    <t>01.3    Ochrana vodovodu oceľ DN700</t>
  </si>
  <si>
    <t>01.4    Ochrana vodovodu HDPE D160</t>
  </si>
  <si>
    <t xml:space="preserve">Preložka VN kábla    </t>
  </si>
  <si>
    <t>01 Kruhový objazd</t>
  </si>
  <si>
    <t>01.1 Turbookružná križovatka ZV-Rákoš na ceste III/2460</t>
  </si>
  <si>
    <t>odstránený rigol ......: 3,85m2*0,44 t/m2=</t>
  </si>
  <si>
    <t>bitúmeny hr.150mm......1110m2*0,450t/m2=</t>
  </si>
  <si>
    <t>cementom stmelená zmes.........327m2*0,22t/m2</t>
  </si>
  <si>
    <t>bitúmeny hr.150mm......568m2*0,450t/m2=</t>
  </si>
  <si>
    <t>cestné obrubníky.........238m*0,145t/m=</t>
  </si>
  <si>
    <t>frézovaný materiál..........6524m2*0,127t/m2</t>
  </si>
  <si>
    <t>materiál pre dosypávku krajníc zo zemníka:</t>
  </si>
  <si>
    <t xml:space="preserve">odvoz prebytočnej zeminy na skládku: 1417+44,40+104+36,30+12,22-877-26,60= </t>
  </si>
  <si>
    <t>05030161</t>
  </si>
  <si>
    <t>Odstránenie spevnených plôch vozoviek a doplňujúcich konštrukcií krytov cementobetónových</t>
  </si>
  <si>
    <t>0503016102</t>
  </si>
  <si>
    <t>Odstránenie spevnených plôch vozoviek a doplňujúcich konštrukcií krytov cementobetónových hr. nad 100 do 200 mm</t>
  </si>
  <si>
    <t>Turbookruh: odstránenie rigola  vrátane bet. lôžka hr. 10 cm ......7m*0,55=</t>
  </si>
  <si>
    <t>05030162</t>
  </si>
  <si>
    <t>Odstránenie spevnených plôch vozoviek a doplňujúcich konštrukcií krytov bitúmenových</t>
  </si>
  <si>
    <t>0503016202</t>
  </si>
  <si>
    <t>Odstránenie spevnených plôch vozoviek a doplňujúcich konštrukcií krytov bitúmenových hr. nad 100 do 200 mm</t>
  </si>
  <si>
    <t>búranie asfaltových vrstiev hr.150mm</t>
  </si>
  <si>
    <t>Turbookruh:    1110m2</t>
  </si>
  <si>
    <t>0503026101</t>
  </si>
  <si>
    <t>Odstránenie spevnených plôch vozoviek a doplňujúcich konštrukcií podkladov z betónu prostého hr.do 100 mm</t>
  </si>
  <si>
    <t>vyspravenie podkladových vrstiev...cementom stmelená zmes</t>
  </si>
  <si>
    <t>B.Bystrica:  131m2</t>
  </si>
  <si>
    <t>Stráže:      196m2</t>
  </si>
  <si>
    <t>05030262</t>
  </si>
  <si>
    <t>Odstránenie spevnených plôch vozoviek a doplňujúcich konštrukcií podkladov bitúmenových</t>
  </si>
  <si>
    <t>0503026202</t>
  </si>
  <si>
    <t>Odstránenie spevnených plôch vozoviek a doplňujúcich konštrukcií podkladov bitúmenových hr. nad 100 do 200 mm</t>
  </si>
  <si>
    <t>B.Bystrica:   307m2</t>
  </si>
  <si>
    <t>Stráže:          261m2</t>
  </si>
  <si>
    <t>05030304</t>
  </si>
  <si>
    <t>Odstránenie spevnených plôch vozoviek a doplňujúcich konštrukcií obrubníkov a krajníkov betónových</t>
  </si>
  <si>
    <t>0503030402</t>
  </si>
  <si>
    <t>Odstránenie spevnených plôch vozoviek a doplňujúcich konštrukcií obrubníkov a krajníkov betónových stojatých</t>
  </si>
  <si>
    <t xml:space="preserve">odstránenie cestného obrubníka </t>
  </si>
  <si>
    <t xml:space="preserve">Turbookruh:    </t>
  </si>
  <si>
    <t xml:space="preserve">B.Bystrica:   </t>
  </si>
  <si>
    <t xml:space="preserve">Stráže:          </t>
  </si>
  <si>
    <t>05030507</t>
  </si>
  <si>
    <t>Odstránenie spevnených plôch a vozoviek, zvislého dopravného značenia, kovových</t>
  </si>
  <si>
    <t>odstránenie jestvujúcich ZDZ</t>
  </si>
  <si>
    <t>23ks</t>
  </si>
  <si>
    <t>Odstránené  jestvujúceho ZDZ....23*0,082t/ks</t>
  </si>
  <si>
    <t>odstránenie existujúceho bituménového krytu celkovej hr. 100 mm(2*50mm)</t>
  </si>
  <si>
    <t xml:space="preserve">Turbookruh: </t>
  </si>
  <si>
    <t>B.Bystrica: 1306m2*2</t>
  </si>
  <si>
    <t>Stráže:       1956m2*2</t>
  </si>
  <si>
    <t xml:space="preserve">rezaná škára </t>
  </si>
  <si>
    <t xml:space="preserve">B.Bystrica: </t>
  </si>
  <si>
    <t xml:space="preserve">Stráže:       </t>
  </si>
  <si>
    <t>0509046204</t>
  </si>
  <si>
    <t>Doplňujúce práce, diamantové rezanie bitúmenového krytu, podkladu hr. nad 150 do 200 mm</t>
  </si>
  <si>
    <t>prerezanie jestvujúcej vozovky hr.200mm</t>
  </si>
  <si>
    <t>B.Bystrica:   164m</t>
  </si>
  <si>
    <t>Stráže:         211m</t>
  </si>
  <si>
    <t>odstránenie vrstvy biologicky vhodnej zeminy (oddrnenie) hr. 100 mm:</t>
  </si>
  <si>
    <t>01040100</t>
  </si>
  <si>
    <t>Konštrukcie z hornín - skládky</t>
  </si>
  <si>
    <t>0104010007</t>
  </si>
  <si>
    <t>Konštrukcie z hornín - skládky  tr.horniny 1-4</t>
  </si>
  <si>
    <t>uloženie biologicky vhodnej zeminy na medziskládku: 1300m*0,10=</t>
  </si>
  <si>
    <t>odvoz biologicky vhodnej zeminy na medziskládku: 1300*0,1=</t>
  </si>
  <si>
    <t>01060600</t>
  </si>
  <si>
    <t>Premiestnenie  prehodením</t>
  </si>
  <si>
    <t>0106060007</t>
  </si>
  <si>
    <t>Premiestnenie  výkopku resp. rúbaniny prehodením,  tr. horniny 1-4</t>
  </si>
  <si>
    <t>ošetrenie biologicky vhodnej zeminy na medziskládke 2x: 130*2=</t>
  </si>
  <si>
    <t>Turbookruh:</t>
  </si>
  <si>
    <t>B.Bystrica:</t>
  </si>
  <si>
    <t>Stráže:</t>
  </si>
  <si>
    <t>B.Bystrica:    trativod DN160 ......148m*0,50*0,60=</t>
  </si>
  <si>
    <t>0103020207</t>
  </si>
  <si>
    <t>Hĺbené vykopávky rýh š nad 600 mm, tr. horniny 1-4</t>
  </si>
  <si>
    <t>vsakovacia ryha</t>
  </si>
  <si>
    <t>B.Bystrica:   1m*2m*30m</t>
  </si>
  <si>
    <t>Stráže:        1m*2m*22m</t>
  </si>
  <si>
    <t>výkop pre základ portálu DZ (B. Bystrica, Stráže)</t>
  </si>
  <si>
    <t>36,3m3</t>
  </si>
  <si>
    <t>01040202</t>
  </si>
  <si>
    <t>Konštrukcie z hornín - násypy so zhutnením</t>
  </si>
  <si>
    <t>0104020201</t>
  </si>
  <si>
    <t>Konštrukcie z hornín - násypy so zhutnením zo zemín súdržných</t>
  </si>
  <si>
    <t>prísyp</t>
  </si>
  <si>
    <t>aktívna zóna ŠD</t>
  </si>
  <si>
    <t>spätný zásyp pre základ portálu DZ (B. Bystrica, Stráže)</t>
  </si>
  <si>
    <t>26,6m3</t>
  </si>
  <si>
    <t>01080101</t>
  </si>
  <si>
    <t>Povrchové úpravy terénu, úprava pláne so  zhutnením v zárezoch</t>
  </si>
  <si>
    <t>0108010101</t>
  </si>
  <si>
    <t>Povrchové úpravy terénu, úprava pláne so  zhutnením v zárezoch, tr.horniny 1-4</t>
  </si>
  <si>
    <t>úprava pláne v záreze:</t>
  </si>
  <si>
    <t>svahovanie v rovine:</t>
  </si>
  <si>
    <t xml:space="preserve">úprava svahov výkopu do požadovaného sklonu: </t>
  </si>
  <si>
    <t>ornica potrbná na zahumusovanie:    578m2*0,1m+122m2*0,3m+144m2*0,3m</t>
  </si>
  <si>
    <t>.......z medziskládky    130m3</t>
  </si>
  <si>
    <t>.......chýbajúca (nákup)    7,6m3</t>
  </si>
  <si>
    <t>dovoz materiálu pre dosypávku krajníc zo zemníka:</t>
  </si>
  <si>
    <t>ornica z medziskládky na zahumusovanie: 130m3=</t>
  </si>
  <si>
    <t>01080501</t>
  </si>
  <si>
    <t>Povrchové úpravy terénu, úpravy povrchov rozprestretím ornice</t>
  </si>
  <si>
    <t>0108050101</t>
  </si>
  <si>
    <t>Povrchové úpravy terénu, úpravy povrchov rozprestretím ornice na rovine</t>
  </si>
  <si>
    <t>zahumusovanie prísypov hr.100mm</t>
  </si>
  <si>
    <t>0108050102</t>
  </si>
  <si>
    <t>Povrchové úpravy terénu, úpravy povrchov rozprestretím ornice na svahu</t>
  </si>
  <si>
    <t>Celkovo je potrebné na zahumusovanie.....137,6m3</t>
  </si>
  <si>
    <t>zo stavby sa použije   ....130m3</t>
  </si>
  <si>
    <t>chýbajúca, ktorú treba dokúpiť.....7,6m3</t>
  </si>
  <si>
    <t>01080603</t>
  </si>
  <si>
    <t>Povrchové úpravy terénu, úpravy pred výsadbou, obrobenie pôdy</t>
  </si>
  <si>
    <t>0108060312</t>
  </si>
  <si>
    <t>Povrchové úpravy terénu, úpravy pred výsadbou, obrobenie pôdy hnojením</t>
  </si>
  <si>
    <t>dodanie žívín počas skládkovania drnu :</t>
  </si>
  <si>
    <t>01080604</t>
  </si>
  <si>
    <t>Povrchové úpravy terénu, úpravy pred výsadbou chemickým odplevelením, odburinením</t>
  </si>
  <si>
    <t>0108060401</t>
  </si>
  <si>
    <t>Povrchové úpravy terénu, úpravy pred výsadbou chemickým odplevelením, odburinením pred založením kultúry</t>
  </si>
  <si>
    <t>ošetrenie drnu na medziskládke:</t>
  </si>
  <si>
    <t>45.23.13</t>
  </si>
  <si>
    <t>Práce na stavbe miestnych potrubných vedení vody a kanalizácie</t>
  </si>
  <si>
    <t>27030422</t>
  </si>
  <si>
    <t>Kanalizácie, rúry plastové, PVC</t>
  </si>
  <si>
    <t>2703042204</t>
  </si>
  <si>
    <t>Kanalizácie, rúry plastové, PVC DN 200</t>
  </si>
  <si>
    <t>výustné potrubie DN 200</t>
  </si>
  <si>
    <t>27031172</t>
  </si>
  <si>
    <t>Kanalizácie, ostatné konštrukcie, vpusty kanalizačné</t>
  </si>
  <si>
    <t>2703117201</t>
  </si>
  <si>
    <t>Kanalizácie, ostatné konštrukcie, vpusty kanalizačné z betónových dielcov</t>
  </si>
  <si>
    <t xml:space="preserve">uličné vpusty: </t>
  </si>
  <si>
    <t>27031176</t>
  </si>
  <si>
    <t>Kanalizácie, ostatné konštrukcie, doplnky</t>
  </si>
  <si>
    <t>2703117602</t>
  </si>
  <si>
    <t>Kanalizácie, ostatné konštrukcie, doplnky - mreže</t>
  </si>
  <si>
    <t>45.23.31</t>
  </si>
  <si>
    <t>Stavebné práce na výstavbe diaľnic a ciest chodníkov a nekrytých parkovísk</t>
  </si>
  <si>
    <t>22250776</t>
  </si>
  <si>
    <t>Doplňujúce konštrukcie,  vodorovné dopravné značenie striekané a náterové</t>
  </si>
  <si>
    <t>2225077601</t>
  </si>
  <si>
    <t>doplňujúce konštrukcie,  vodorovné dopravné značenie striekané a náterové vodiacich pruhov</t>
  </si>
  <si>
    <t>trvalé dopravné značenie</t>
  </si>
  <si>
    <t>v zmysle C2 - dopravné značenie celej stavby</t>
  </si>
  <si>
    <t>š.250mm</t>
  </si>
  <si>
    <t>601 (súvislá): 608,7m*0,250m=</t>
  </si>
  <si>
    <t xml:space="preserve">602 (1,5/1,5): 433,1*1/2*0,250= </t>
  </si>
  <si>
    <t>- vrátane predznačenia</t>
  </si>
  <si>
    <t>2225077602</t>
  </si>
  <si>
    <t>Doplňujúce konštrukcie,  vodorovné dopravné značenie striekané a náterové deliacich čiar</t>
  </si>
  <si>
    <t>š.125mm</t>
  </si>
  <si>
    <t>601 (súvislá): 743,3m*0,125m=</t>
  </si>
  <si>
    <t>602 (1,5/3): 19,9*1/3*0,125=</t>
  </si>
  <si>
    <t>602 (3/1,5): 130,8*2/3*0,125=</t>
  </si>
  <si>
    <t>602 (1,5/1,5): 130,3*1/2*0,125=</t>
  </si>
  <si>
    <t>2225077603</t>
  </si>
  <si>
    <t>Doplňujúce konštrukcie,  vodorovné dopravné značenie striekané a náterové stopčiary, zebry, šipky, atď.</t>
  </si>
  <si>
    <t>605 (čakacia)(prerušovaná) 0,50/0,25: 3,3*0,5*2/3</t>
  </si>
  <si>
    <t>611 (miesto na prechádzanie)  0,5/0,25...69,8*0,125*2/3</t>
  </si>
  <si>
    <t>630(smerové šípky):  8ks*1,1m2+9ks*1,2m2+2ks*1,0m2+4ks*1,3m2=</t>
  </si>
  <si>
    <t>631(smerové šípky):  2ks*4,2m2=</t>
  </si>
  <si>
    <t>621 cik cak čiara (BUS):   52m*0,125</t>
  </si>
  <si>
    <t>620 (vyšrafovaný priestor): 208,8*1/2=</t>
  </si>
  <si>
    <t>znak okruh: 2ks*1,7m2</t>
  </si>
  <si>
    <t>symboly (nápis BUS):  4ks*1,9m2</t>
  </si>
  <si>
    <t>symboly (nápis BB):  1ks*1,3m2</t>
  </si>
  <si>
    <t>2203033004</t>
  </si>
  <si>
    <t>Podkladné a krycie vrstvy z asfaltových zmesí, bitúmenové postreky, nátery, posypy spojovací postrek z modifikovanej emulzie</t>
  </si>
  <si>
    <t>VOZOVKA</t>
  </si>
  <si>
    <r>
      <t>PS CB 0,50 kg/m2, medzi SMA a AC</t>
    </r>
    <r>
      <rPr>
        <i/>
        <u/>
        <vertAlign val="subscript"/>
        <sz val="10"/>
        <rFont val="Arial CE"/>
        <family val="2"/>
        <charset val="238"/>
      </rPr>
      <t>L</t>
    </r>
  </si>
  <si>
    <t xml:space="preserve">Stráže:    </t>
  </si>
  <si>
    <r>
      <t>PS CB 0,50 kg/m2, medzi AC</t>
    </r>
    <r>
      <rPr>
        <i/>
        <u/>
        <vertAlign val="subscript"/>
        <sz val="10"/>
        <rFont val="Arial CE"/>
        <family val="2"/>
        <charset val="238"/>
      </rPr>
      <t>L</t>
    </r>
    <r>
      <rPr>
        <i/>
        <u/>
        <sz val="10"/>
        <rFont val="Arial CE"/>
        <family val="2"/>
        <charset val="238"/>
      </rPr>
      <t xml:space="preserve"> a AC</t>
    </r>
    <r>
      <rPr>
        <i/>
        <u/>
        <vertAlign val="subscript"/>
        <sz val="10"/>
        <rFont val="Arial CE"/>
        <family val="2"/>
        <charset val="238"/>
      </rPr>
      <t>P</t>
    </r>
  </si>
  <si>
    <t>PS CB 0,80 kg/m2, medzi ACL a ACP</t>
  </si>
  <si>
    <t>ACL 16-I 60mm</t>
  </si>
  <si>
    <t>Turbookruh:    1223m2*0,06m</t>
  </si>
  <si>
    <t>B.Bystrica:     1934m2*0,06m</t>
  </si>
  <si>
    <t>Stráže:           2132m2*0,06m</t>
  </si>
  <si>
    <t>22030641</t>
  </si>
  <si>
    <t>Podkladné a krycie vrstvy z asfaltových zmesí, bitúmenové vrstvy, asfaltový koberec mastixový</t>
  </si>
  <si>
    <t>2203064101</t>
  </si>
  <si>
    <t>Podkladné a krycie vrstvy z asfaltových zmesí, bitúmenové vrstvy, asfaltový koberec mastixový triedy I</t>
  </si>
  <si>
    <t>SMA 11 hr. 40 mm</t>
  </si>
  <si>
    <t>Turbookruh:    1223m2*0,04m</t>
  </si>
  <si>
    <t>B.Bystrica:     1934m2*0,04m</t>
  </si>
  <si>
    <t>Stráže:           2132m2*0,04m</t>
  </si>
  <si>
    <t>22030951</t>
  </si>
  <si>
    <t>Podkladné a krycie vrstvy z asfaltových zmesí úprava škár pri opravách, asfaltová zálievka</t>
  </si>
  <si>
    <t>asfaltová zálievka</t>
  </si>
  <si>
    <t xml:space="preserve">Stráže:   </t>
  </si>
  <si>
    <t>jestvujúci cestný obrubník, most</t>
  </si>
  <si>
    <t>obrubník bez styku s asfaltom</t>
  </si>
  <si>
    <t>napojenie na jestvujúce komunikácie</t>
  </si>
  <si>
    <t>pokládka po pruhoch</t>
  </si>
  <si>
    <t>22040247</t>
  </si>
  <si>
    <t>Kryty dláždené,chodníkov komunikácií,rigolov z kociek prírodných</t>
  </si>
  <si>
    <t>2204024702</t>
  </si>
  <si>
    <t>Kryty dláždené,chodníkov komunikácií,rigolov z kociek prírodných drobných</t>
  </si>
  <si>
    <t>PRSTENEC A KOSÁKOVITÉ KRAJNICE</t>
  </si>
  <si>
    <t>dlažobné kocky 120x120x120mm žula vrátane cementovej zálievky</t>
  </si>
  <si>
    <t>rozšírenie líniového oddeľovača z dlažobných kociek do betónového lôžka</t>
  </si>
  <si>
    <t>22040417</t>
  </si>
  <si>
    <t>Kryty dláždené,chodníkov komunikácií,rigolov zo zámkovej dlažby betónovej</t>
  </si>
  <si>
    <t>2204041701</t>
  </si>
  <si>
    <t>Kryty dláždené,chodníkov komunikácií,rigolov zo zámkovej dlažby betónovej hr.6 cm</t>
  </si>
  <si>
    <t>CHODNÍKY A OSTROVČEKY</t>
  </si>
  <si>
    <t>betónové dlažobné tvarovky C30/37...hr.60mm</t>
  </si>
  <si>
    <t>22040517</t>
  </si>
  <si>
    <t>Kryty dláždené,chodníkov komunikácií,rigolov z dlažby betónovej pre nevidiacich</t>
  </si>
  <si>
    <t>základný rozmer</t>
  </si>
  <si>
    <t>210(vpravo)</t>
  </si>
  <si>
    <t>212 (vpravo)</t>
  </si>
  <si>
    <t>233(NV)</t>
  </si>
  <si>
    <t>zmenšený rozmer</t>
  </si>
  <si>
    <t>- kompletné zhotovenie, vrátane stĺpikov</t>
  </si>
  <si>
    <t>22250672</t>
  </si>
  <si>
    <t>Doplňujúce konštrukcie,  zvislé dopravné značky, veľkorozmerné</t>
  </si>
  <si>
    <t>2225067206</t>
  </si>
  <si>
    <t>Doplňujúce konštrukcie,  zvislé dopravné značky, veľkorozmerné hliníkové reflexné</t>
  </si>
  <si>
    <t>361    prízemná</t>
  </si>
  <si>
    <t>364    prízemná</t>
  </si>
  <si>
    <t>365    prízemná</t>
  </si>
  <si>
    <t>366    prízemná</t>
  </si>
  <si>
    <t>360 konzolový portál</t>
  </si>
  <si>
    <t>- kompletné zhotovenie, vrátane stĺpikov, nosičov</t>
  </si>
  <si>
    <t>22250675</t>
  </si>
  <si>
    <t>Doplňujúce konštrukcie,  zvislé dopravné značky, portály</t>
  </si>
  <si>
    <t>2225067501</t>
  </si>
  <si>
    <t>Doplňujúce konštrukcie,  zvislé dopravné značky, portály oceľové</t>
  </si>
  <si>
    <t xml:space="preserve"> portály (B. Bystrica, Stráže)</t>
  </si>
  <si>
    <t>- vrátane povrchovej úpravy v zmysle PD</t>
  </si>
  <si>
    <t>- vrátane kotvenia</t>
  </si>
  <si>
    <t>cestný obrubník</t>
  </si>
  <si>
    <t>- vrátane bet. lôžka hr. 100 mm</t>
  </si>
  <si>
    <t>cestný obrubník nábehový do betónového lôžka</t>
  </si>
  <si>
    <t>- vrátane bet. lôžka</t>
  </si>
  <si>
    <t>líniový oddelovač (Turbo obrubník)</t>
  </si>
  <si>
    <t>dláždená priekopa z bet.tvarovky š. 600mm</t>
  </si>
  <si>
    <t>22010103</t>
  </si>
  <si>
    <t>Podkladné a krycie vrstvy bez spojiva nestmelené, kamenivo drvené</t>
  </si>
  <si>
    <t>2201010301</t>
  </si>
  <si>
    <t>Podkladné a krycie vrstvy bez spojiva nestmelené, kamenivo drvené frakcia 8-63 mm</t>
  </si>
  <si>
    <t>hrubé drvené kamenivo HK 2/4    30mm</t>
  </si>
  <si>
    <t>B.Bystrica:   46m2*0,03m</t>
  </si>
  <si>
    <t>Stráže:    59m2*0,03m</t>
  </si>
  <si>
    <t>ŠD 0/31,5 Gc hr. 150mm (priem.200mm)</t>
  </si>
  <si>
    <t>Turbookruh:   1223m2*0,2m</t>
  </si>
  <si>
    <t>B.Bystrica:     691m2*0,2m</t>
  </si>
  <si>
    <t>Stráže:         194m2*0,20m</t>
  </si>
  <si>
    <t>ŠD 0/31,5 Gc hr. 150mm (priem.150mm)</t>
  </si>
  <si>
    <t>Turbookruh:   223m2*0,15m</t>
  </si>
  <si>
    <t>Stráže:         6m2*0,15m</t>
  </si>
  <si>
    <t xml:space="preserve">ŠD 0/31,5 Gp hr. 150mm </t>
  </si>
  <si>
    <t>B.Bystrica:     46m2*0,15m</t>
  </si>
  <si>
    <t>Stráže:         59m2*0,15m</t>
  </si>
  <si>
    <t>dosypávka krajnice nenamŕzavým materiálom</t>
  </si>
  <si>
    <t>B.Bystrica:     4m3</t>
  </si>
  <si>
    <t>22020417</t>
  </si>
  <si>
    <t>Podkladné a krycie vrstvy s hydraulickým spojivom, cementobetónové jednovrstvové, beton prostý</t>
  </si>
  <si>
    <t>2202041706</t>
  </si>
  <si>
    <t>Podkladné a krycie vrstvy s hydraulickým spojivom, cementobetónové jednovrstvové, beton prostý tr. IV   C30/37 (B 35)</t>
  </si>
  <si>
    <t>podkladný betón C30/37....100mm (prst.85mm, kraj 70mm)</t>
  </si>
  <si>
    <t>Turbookruh:   147m2*0,085m</t>
  </si>
  <si>
    <t>Stráže:         5m2*0,07m</t>
  </si>
  <si>
    <r>
      <t>CBGM C</t>
    </r>
    <r>
      <rPr>
        <i/>
        <u/>
        <vertAlign val="subscript"/>
        <sz val="10"/>
        <rFont val="Arial CE"/>
        <family val="2"/>
        <charset val="238"/>
      </rPr>
      <t>5/6</t>
    </r>
    <r>
      <rPr>
        <i/>
        <u/>
        <sz val="10"/>
        <rFont val="Arial CE"/>
        <family val="2"/>
        <charset val="238"/>
      </rPr>
      <t xml:space="preserve"> hr. 150 mm</t>
    </r>
  </si>
  <si>
    <t>Turbookruh:   1223m2*0,15m</t>
  </si>
  <si>
    <t>B.Bystrica:     628m2*0,15m</t>
  </si>
  <si>
    <t>Stráže:         176m2*0,15m</t>
  </si>
  <si>
    <t>Turbookruh:   209m2*0,15m</t>
  </si>
  <si>
    <t>Stráže:   6m2*0,15m</t>
  </si>
  <si>
    <t>v mieste vyspravenia podkladových vrstiev</t>
  </si>
  <si>
    <r>
      <t>CBGM C</t>
    </r>
    <r>
      <rPr>
        <i/>
        <u/>
        <vertAlign val="subscript"/>
        <sz val="10"/>
        <rFont val="Arial CE"/>
        <family val="2"/>
        <charset val="238"/>
      </rPr>
      <t>5/6</t>
    </r>
    <r>
      <rPr>
        <i/>
        <u/>
        <sz val="10"/>
        <rFont val="Arial CE"/>
        <family val="2"/>
        <charset val="238"/>
      </rPr>
      <t xml:space="preserve"> hr. 100 mm</t>
    </r>
  </si>
  <si>
    <t>B.Bystrica:     131m2*0,1m</t>
  </si>
  <si>
    <t>Stráže:         196m2*0,1m</t>
  </si>
  <si>
    <r>
      <t>PI CB 0,8 kg/m2 medzi AC</t>
    </r>
    <r>
      <rPr>
        <i/>
        <u/>
        <vertAlign val="subscript"/>
        <sz val="10"/>
        <rFont val="Arial CE"/>
        <family val="2"/>
        <charset val="238"/>
      </rPr>
      <t>P</t>
    </r>
    <r>
      <rPr>
        <i/>
        <u/>
        <sz val="10"/>
        <rFont val="Arial CE"/>
        <family val="2"/>
        <charset val="238"/>
      </rPr>
      <t xml:space="preserve"> a CBGM</t>
    </r>
  </si>
  <si>
    <t>Turbookruh:   1223m2</t>
  </si>
  <si>
    <t>B.Bystrica:     628m2</t>
  </si>
  <si>
    <t>Stráže:         176m2</t>
  </si>
  <si>
    <t>2203053901</t>
  </si>
  <si>
    <t>Podkladné a krycie vrstvy z asfaltových zmesí s bitúmenovým spojivom, kamenivo obaľované asfaltom triedy I</t>
  </si>
  <si>
    <t>ACp 16 I 50mm</t>
  </si>
  <si>
    <t>Turbookruh:    1223m2*0,05m</t>
  </si>
  <si>
    <t>B.Bystrica:       628m2*0,05m</t>
  </si>
  <si>
    <t>Stráže:            176m2*0,05m</t>
  </si>
  <si>
    <t>31080608</t>
  </si>
  <si>
    <t>Objekty melioračné, drenážne vyústenie z betónových dielcov</t>
  </si>
  <si>
    <t>výustný objekt</t>
  </si>
  <si>
    <t>31210203</t>
  </si>
  <si>
    <t>Spevnené plochy, rovnaniny z lomového kameňa</t>
  </si>
  <si>
    <t>3121020301</t>
  </si>
  <si>
    <t>Spevnené plochy, rovnaniny z lomového kameňa do 80 kg</t>
  </si>
  <si>
    <t>kamenná nahádzka fr.32-63(sklzy)</t>
  </si>
  <si>
    <t>základ ....portály DZ</t>
  </si>
  <si>
    <t>1xPN+2xAN</t>
  </si>
  <si>
    <t>2ksx3,96m2</t>
  </si>
  <si>
    <t>základ....portály DZ</t>
  </si>
  <si>
    <t>2ksx11,5m2</t>
  </si>
  <si>
    <t>02010101</t>
  </si>
  <si>
    <t>Zlepšovanie základovej pôdy, výplň odvodňovacích rebier alebo trativodov kamenivom, štrkopieskom</t>
  </si>
  <si>
    <t>0201010101</t>
  </si>
  <si>
    <t>Zlepšovanie základovej pôdy, výplň odvodňovacích rebier alebo trativodov kamenivom, štrkopieskom triedeným</t>
  </si>
  <si>
    <t>výplň ryhy</t>
  </si>
  <si>
    <t>trativod DN160 ...B Bystrica.....148m*0,20m2=</t>
  </si>
  <si>
    <t>02010103</t>
  </si>
  <si>
    <t>Zlepšovanie základovej pôdy, výplň odvodňovacích rebier alebo trativodov kamenivom drveným</t>
  </si>
  <si>
    <t>0201010302</t>
  </si>
  <si>
    <t>Zlepšovanie základovej pôdy, výplň odvodňovacích rebier alebo trativodov kamenivom drveným fr. 16-125 mm</t>
  </si>
  <si>
    <t>výplň vsakovacej ryhy</t>
  </si>
  <si>
    <t>Stráže:       1m*2m*22m</t>
  </si>
  <si>
    <t>02010105</t>
  </si>
  <si>
    <t>Zlepšovanie základovej pôdy, výplň odvodňovacích rebier alebo trativodov oplášt.z geotextílie</t>
  </si>
  <si>
    <t>0201010501</t>
  </si>
  <si>
    <t>Zlepšovanie základovej pôdy, výplň odvodňovacích rebier alebo trativodov oplášt.z geotextílie, steny šikmé do 1:2,5</t>
  </si>
  <si>
    <t>B.Bystrica:  2*1m*30m</t>
  </si>
  <si>
    <t>Stráže:       2*1m*22m</t>
  </si>
  <si>
    <t>0201010502</t>
  </si>
  <si>
    <t>Zlepšovanie základovej pôdy, výplň odvodňovacích rebier alebo trativodov oplášt.z geotextílie, steny zvislé alebo šikmé  nad 1:2,5</t>
  </si>
  <si>
    <t>B.Bystrica:  2*2m*30m</t>
  </si>
  <si>
    <t>Stráže:       2*2m*22m</t>
  </si>
  <si>
    <t>02010201</t>
  </si>
  <si>
    <t>Zlepšovanie základovej pôdy, lôžko pre trativody a vankúše pod základy, z kameniva, štrkopiesku</t>
  </si>
  <si>
    <t>0201020101</t>
  </si>
  <si>
    <t>Zlepšovanie základovej pôdy, lôžko pre trativody a vankúše pod základy, z kameniva, štrkopiesku triedeného</t>
  </si>
  <si>
    <t>štrkopieskové lôžko hr. 70 mm</t>
  </si>
  <si>
    <t>trativod DN160...B.Bystrica.......148m*0,50*0,07*1,1=</t>
  </si>
  <si>
    <t>02010309</t>
  </si>
  <si>
    <t>Zlepšovanie základovej pôdy, trativody kompletné z potrubia plastického</t>
  </si>
  <si>
    <t>0201030906</t>
  </si>
  <si>
    <t>Zlepšovanie základovej pôdy, trativody kompletné z potrubia plastického DN 160 mm</t>
  </si>
  <si>
    <t>trativod DN160 ......B. Bystrica      148m</t>
  </si>
  <si>
    <t>02020672</t>
  </si>
  <si>
    <t>Vrty pre pilóty, tr.horniny II</t>
  </si>
  <si>
    <t>0202067206</t>
  </si>
  <si>
    <t>Vrty pre pilóty, tr.horniny II, D nad 850 do 1050 mm</t>
  </si>
  <si>
    <t>portály dopravného značenia, pilóta fí 930 mm dĺ. 4,50 m pre základy 2xZ1, 60%: 2*2 ks*4,50*0,60=</t>
  </si>
  <si>
    <t>02020673</t>
  </si>
  <si>
    <t>Vrty pre pilóty, tr.horniny III</t>
  </si>
  <si>
    <t>0202067306</t>
  </si>
  <si>
    <t>Vrty pre pilóty, tr.horniny III, D nad 850 do 1050 mm</t>
  </si>
  <si>
    <t>portály dopravného značenia, pilóta fí 930 mm dĺ. 4,50 m pre základy 2x Z1, 40%: 2*2 ks*4,50*0,40=</t>
  </si>
  <si>
    <t>02040222</t>
  </si>
  <si>
    <t>Pilóty betónované na mieste s vytiahnutím pažnice, beton železový</t>
  </si>
  <si>
    <t>0204022202</t>
  </si>
  <si>
    <t>Pilóty betónované na mieste s vytiahnutím pažnice, beton železový C 25/30</t>
  </si>
  <si>
    <t>portály dopravného značenia, pilóta C25/30 fí 930 mm dĺ. 4,50 m pre základy 2xZ1: 2*2 ks*3,14*0,465*0,465*4,50=</t>
  </si>
  <si>
    <t>02040223</t>
  </si>
  <si>
    <t>Pilóty betónované na mieste s vytiahnutím pažnice, betonárska výstuž</t>
  </si>
  <si>
    <t>0204022304</t>
  </si>
  <si>
    <t>Pilóty betónované na mieste s vytiahnutím pažnice, betonárska výstuž 10 505</t>
  </si>
  <si>
    <t>portály dopravného značenia, pilóta fí 930 mm dĺ. 4,50 m pre základy 2x Z1: 2*2 ks*0,23621=</t>
  </si>
  <si>
    <t>11010202</t>
  </si>
  <si>
    <t>Základy, pätky z betónu železového</t>
  </si>
  <si>
    <t>1101020208</t>
  </si>
  <si>
    <t>Základy, pätky z betónu železového, tr. C 35/45 (B 45)</t>
  </si>
  <si>
    <t>portály dopravného značenia, základ Z1, 2 ks á 4,55 m3:</t>
  </si>
  <si>
    <t>podkladný betón C12/15 pre portály dopravného značenia, základy 2x Z1:</t>
  </si>
  <si>
    <t>11010211</t>
  </si>
  <si>
    <t>Základy, pätky, debnenie tradičné</t>
  </si>
  <si>
    <t>1101021101</t>
  </si>
  <si>
    <t>Základy, pätky, debnenie tradičné drevené</t>
  </si>
  <si>
    <t>portály dopravného značenia, základ 2x Z1:</t>
  </si>
  <si>
    <t>11010221</t>
  </si>
  <si>
    <t>Základy, pätky, výstuž z betonárskej ocele</t>
  </si>
  <si>
    <t>1101022106</t>
  </si>
  <si>
    <t>Základy, pätky, výstuž z betonárskej ocele 10505</t>
  </si>
  <si>
    <t>portály dopravného značenia, základ 2xZ1:</t>
  </si>
  <si>
    <t>2*0,382</t>
  </si>
  <si>
    <t>Cena celkom za 01.1 - Turbookružná križovatka ZV-Rákoš na ceste III/2460</t>
  </si>
  <si>
    <t xml:space="preserve">01.2 Miestne kom. a chodníky pri turbookr. križovatke ZV-Rákoš </t>
  </si>
  <si>
    <t>odstránený rigol ......: 5,5m2*0,44 t/m2=</t>
  </si>
  <si>
    <t>bitúmeny hr.50mm......14m2*0,181t/m2=</t>
  </si>
  <si>
    <t>bitúmeny hr.150mm......922m2*0,450t/m2=</t>
  </si>
  <si>
    <t>rozoberanie dlažby chodníkov.....181m2*0,288t/m2=</t>
  </si>
  <si>
    <t>búranie chodníka z panelov.........117m2*0,397t/m2=</t>
  </si>
  <si>
    <t>cementom stmelená zmes.........103m3*0,22t/m2</t>
  </si>
  <si>
    <t>bitúmeny hr.150mm......969m2*0,450t/m2=</t>
  </si>
  <si>
    <t>cestné obrubníky.........369m*0,145t/m=</t>
  </si>
  <si>
    <t>záhonové obrubníky...........91m*0,040t/m=</t>
  </si>
  <si>
    <t>frézovaný materiál..........2056m2*0,127t/m2</t>
  </si>
  <si>
    <t xml:space="preserve">918+20,10+18,15+6,11-469-13,3= </t>
  </si>
  <si>
    <t>Turbookruh: odstránenie rigola  vrátane bet. lôžka hr. 10 cm ......10m*0,55=</t>
  </si>
  <si>
    <t>0503016201</t>
  </si>
  <si>
    <t>Odstránenie spevnených plôch vozoviek a doplňujúcich konštrukcií krytov bitúmenových hr.do 100 mm</t>
  </si>
  <si>
    <t>búranie asf.chodníka....priem. hr.50mm</t>
  </si>
  <si>
    <t>Centrum:</t>
  </si>
  <si>
    <t>B.Bystrica</t>
  </si>
  <si>
    <t>Parkovisko:</t>
  </si>
  <si>
    <t>05030166</t>
  </si>
  <si>
    <t>Odstránenie spevnených plôch vozoviek a doplňujúcich konštrukcií krytov dlaždených</t>
  </si>
  <si>
    <t>0503016601</t>
  </si>
  <si>
    <t>Odstránenie spevnených plôch vozoviek a doplňujúcich konštrukcií krytov dlaždených hr.do 100 mm</t>
  </si>
  <si>
    <t>rozoberanie dlažby chodníkov hr.60mm</t>
  </si>
  <si>
    <t>0503016602</t>
  </si>
  <si>
    <t>Odstránenie spevnených plôch vozoviek a doplňujúcich konštrukcií krytov dlaždených hr. nad 100 do 200 mm</t>
  </si>
  <si>
    <t>búranie chodníka z panelov</t>
  </si>
  <si>
    <t>Areál:</t>
  </si>
  <si>
    <t>0503030403</t>
  </si>
  <si>
    <t>Odstránenie spevnených plôch vozoviek a doplňujúcich konštrukcií obrubníkov a krajníkov betónových záhonových</t>
  </si>
  <si>
    <t>odstránenie záhonových obrubníkov</t>
  </si>
  <si>
    <t>19ks</t>
  </si>
  <si>
    <t>Odstránené  jestvujúceho ZDZ....19*0,082t/ks</t>
  </si>
  <si>
    <t>odstránenie existujúceho bituménového krytu celkovej hr. 100 mm</t>
  </si>
  <si>
    <t>Areál: 429m2*2</t>
  </si>
  <si>
    <t>Centrum: 599m2*2</t>
  </si>
  <si>
    <t>prerezanie jestvujúcej asf. chodníka (na moste) hr.100mm</t>
  </si>
  <si>
    <t>Centrum: 13m</t>
  </si>
  <si>
    <t>Areál: 360m</t>
  </si>
  <si>
    <t>Centrum: 657m</t>
  </si>
  <si>
    <t>Parkovisko: 139m</t>
  </si>
  <si>
    <t>Areál: 74m</t>
  </si>
  <si>
    <t>Centrum: 115m</t>
  </si>
  <si>
    <t>Parkovisko: 8m</t>
  </si>
  <si>
    <t>uloženie biologicky vhodnej zeminy na medziskládku: 1280m*0,10=</t>
  </si>
  <si>
    <t>odvoz biologicky vhodnej zeminy na medziskládku: 1280*0,1=</t>
  </si>
  <si>
    <t>ošetrenie biologicky vhodnej zeminy na medziskládke 2x: 128*2=</t>
  </si>
  <si>
    <t>trativod DN160 ......67*0,50*0,60=</t>
  </si>
  <si>
    <t>výkop pre základ portálu DZ</t>
  </si>
  <si>
    <t>18,15m3</t>
  </si>
  <si>
    <t>násyp zo zeminy z výkopu</t>
  </si>
  <si>
    <t>podsypanie chodníkov</t>
  </si>
  <si>
    <t>spätný zásyp pre základ portálu DZ</t>
  </si>
  <si>
    <t>13,3m3</t>
  </si>
  <si>
    <t>úprava pláne v násype:</t>
  </si>
  <si>
    <t>01080402</t>
  </si>
  <si>
    <t>Povrchové úpravy terénu, svahovanie v násypoch</t>
  </si>
  <si>
    <t>0108040201</t>
  </si>
  <si>
    <t>Povrchové úpravy terénu, svahovanie v násypoch, tr.horniny 1-4</t>
  </si>
  <si>
    <t>úprava svahov násypu do požadovaného sklonu:</t>
  </si>
  <si>
    <t>ornica  na zahumusovanie: (644+1252)*0,10=</t>
  </si>
  <si>
    <t>z medziskládky....128m3</t>
  </si>
  <si>
    <t>chýbajúca ...nákup.....189,60-128=61,6m3</t>
  </si>
  <si>
    <t xml:space="preserve">odvoz prebytočného materiál z výkopu na skládku: 918+20,10+18,15+6,11-469-13,3= </t>
  </si>
  <si>
    <t xml:space="preserve">ornica z medziskládky na zahumusovanie: </t>
  </si>
  <si>
    <t>zahumusovanie svahov hr.100mm</t>
  </si>
  <si>
    <t>Celkovo je potrebné na zahumusovanie.....189,6m3</t>
  </si>
  <si>
    <t>zo stavby sa použije   ....128m3</t>
  </si>
  <si>
    <t>chýbajúca, ktorú treba dokúpiť.....61,6m3</t>
  </si>
  <si>
    <t>dodanie žívín počas skládkovania drnu:</t>
  </si>
  <si>
    <t>601 (súvislá): 286,5m*0,250=</t>
  </si>
  <si>
    <t xml:space="preserve">602 (1,5/1,5): 57,4m*1/2*0,250= </t>
  </si>
  <si>
    <t>601 (súvislá): 190,7*0,125=</t>
  </si>
  <si>
    <t>602 (1,5/1,5): 41,1*1/2*0,125=</t>
  </si>
  <si>
    <t>611 (miesto na prechádzanie)  0,5/0,25...46,5*0,125*2/3</t>
  </si>
  <si>
    <t>630(smerové šípky):  3ks*1,0m2+3ks*1,3m2=</t>
  </si>
  <si>
    <t>Areál:  529m2</t>
  </si>
  <si>
    <t>Centrum:   1170m2</t>
  </si>
  <si>
    <t>Parkovisko:    234m2</t>
  </si>
  <si>
    <t>Stráže:    182m2</t>
  </si>
  <si>
    <t>Areál:  100m2</t>
  </si>
  <si>
    <t>Centrum:   571m2</t>
  </si>
  <si>
    <r>
      <t>PS CB 0,80 kg/m2, medzi AC</t>
    </r>
    <r>
      <rPr>
        <i/>
        <u/>
        <vertAlign val="subscript"/>
        <sz val="10"/>
        <rFont val="Arial CE"/>
        <family val="2"/>
        <charset val="238"/>
      </rPr>
      <t>L</t>
    </r>
    <r>
      <rPr>
        <i/>
        <u/>
        <sz val="10"/>
        <rFont val="Arial CE"/>
        <family val="2"/>
        <charset val="238"/>
      </rPr>
      <t xml:space="preserve"> a AC</t>
    </r>
    <r>
      <rPr>
        <i/>
        <u/>
        <vertAlign val="subscript"/>
        <sz val="10"/>
        <rFont val="Arial CE"/>
        <family val="2"/>
        <charset val="238"/>
      </rPr>
      <t>P</t>
    </r>
  </si>
  <si>
    <t>Areál:  429m2</t>
  </si>
  <si>
    <t>Centrum:  599 m2</t>
  </si>
  <si>
    <t>Areál:  529m2*0,06m</t>
  </si>
  <si>
    <t>Centrum:  1170m2*0,06m</t>
  </si>
  <si>
    <t>Parkovisko:    234m2*0,06m</t>
  </si>
  <si>
    <t>Stráže:    182m2*0,06m</t>
  </si>
  <si>
    <t>Areál:  529m2*0,04m</t>
  </si>
  <si>
    <t>Centrum:   1170m2*0,04m</t>
  </si>
  <si>
    <t>Parkovisko:    234m2*0,04m</t>
  </si>
  <si>
    <t>Stráže:    182m2*0,04m</t>
  </si>
  <si>
    <t>Areál:   240m</t>
  </si>
  <si>
    <t>Centrum:   462m</t>
  </si>
  <si>
    <t>Parkovisko:    108m</t>
  </si>
  <si>
    <t>dlažobné kocky 120x120x120mm vrátane cementovej zálievky</t>
  </si>
  <si>
    <t>Areál:   22m2</t>
  </si>
  <si>
    <t>Centrum:   12m2</t>
  </si>
  <si>
    <t>(z toho použitie rozobratej dlažby 170m2)</t>
  </si>
  <si>
    <t>Centrum:  72m2</t>
  </si>
  <si>
    <t>Parkovisko:  98m2</t>
  </si>
  <si>
    <t>nákup novej 1245m2-170m2=1075m2</t>
  </si>
  <si>
    <t>2204041702</t>
  </si>
  <si>
    <t>Kryty dláždené,chodníkov komunikácií,rigolov  zo zámkovej dlažby betónovej hr.8 cm</t>
  </si>
  <si>
    <t>PARKOVISKO</t>
  </si>
  <si>
    <t>betónové dlažobné tvarovky C30/37...hr.80mm</t>
  </si>
  <si>
    <t>Areál:   116m2</t>
  </si>
  <si>
    <t>Areál:   15m2</t>
  </si>
  <si>
    <t>B. Bystrica:    20m2</t>
  </si>
  <si>
    <t>Centrum:  11m2</t>
  </si>
  <si>
    <t>Parkovisko:  7m2</t>
  </si>
  <si>
    <t>Stráže:  7m2</t>
  </si>
  <si>
    <t>22040617</t>
  </si>
  <si>
    <t>Kryty dláždené,chodníkov komunikácií,rigolov z tvárnic betónových</t>
  </si>
  <si>
    <t>2204061702</t>
  </si>
  <si>
    <t>Kryty dláždené,chodníkov komunikácií,rigolov z tvárnic betónových vegetačných</t>
  </si>
  <si>
    <t>prídlažba š.250mm do betónového lôžka</t>
  </si>
  <si>
    <t>11,5*0,25*2</t>
  </si>
  <si>
    <t>22250356</t>
  </si>
  <si>
    <t>Doplňujúce konštrukcie, zvodidlá prefabrikované</t>
  </si>
  <si>
    <t>2225035602</t>
  </si>
  <si>
    <t>Doplňujúce konštrukcie, zvodidlá prefabrikované s ozubom-zámkom</t>
  </si>
  <si>
    <t>betónové zvodidlo jednostranné v=1,20 m  (ú.z. H2)</t>
  </si>
  <si>
    <t>Parkovisko: 16m</t>
  </si>
  <si>
    <t>210(priamo)</t>
  </si>
  <si>
    <t xml:space="preserve"> portál (Centrum)</t>
  </si>
  <si>
    <t>22250981</t>
  </si>
  <si>
    <t>Doplňujúce konštrukcie,  obrubníky záhonové</t>
  </si>
  <si>
    <t>2225098101</t>
  </si>
  <si>
    <t>Doplňujúce konštrukcie,  obrubníky záhonové betónové</t>
  </si>
  <si>
    <t>záhonový obrubník do betónového lôžka</t>
  </si>
  <si>
    <t>740m</t>
  </si>
  <si>
    <t>22250983</t>
  </si>
  <si>
    <t>Doplňujúce konštrukcie,  palisády</t>
  </si>
  <si>
    <t xml:space="preserve">Turbookruh </t>
  </si>
  <si>
    <t>vrátane betónového lôžka C30/37 XF4</t>
  </si>
  <si>
    <t>hrubé drvené kamenivo HK 2/4    40mm</t>
  </si>
  <si>
    <t>116m2*0,04m</t>
  </si>
  <si>
    <t>1245m2*0,03m</t>
  </si>
  <si>
    <t>Areál:   110m2*0,20m</t>
  </si>
  <si>
    <t>Centrum:   628m2*0,20m</t>
  </si>
  <si>
    <t>Parkovisko:   257m2*0,20m</t>
  </si>
  <si>
    <t>Stráže:    200m2*0,20m</t>
  </si>
  <si>
    <t>Areál:   26m2*0,15m</t>
  </si>
  <si>
    <t>Centrum:   14m2*0,15m</t>
  </si>
  <si>
    <t xml:space="preserve">ŠD 0/31,5 Gp hr. 200mm </t>
  </si>
  <si>
    <t>Parkovisko:   116m2*0,20m</t>
  </si>
  <si>
    <t>1245m2*0,150m</t>
  </si>
  <si>
    <t>Areál:  22m2*0,085m</t>
  </si>
  <si>
    <t xml:space="preserve">Centrum:   12m2*0,07m     </t>
  </si>
  <si>
    <t>Areál:   100m2*0,15m</t>
  </si>
  <si>
    <t>Centrum:   571m2*0,15m</t>
  </si>
  <si>
    <t>Parkovisko:   234m2*0,15m</t>
  </si>
  <si>
    <t>Stráže:    182m2*0,15m</t>
  </si>
  <si>
    <t>Areál:   25m2*0,15m</t>
  </si>
  <si>
    <t>Centrum:   13m2*0,15m</t>
  </si>
  <si>
    <t>Areál: 43m2*0,1</t>
  </si>
  <si>
    <t xml:space="preserve">Centrum:   60m2*0,1m     </t>
  </si>
  <si>
    <t>Areál:   100m2</t>
  </si>
  <si>
    <t>Parkovisko:   234m2</t>
  </si>
  <si>
    <t>Areál:   100m2*0,05m</t>
  </si>
  <si>
    <t>Centrum:   571m2*0,05m</t>
  </si>
  <si>
    <t>Parkovisko:   234m2*0,05m</t>
  </si>
  <si>
    <t>Stráže:    182m2*0,05m</t>
  </si>
  <si>
    <t>základ portálu DZ</t>
  </si>
  <si>
    <t>3,96m2</t>
  </si>
  <si>
    <t>11,5m2</t>
  </si>
  <si>
    <t>trativod DN160 ...........67*0,20=</t>
  </si>
  <si>
    <t>trativod DN160 .......67*0,50*0,07*1,1=</t>
  </si>
  <si>
    <t>trativod DN160 ......67m</t>
  </si>
  <si>
    <t>portál dopravného značenia, pilóta fí 930 mm dĺ. 4,50 m pre základy Z1, 60%: 2 ks*4,50*0,60=</t>
  </si>
  <si>
    <t>portál dopravného značenia, pilóta fí 930 mm dĺ. 4,50 m pre základy Z1, 40%: 2 ks*4,50*0,40=</t>
  </si>
  <si>
    <t>portál dopravného značenia, pilóta C25/30 fí 930 mm dĺ. 4,50 m pre základy Z1: 2 ks*3,14*0,465*0,465*4,50=</t>
  </si>
  <si>
    <t>portál dopravného značenia, pilóta fí 930 mm dĺ. 4,50 m pre základy Z1: 2 ks*0,23621=</t>
  </si>
  <si>
    <t>portál dopravného značenia, základ Z1, 1 ks á 4,55 m3:</t>
  </si>
  <si>
    <t>podkladný betón C12/15 pre portály dopravného značenia, základy Z1:</t>
  </si>
  <si>
    <t>portál dopravného značenia, základ Z1:</t>
  </si>
  <si>
    <t>Celkom za 01.2 Miestne kom. a chodníky pri turbookr. križovatke ZV-Rákoš</t>
  </si>
  <si>
    <t>45.31.55</t>
  </si>
  <si>
    <t>Inštalovanie stredného napätia</t>
  </si>
  <si>
    <t>Káble Al - VN káble silové</t>
  </si>
  <si>
    <t>Káble Al - VN káble silové ulož. voľne</t>
  </si>
  <si>
    <t>06 Preložka VN kábla</t>
  </si>
  <si>
    <t>Celkom za 06 - Preložka VN kábla</t>
  </si>
  <si>
    <t>07 Sadové úpravy</t>
  </si>
  <si>
    <t>Celkom za 07 - Sadové úpravy</t>
  </si>
  <si>
    <t>0108081101</t>
  </si>
  <si>
    <t>Povrchové úpravy terénu, sadenie, presádzanie, ošetrovanie, ochrana trávnika v rovine</t>
  </si>
  <si>
    <t>01080502</t>
  </si>
  <si>
    <t>Povrchové úpravy terénu, úpravy povrchov založením trávnika ručne</t>
  </si>
  <si>
    <t>0108050203</t>
  </si>
  <si>
    <t>Povrchové úpravy terénu, úpravy povrchov založením trávnika ručne, parkového</t>
  </si>
  <si>
    <t>SO 01.1</t>
  </si>
  <si>
    <t>v mieste zahumusovania prísypov (hr.100mm)</t>
  </si>
  <si>
    <t>SO 01.2</t>
  </si>
  <si>
    <t>zahumusovanie vsakovacích priekop hr.300mm</t>
  </si>
  <si>
    <t>v mieste zahumusovania vsakovacích priekop (hr.300mm)</t>
  </si>
  <si>
    <t xml:space="preserve">Spolu: </t>
  </si>
  <si>
    <t>(kosenie, polievanie)</t>
  </si>
  <si>
    <t>Spolu:</t>
  </si>
  <si>
    <t>45.11.20</t>
  </si>
  <si>
    <t>Výkopové zemné práce a presun zemín</t>
  </si>
  <si>
    <t>01010301</t>
  </si>
  <si>
    <t>Pripravné práce, čerpanie vody gravitačnými studňami</t>
  </si>
  <si>
    <t>hod</t>
  </si>
  <si>
    <t>0101030101</t>
  </si>
  <si>
    <t>Pripravné práce, čerpanie vody gravitačnými studňami do 500 l/min</t>
  </si>
  <si>
    <t>30dní *24hod</t>
  </si>
  <si>
    <t>01010401</t>
  </si>
  <si>
    <t>Pripravné práce, odvedenie vody potrubím alebo žľabmi na povrchu</t>
  </si>
  <si>
    <t>0101040101</t>
  </si>
  <si>
    <t>Pripravné práce, odvedenie vody potrubím alebo žľabmi na povrchu do 100 mm</t>
  </si>
  <si>
    <t>01020101</t>
  </si>
  <si>
    <t>Odkopávky a prekopávky humóznej vrstvy ornice</t>
  </si>
  <si>
    <t>0102010101</t>
  </si>
  <si>
    <t>Odkopávky a prekopávky humóznej vrstvy ornice tr. horniny 1-2</t>
  </si>
  <si>
    <t>stoka A:</t>
  </si>
  <si>
    <t>1,1*0,15*13,95+1,25*0,15*50,93</t>
  </si>
  <si>
    <t>stoka A-1:</t>
  </si>
  <si>
    <t>1,1*0,15*21,73</t>
  </si>
  <si>
    <t>jama pre ORL - Stoka A:</t>
  </si>
  <si>
    <t>9,6*4,6*4</t>
  </si>
  <si>
    <t>ryha pre potrubie-v teréne:</t>
  </si>
  <si>
    <t>1,1*(2,03+1,49)/2*13,95+1,25*(2,03+2,35)/2*50,93</t>
  </si>
  <si>
    <t>ryha pre potrubie-v spev.ploche:</t>
  </si>
  <si>
    <t>1,1*(2,03+1,49)/2*67,08+1,25*(2,03+2,35)/2*59,36</t>
  </si>
  <si>
    <t>ryha pre prípojky: 1,0*1,7*122,59</t>
  </si>
  <si>
    <t>rozšírenie pre vpusty:</t>
  </si>
  <si>
    <t>rozšírenie pre šachty:</t>
  </si>
  <si>
    <t>výkop spolu:</t>
  </si>
  <si>
    <t>1,1*(2,03+1,5)/2*16,72</t>
  </si>
  <si>
    <t>1,1*(1,5+0,9)/2*15,58</t>
  </si>
  <si>
    <t>ryha pre prípojky: 1,0*1,7*10,87</t>
  </si>
  <si>
    <t>VÝKOPY SPOLU:</t>
  </si>
  <si>
    <t>Stoka A:</t>
  </si>
  <si>
    <t xml:space="preserve">objem ORL: </t>
  </si>
  <si>
    <t>v spevnených plochách - celý výkop:</t>
  </si>
  <si>
    <t>292,36+208,4+68,78+97,54</t>
  </si>
  <si>
    <t>v chodníku : výkop - zásyp zem.z výkopu</t>
  </si>
  <si>
    <t>166,43-100,81</t>
  </si>
  <si>
    <t>Stoka A-1:</t>
  </si>
  <si>
    <t>20,57+18,48+4,91+6,56</t>
  </si>
  <si>
    <t>32,46-18,69</t>
  </si>
  <si>
    <t>SKLÁDKY SPOLU:</t>
  </si>
  <si>
    <t>0104040203</t>
  </si>
  <si>
    <t>Konštrukcie z hornín - zásypy so zhutnením, tr.horniny 4</t>
  </si>
  <si>
    <t>zásyp štrkodrvou pod spevnenými plochami:</t>
  </si>
  <si>
    <t>v spev.plochách: 292,36+208,4+68,78+97,54-(0,75*1,1*81,03+1,25*0,85*88,79)</t>
  </si>
  <si>
    <t>v spev.plochách: 20,57+18,48+4,91+6,56-(0,75*1,1*15,58)</t>
  </si>
  <si>
    <t xml:space="preserve">m3        </t>
  </si>
  <si>
    <t>zásyp zeminou z výkopu  upravenou na požadované parametre</t>
  </si>
  <si>
    <t>orl: 176,64-34,64</t>
  </si>
  <si>
    <t>potrubie: 166,43-(0,75*1,1*13,95+1,25*0,85*50,93)</t>
  </si>
  <si>
    <t>zásypy spolu:</t>
  </si>
  <si>
    <t>potrubie: 32,46-(0,75*1,1*16,72)</t>
  </si>
  <si>
    <t xml:space="preserve">ZÁSYP ZEMINOU Z VÝKOPU: </t>
  </si>
  <si>
    <t>01040502</t>
  </si>
  <si>
    <t>Konštrukcie z hornín - obsypy so zhutnením</t>
  </si>
  <si>
    <t>0104050203</t>
  </si>
  <si>
    <t>Konštrukcie z hornín - obsypy so zhutnením, tr.horniny 4</t>
  </si>
  <si>
    <t>obsyp potrubia  štrkodrvou fr.22mm</t>
  </si>
  <si>
    <t>(1,1*0,75-3,14*0,15*0,15)*81,03+(1,25*0,85-3,14*0,2*0,2)*88,79</t>
  </si>
  <si>
    <t>prípojky:(1,0*0,6-3,14*0,1*0,1)*89,37</t>
  </si>
  <si>
    <t>(1,1*0,75-3,14*0,15*0,15)*32,30</t>
  </si>
  <si>
    <t xml:space="preserve">prípojky: </t>
  </si>
  <si>
    <t>OBSYP SPOLU:</t>
  </si>
  <si>
    <t>01060201</t>
  </si>
  <si>
    <t>Premiestnenie, vodorovné do 100 m</t>
  </si>
  <si>
    <t>0106020101</t>
  </si>
  <si>
    <t>Premiestnenie  výkopku resp. rúbaniny, vodorovné do 100 m, tr. horniny 1-4</t>
  </si>
  <si>
    <t>premiestnenie zahŕňa odvoz aj dovoz v celkovej vzdialenosti do 100m</t>
  </si>
  <si>
    <t xml:space="preserve"> zásypy zeminou z výkopu </t>
  </si>
  <si>
    <t>01060203</t>
  </si>
  <si>
    <t>Premiestnenie  vodorovné do 5 000 m</t>
  </si>
  <si>
    <t>0106020301</t>
  </si>
  <si>
    <t>Premiestnenie  výkopku resp. rúbaniny, vodorovné do 5 000 m, tr. horniny 1-4</t>
  </si>
  <si>
    <t>Premiestnenie - nakladanie, prekladanie, vykladanie</t>
  </si>
  <si>
    <t>01070101</t>
  </si>
  <si>
    <t>Paženie, resp.zaistenie výrubu v podzemí vykopávok príložné</t>
  </si>
  <si>
    <t xml:space="preserve">m2        </t>
  </si>
  <si>
    <t>0107010100</t>
  </si>
  <si>
    <t>Paženie, resp.zaistenie výrubu v podzemí vykopávok príložné, z dielcov bez ohľadu na materiál</t>
  </si>
  <si>
    <t>ryha pre potrubie: 2*((2,35+2,03)/2*103,09+(2,03+1,49)/2*81,03)</t>
  </si>
  <si>
    <t>prípojky: 2*1,7*122,59</t>
  </si>
  <si>
    <t>ryha pre potrubie: 2*((2,03+1,5)/2*18+(1,5+0,9)/2*14,3)</t>
  </si>
  <si>
    <t>prípojky: 2*1,7*10,87</t>
  </si>
  <si>
    <t>PAŽENIE SPOLU:</t>
  </si>
  <si>
    <t>01090101</t>
  </si>
  <si>
    <t>Pretláčanie potrubia oceľového, tr. hor. 1-4</t>
  </si>
  <si>
    <t>0109010104</t>
  </si>
  <si>
    <t>Pretláčanie potrubia oceľového, tr. hor. 1-4, DN nad 600 do 800 mm</t>
  </si>
  <si>
    <t>oceľová chránička DN700 (720x12mm)</t>
  </si>
  <si>
    <t>vrátane cestných panelov 3x2m - 4 ks</t>
  </si>
  <si>
    <t xml:space="preserve">45.11.23 </t>
  </si>
  <si>
    <t>Premiestnenie  vodorovné do 100 m</t>
  </si>
  <si>
    <t>dovoz ornice</t>
  </si>
  <si>
    <t>ornica</t>
  </si>
  <si>
    <t>01080503</t>
  </si>
  <si>
    <t>Povrchové úpravy terénu, úpravy povrchov založením trávnika hydroosevom</t>
  </si>
  <si>
    <t>0108050301</t>
  </si>
  <si>
    <t>Povrchové úpravy terénu, úpravy povrchov založením trávnika hydroosevom na ornicu</t>
  </si>
  <si>
    <t>doska z EPS rozmerov 0,6x0,6x0,15 m -2x</t>
  </si>
  <si>
    <t>11200301</t>
  </si>
  <si>
    <t>Podkladné konštrukcie, dosky, bloky, sedlá, z betónu prostého</t>
  </si>
  <si>
    <t>1120030103</t>
  </si>
  <si>
    <t>Podkladné konštrukcie, dosky, bloky, sedlá z betónu prostého, tr. C 12/15 (B 15)</t>
  </si>
  <si>
    <t>podkladné dosky pod šachty</t>
  </si>
  <si>
    <t>Stoka A: 1,6*1,6*0,1*6</t>
  </si>
  <si>
    <t>Stoka A-1: 1,8*1,8*0,1*+1,6*1,6*0,1</t>
  </si>
  <si>
    <t>podkladné dosky pod vpusty:</t>
  </si>
  <si>
    <t>Stoka A: 0,6*0,6*0,1*14</t>
  </si>
  <si>
    <t>Stoka A-1: 0,6*0,6*0,1*1</t>
  </si>
  <si>
    <t>DOSKY SPOLU:</t>
  </si>
  <si>
    <t>11200302</t>
  </si>
  <si>
    <t>Podkladné konštrukcie, dosky, bloky, sedlá, z betónu železového</t>
  </si>
  <si>
    <t>1120030206</t>
  </si>
  <si>
    <t>Podkladné konštrukcie, dosky, bloky, sedlá z betónu železového, tr. C 25/30 (B 30)</t>
  </si>
  <si>
    <t>podkladná doska pod ORL: 7,6*2,6*0,2</t>
  </si>
  <si>
    <t>11200311</t>
  </si>
  <si>
    <t>Podkladné konštrukcie, dosky, bloky, sedlá, debnenie tradičné</t>
  </si>
  <si>
    <t>1120031101</t>
  </si>
  <si>
    <t>Podkladné konštrukcie, dosky, bloky, sedlá, debnenie tradičné drevené</t>
  </si>
  <si>
    <t>podkladné dosky pod vpusty</t>
  </si>
  <si>
    <t>doska pod ORL:</t>
  </si>
  <si>
    <t>11200321</t>
  </si>
  <si>
    <t>Podkladné konštrukcie, dosky, bloky, sedlá, výstuž z betonárskej ocele</t>
  </si>
  <si>
    <t>1120032107</t>
  </si>
  <si>
    <t>Podkladné konštrukcie, dosky, bloky, sedlá, výstuž z betonárskej ocele zo zváraných sietí</t>
  </si>
  <si>
    <t>doska pod ORL-zvárané siete -173,88 kg</t>
  </si>
  <si>
    <t>27030421</t>
  </si>
  <si>
    <t>Kanalizácie, rúry plastové, PE, PP</t>
  </si>
  <si>
    <t>2703042104</t>
  </si>
  <si>
    <t>Kanalizácie, rúry plastové, PE, PP DN 200</t>
  </si>
  <si>
    <t>prípojky od vpustov:</t>
  </si>
  <si>
    <t>2703042106</t>
  </si>
  <si>
    <t>Kanalizácie, rúry plastové, PE, PP DN 300</t>
  </si>
  <si>
    <t>2703042107</t>
  </si>
  <si>
    <t>Kanalizácie, rúry plastové, PE, PP DN 400</t>
  </si>
  <si>
    <t>27031169</t>
  </si>
  <si>
    <t>Kanalizácie, ostatné konštrukcie, vstupný komín</t>
  </si>
  <si>
    <t>2703116901</t>
  </si>
  <si>
    <t>Kanalizácie, ostatné konštrukcie, vstupný komín z betónových dielcov</t>
  </si>
  <si>
    <t>ORL:</t>
  </si>
  <si>
    <t>vyrovnávací prstenec - 4ks</t>
  </si>
  <si>
    <t>rovná skruž h=250 mm - 3ks</t>
  </si>
  <si>
    <t>rovná skruž h=1000 mm - 3ks</t>
  </si>
  <si>
    <t>prechodová skruž  h=600mm-3ks</t>
  </si>
  <si>
    <t>27031171</t>
  </si>
  <si>
    <t>Kanalizácie, ostatné konštrukcie, šachty a spádoviská kanalizačné</t>
  </si>
  <si>
    <t>2703117101</t>
  </si>
  <si>
    <t>Kanalizácie, ostatné konštrukcie, šachty a spádoviská kanalizačné z betónových dielcov</t>
  </si>
  <si>
    <t>šachty - prefabrikované - Stoka A+A-1</t>
  </si>
  <si>
    <t>2703117102</t>
  </si>
  <si>
    <t>Kanalizácie, ostatné konštrukcie, šachty kanalizačné plastové</t>
  </si>
  <si>
    <t>šachty - plastové - Stoka A-1</t>
  </si>
  <si>
    <t>27031173</t>
  </si>
  <si>
    <t>Kanalizácie, ostatné konštrukcie, odlučovače a nádrže</t>
  </si>
  <si>
    <t>2703117301</t>
  </si>
  <si>
    <t>Kanalizácie, ostatné konštrukcie, odlučovače a nádrže z betónových dielcov</t>
  </si>
  <si>
    <t>ORL 80 l/s</t>
  </si>
  <si>
    <t>27031175</t>
  </si>
  <si>
    <t>Kanalizácie, ostatné konštrukcie, skúšky potrubia</t>
  </si>
  <si>
    <t>2703117501</t>
  </si>
  <si>
    <t>Kanalizácie, ostatné konštrukcie, skúšky potrubia vodou</t>
  </si>
  <si>
    <t xml:space="preserve">Skúšky potrubia budú realizované vodou, prípadne vzduchom. </t>
  </si>
  <si>
    <t>2703117601</t>
  </si>
  <si>
    <t>Kanalizácie, ostatné konštrukcie, doplnky - poklopy</t>
  </si>
  <si>
    <t xml:space="preserve">šachty </t>
  </si>
  <si>
    <t>ORL</t>
  </si>
  <si>
    <t>27201391</t>
  </si>
  <si>
    <t>Podkladné konštrukcie pod potrubie, šachty, stoky atď., štrkopieskom</t>
  </si>
  <si>
    <t>lôžko pod potrubím: 0,15*1,1*81,03+0,15*1,25*110,29</t>
  </si>
  <si>
    <t>lôžko pod prípojkami: 0,1*0,6*89,37</t>
  </si>
  <si>
    <t>štrkový násyp pod ORL: 7,6*2,6*0,15</t>
  </si>
  <si>
    <t>lôžko pod potrubím: 0,15*1,1*32,3</t>
  </si>
  <si>
    <t>lôžko pod prípojkami: 0,1*0,6*10,87</t>
  </si>
  <si>
    <t>LÔŽKO POD POTRUBIE SPOLU:</t>
  </si>
  <si>
    <t>11250601</t>
  </si>
  <si>
    <t>Doplňujúce konštrukcie, čelá priepustov z betónu prostého</t>
  </si>
  <si>
    <t>1125060106</t>
  </si>
  <si>
    <t>Doplňujúce konštrukcie, čelá priepustov, z betónu prostého tr. C 25/30 (B 30)</t>
  </si>
  <si>
    <t>výustný objekt - betón C30/37-XF4, XD2-40,27m3</t>
  </si>
  <si>
    <t>betónové prahy - 2 ks - 5,4 m3</t>
  </si>
  <si>
    <t>dlažba do betónu - 180 m2</t>
  </si>
  <si>
    <t>kamenná pätka - 10 m3</t>
  </si>
  <si>
    <t>vrátane koncovej klapky na stenu DN400</t>
  </si>
  <si>
    <t>02010306</t>
  </si>
  <si>
    <t>Zlepšovanie základovej pôdy, trativody kompletné z potrubia betónového</t>
  </si>
  <si>
    <t>0201030601</t>
  </si>
  <si>
    <t>Zlepšovanie základovej pôdy, trativody kompletné z potrubia betónového DN 100 mm</t>
  </si>
  <si>
    <t>zriadenie a odstránenie štetovníc Larsen IV. Hĺbka 10m</t>
  </si>
  <si>
    <t>Celkom za 05 - Dažďová kanalizácia</t>
  </si>
  <si>
    <t xml:space="preserve">SO 05 Dažďová kanalizácia </t>
  </si>
  <si>
    <t>Vyplňovanie a rekultivačné práce</t>
  </si>
  <si>
    <t>01.3 Ochrana vodovodu oceľ DN700</t>
  </si>
  <si>
    <t>Celkom za 01.3 Ochrana vodovodu oceľ DN700</t>
  </si>
  <si>
    <t>ručný výkop okolo existujúceho potrubia, predpoklad.hĺbka 2,0m</t>
  </si>
  <si>
    <t>2,0x2,4*15</t>
  </si>
  <si>
    <t>celý výkop vo vozovke/chodníku:</t>
  </si>
  <si>
    <t>2,0*2,4*10,3</t>
  </si>
  <si>
    <t>zásyp štrkodrvou pod vozovkou / chodník - 70% celkového zásypu:</t>
  </si>
  <si>
    <t>0,7*(72-(2,4*1,6*15))</t>
  </si>
  <si>
    <t>zásyp vhodnou zeminou z výkopu  upravenou na požadované parametre - 30% celkového zásypu</t>
  </si>
  <si>
    <t>0,3*(72-(2,4*1,6*15))</t>
  </si>
  <si>
    <t>15*(2,4*1,5-3,14*0,6*0,6)</t>
  </si>
  <si>
    <t>zapažená ryha pri ručnom odkope: 2*2*15</t>
  </si>
  <si>
    <t>27070102</t>
  </si>
  <si>
    <t>Chráničky, rúry oceľové , delená</t>
  </si>
  <si>
    <t>2707010204</t>
  </si>
  <si>
    <t>Chráničky, rúry oceľové, delená nad D 1020 do D 1220 mm</t>
  </si>
  <si>
    <t>oceľová chránička D1220x14mm, vrátane dištančných objímok a tesniacich manžiet DN1200/DN700</t>
  </si>
  <si>
    <t>lôžko pod potrubím : 2,4*0,1*15</t>
  </si>
  <si>
    <t xml:space="preserve">    v prípade potreby </t>
  </si>
  <si>
    <t>SO 01.4 Ochrana vodovodu HDPE D 160</t>
  </si>
  <si>
    <t>2,0x1,5*7</t>
  </si>
  <si>
    <t>2,0*1,5*5,5</t>
  </si>
  <si>
    <t>zásyp štrkodrvou pod vozovkou / chodník - 80% celkového zásypu:</t>
  </si>
  <si>
    <t>0,8*(21-(1,5*0,7*7))</t>
  </si>
  <si>
    <t>zásyp vhodnou zeminou z výkopu  upravenou na požadované parametre - 20% celkového zásypu</t>
  </si>
  <si>
    <t>0,2*(21-(1,5*0,7*7))</t>
  </si>
  <si>
    <t>7*(1,5*0,6-3,14*0,15*0,15)</t>
  </si>
  <si>
    <t>zapažená ryha pri ručnom odkope: 2*2*7</t>
  </si>
  <si>
    <t>2707010202</t>
  </si>
  <si>
    <t>Chráničky, rúry oceľové, delená nad D 219 do D 820 mm</t>
  </si>
  <si>
    <t>oceľová chránička D324x10mm, vrátane dištančných objímok a tesniacich manžiet DN300/DN150</t>
  </si>
  <si>
    <t>lôžko pod potrubím : 1,5*0,1*7</t>
  </si>
  <si>
    <t>Celkom za 01.4 - Ochrana vodovodu HDPE D 160</t>
  </si>
  <si>
    <t>SPOLU:</t>
  </si>
  <si>
    <t>113,33+103,09</t>
  </si>
  <si>
    <t>02 Verejné osvetlenie</t>
  </si>
  <si>
    <t>vybúranie základov demont stožiarov 16ks</t>
  </si>
  <si>
    <t>základy (1*1*2)*2,5   *16</t>
  </si>
  <si>
    <t>110m3</t>
  </si>
  <si>
    <t>05010104</t>
  </si>
  <si>
    <t>Búranie konštrukcií - základy - betónové</t>
  </si>
  <si>
    <t>05020340</t>
  </si>
  <si>
    <t>Vybúranie konštrukcií a demontáže - inštalačného vedenia a príslušenstva - elektroinštalačného</t>
  </si>
  <si>
    <t>0502034008</t>
  </si>
  <si>
    <t>Vybúranie konštrukcií a demontáže - inštalačného vedenia a príslušenstva - elektroinštalačného - silnoprúd - príslušenstvo vonkajšie</t>
  </si>
  <si>
    <t>demontáž svietidiel a elektrovýzbroje</t>
  </si>
  <si>
    <t>05020341</t>
  </si>
  <si>
    <t>Vybúranie konštrukcií a demontáže - inštalačného vedenia a príslušenstva - stožiarov</t>
  </si>
  <si>
    <t>0502034111</t>
  </si>
  <si>
    <t>Vybúranie konštrukcií a demontáže - inštalačného vedenia a príslušenstva - stožiarov - osvetlenia-komplet</t>
  </si>
  <si>
    <t>demontáž stožiarov</t>
  </si>
  <si>
    <t>Doprava vybúraných hmôt - vodorovná doprava</t>
  </si>
  <si>
    <t>0508020002</t>
  </si>
  <si>
    <t>Doprava vybúraných hmôt - vodorovná doprava - do 1km</t>
  </si>
  <si>
    <t>odvoz demontovaného materiálu vr. Poplatku za skládku</t>
  </si>
  <si>
    <t>osvetľovacie stožiare vrátane príslušenstva (200kg*16)</t>
  </si>
  <si>
    <t>Hĺbené vykopávky - jám - nezapažených</t>
  </si>
  <si>
    <t>Hĺbené vykopávky - jám - nezapažených - tr. horniny 1-4</t>
  </si>
  <si>
    <t>jama pre S1                (0,8*0,8*1,7*2)*24</t>
  </si>
  <si>
    <t>jama pre S2                (1*1*1,5*2)*4</t>
  </si>
  <si>
    <t>jama pre S3                (0,5*0,5*1,0*2)*3</t>
  </si>
  <si>
    <t>jama pre S4                (0,8*0,8*1,5*2)*4</t>
  </si>
  <si>
    <t>Hĺbené vykopávky - rýh - š. do 600 mm</t>
  </si>
  <si>
    <t>0103020103</t>
  </si>
  <si>
    <t>Hĺbené vykopávky - rýh - š. do 600 mm - tr.horniny 4</t>
  </si>
  <si>
    <t>pod komunikáciami (0,5*1,2*45)</t>
  </si>
  <si>
    <t>voľný terén (0,35*0,8*713)</t>
  </si>
  <si>
    <t>01040401</t>
  </si>
  <si>
    <t>Konštrukcie z hornín - zásypy bez zhutnenia</t>
  </si>
  <si>
    <t>0104040102</t>
  </si>
  <si>
    <t>Konštrukcie z hornín - zásypy bez zhutnenia - tr.horniny 3</t>
  </si>
  <si>
    <t>pieskové lôžko              (0,35*0,2*(713))</t>
  </si>
  <si>
    <t>piesok v tonách      (50)*1600/1000 t=80t</t>
  </si>
  <si>
    <t>Konštrukcie z hornín - zásypy so zhutnením - tr. horniny 1-4</t>
  </si>
  <si>
    <t>výkop-(pieskové lôžko+obetónovanie chráničiek)                        (75+227)-(50+44+16)</t>
  </si>
  <si>
    <t>Premiestnenie - vodorovné - do 5 000 m</t>
  </si>
  <si>
    <t>Premiestnenie - vodorovné - do 5 000 m - tr. horniny 1-4</t>
  </si>
  <si>
    <t>prebytočná zemina=pieskové lôžko+obetónovanie chráničiek  (24+77)</t>
  </si>
  <si>
    <t>01090301</t>
  </si>
  <si>
    <t>Pretláčanie potrubia z plastických hmôt, tr. hor. 1-4</t>
  </si>
  <si>
    <t>0109030101</t>
  </si>
  <si>
    <t>Pretláčanie potrubia - z plastických hmôt - tr. hor. 1-4 - DN do 200 mm</t>
  </si>
  <si>
    <t>pretláčanie chráničky HDPE110 komplet vrátane zemných prác</t>
  </si>
  <si>
    <t>22251284</t>
  </si>
  <si>
    <t>Doplňujúce konštrukcie,  kábelovody z rúr plastových</t>
  </si>
  <si>
    <t>2225128401</t>
  </si>
  <si>
    <t>Doplňujúce konštrukcie,  kábelovody z rúr plastových z polyetylénu</t>
  </si>
  <si>
    <t>chránička HDPE110 pre káblové podchody</t>
  </si>
  <si>
    <t>korugovaná chránička HDPE110 pre rozvod</t>
  </si>
  <si>
    <t>tlaková chránička HDPE110 pre pretlak</t>
  </si>
  <si>
    <t>11010201</t>
  </si>
  <si>
    <t>Základy - pätky - betón prostý</t>
  </si>
  <si>
    <t>1101020107</t>
  </si>
  <si>
    <t>Základy - pätky - betón prostý - tr. C 30/37 (B 35)</t>
  </si>
  <si>
    <t>základy</t>
  </si>
  <si>
    <t>11190401</t>
  </si>
  <si>
    <t>Kompletné konštrukcie - kanály inžinierskych sietí, nádržky - betón prostý</t>
  </si>
  <si>
    <t>1119040104</t>
  </si>
  <si>
    <t>Kompletné konštrukcie - kanály inžinierskych sietí, nádržky - betón prostý - tr. C16/20 (B20)</t>
  </si>
  <si>
    <t>obetónovanie chráničiek    45m</t>
  </si>
  <si>
    <t>45.31.61</t>
  </si>
  <si>
    <t>Inštalovanie vonkajších osvetľovacích zariadení a osvetlenia ciest</t>
  </si>
  <si>
    <t>Káble Cu - NN - káble silové</t>
  </si>
  <si>
    <t>Káble Cu - NN - káble silové - ulož. voľne</t>
  </si>
  <si>
    <t>CYKY-J 4x16mm2 vrátane výstražnej fólie</t>
  </si>
  <si>
    <t xml:space="preserve">CYKY-O 2x1,5mm2 </t>
  </si>
  <si>
    <t>Káble Al - NN - káble silové</t>
  </si>
  <si>
    <t>Káble Al - NN - káble silové - ulož. v chráničkách</t>
  </si>
  <si>
    <t>AYKY-J 4x25mm2 vrátane výstražnej fólie</t>
  </si>
  <si>
    <t>Káblové súbory, ukončenie vodičov - NN - káblové spojky - priame</t>
  </si>
  <si>
    <t>Káblové súbory, ukončenie vodičov - NN - káblové spojky - priame - viacžilové</t>
  </si>
  <si>
    <t>spojka 1kV, do 25mm2</t>
  </si>
  <si>
    <t>Svietidlá a osvetľovacie zariadenia - stožiare - osvetľovacie</t>
  </si>
  <si>
    <t xml:space="preserve">Svietidlá a osvetľovacie zariadenia - stožiare - osvetľovacie - oceľové </t>
  </si>
  <si>
    <t>Stožiar 12m uličný, votknutý, žiarovo zinkovaný</t>
  </si>
  <si>
    <t>Stožiar 10m uličný, votknutý, žiarovo zinkovaný</t>
  </si>
  <si>
    <t>Stožiar 6m sadový, votknutý, žiarovo zinkovaný</t>
  </si>
  <si>
    <t>Stožiar 6m pre osvetlenie priechodu, votknutý, žiarovo zinkovaný</t>
  </si>
  <si>
    <t>Svietidlá a osvetľovacie zariadenia - svietidlá - pouličné</t>
  </si>
  <si>
    <t>Svietidlá a osvetľovacie zariadenia - svietidlá - pouličné - výbojkové</t>
  </si>
  <si>
    <t>Svietidlo LED1, 13000lm, 80W, 4000K, tr. ochr. II, diaľkový monitoring a ovládanie, prepäťová ochrana do 10kV</t>
  </si>
  <si>
    <t>Svietidlo LED2 pre osvetlenie priechodu asymetrické, 16000lm, 100W, 5700K, tr. ochr. II, diaľkový monitoring a ovládanie, prepäťová ochrana do 10kV</t>
  </si>
  <si>
    <t>Svietidlo LED3, 4000lm, 30W, 2200K, tr. ochr. II, diaľkový monitoring a ovládanie, prepäťová ochrana do 10kV</t>
  </si>
  <si>
    <t>Svietidlá a osvetľovacie zariadenia - signalizačné zariadenia svetelné</t>
  </si>
  <si>
    <t>Svietidlá a osvetľovacie zariadenia - signalizačné zariadenia svetelné cestné</t>
  </si>
  <si>
    <t>Signalizácia bezpečného priechodu, svetelná značka IP6, senzor prítomnosti chodca pred priechodom, rozvádzač riadiacej jednotky 2ks/priechod, komplet so zapojením a elektrovýzbrojou
dodávka, montáž, zapojenie, odskúšanie komplet</t>
  </si>
  <si>
    <t>Svietidlá a osvetľovacie zariadenia - príslušenstvo pre svietidlá</t>
  </si>
  <si>
    <t>Svietidlá a osvetľovacie zariadenia - príslušenstvo pre svietidlá, výložníky</t>
  </si>
  <si>
    <t>Výložník 2m jednoramenný, žiarovo zinkovaný</t>
  </si>
  <si>
    <t>Výložník 2m dvojramenný 90°, žiarovo zinkovaný</t>
  </si>
  <si>
    <t>Výložník 4m pre osvetlenie priechodu, žiarovo zinkovaný</t>
  </si>
  <si>
    <t>Svietidlá a osvetľovacie zariadenia - príslušenstvo pre stožiare</t>
  </si>
  <si>
    <t>Svietidlá a osvetľovacie zariadenia - príslušenstvo pre stožiare, stožiarové rozvodnice, vrátane montáže a skúšok</t>
  </si>
  <si>
    <t>Rozvodnica stožiarová tr. ochrany II, IP54, pre 3 káble do 25mm2, vrátane istenia 10A</t>
  </si>
  <si>
    <t>Uzemňovacie a bleskozvodné vedenia - svorky - pre vedenia v zemi</t>
  </si>
  <si>
    <t>Uzemňovacie a bleskozvodné vedenia - svorky - pre vedenia v zemi - FeZn</t>
  </si>
  <si>
    <t>typové svorky uzemňovacie</t>
  </si>
  <si>
    <t>Uzemňovacie a bleskozvodné vedenia - vedenia v zemi - FeZn</t>
  </si>
  <si>
    <t>Uzemňovacie a bleskozvodné vedenia - vedenia v zemi - FeZn - drôtové</t>
  </si>
  <si>
    <t>uzemňovací drôt FeZn 10                       (66*1,5)</t>
  </si>
  <si>
    <t>Uzemňovacie a bleskozvodné vedenia - vedenia v zemi - FeZn - pásové</t>
  </si>
  <si>
    <t>uzemňovací pás FeZn 30x4</t>
  </si>
  <si>
    <t>Uzemňovacie a bleskozvodné vedenia - nátery - zvodových vodičov</t>
  </si>
  <si>
    <t>Uzemňovacie a bleskozvodné vedenia - nátery - zvodových vodičov - 1x základný, 2x krycí</t>
  </si>
  <si>
    <t>náter uzemňovacieho vodiča                   (36*0,5)</t>
  </si>
  <si>
    <t>Uzemňovacie a bleskozvodné vedenia - meranie - rezistencie uzemnenia</t>
  </si>
  <si>
    <t>Uzemňovacie a bleskozvodné vedenia - meranie - rezistencie uzemnenia - jedného zvodu</t>
  </si>
  <si>
    <t>meranie rezistencie</t>
  </si>
  <si>
    <t>Uzemňovacie a bleskozvodné vedenia - revízie - bleskozvodu</t>
  </si>
  <si>
    <t>Uzemňovacie a bleskozvodné vedenia - revízie - bleskozvodu - za jeden zvod</t>
  </si>
  <si>
    <t>revízie</t>
  </si>
  <si>
    <t>Cena celkom za 02 - Verejné osvetlenie</t>
  </si>
  <si>
    <t>03 Elektronické telekomunikačné siete Slovak Telekom</t>
  </si>
  <si>
    <t>jama pre spojky (2*2*1*6)</t>
  </si>
  <si>
    <t>Hĺbené vykopávky rýh š. do 600 mm, tr.horniny 4</t>
  </si>
  <si>
    <t>pod spevnenými komunikáciami  (0,5*1,2*(5))</t>
  </si>
  <si>
    <t>voľný terén (0,35*0,8*(155))</t>
  </si>
  <si>
    <t>pieskové lôžko (0,35*0,2*(155))</t>
  </si>
  <si>
    <t>piesok v tonách (p*1600/1000 t)=17,36t</t>
  </si>
  <si>
    <t>výkop-(pieskové lôžko+obetónovanie chráničiek)  (24+46)-(11+1)</t>
  </si>
  <si>
    <t>vystražná fólia šírky 33cm v metroch 155m</t>
  </si>
  <si>
    <t xml:space="preserve">prebytočná zemina=pieskové lôžko+obetónovanie chráničiek  </t>
  </si>
  <si>
    <t>pretláčanie chráničky HDPE110 komplet</t>
  </si>
  <si>
    <t xml:space="preserve">chránička HDPE 110 </t>
  </si>
  <si>
    <t>optorúra HDPE 40 vrátane spojok 6ks</t>
  </si>
  <si>
    <t>rezonančný marker 5ks</t>
  </si>
  <si>
    <t>22251285</t>
  </si>
  <si>
    <t>Doplňujúce konštrukcie,  kábelovody z rúr betónových</t>
  </si>
  <si>
    <t>betónový žľab TK2</t>
  </si>
  <si>
    <t>merania na optických a metalických kábloch predpísané správcom objektu</t>
  </si>
  <si>
    <t>obetónovanie chráničiek (0,5*0,3*(5))</t>
  </si>
  <si>
    <t>45.31.43</t>
  </si>
  <si>
    <t>Inštalovanie telefónných káblov, pokládka káblov</t>
  </si>
  <si>
    <t>Vedenia vonkajšie, káblové (miestne siete) - káble miestne telefónne</t>
  </si>
  <si>
    <t>Vedenia vonkajšie, káblové (miestne siete) - káble miestne telefónne ulož. v chráničkách</t>
  </si>
  <si>
    <t>TCEKPKFLE 10XN0,4</t>
  </si>
  <si>
    <t>TCEKPKFLE 500XN0,4</t>
  </si>
  <si>
    <t>TCEKPKFLE 400XN0,6</t>
  </si>
  <si>
    <t>Vedenia vonkajšie, káblové (miestne siete) - spojky káblové rovné</t>
  </si>
  <si>
    <t>Vedenia vonkajšie, káblové (miestne siete) - spojky káblové rovné, spájanie žíl zátorkami</t>
  </si>
  <si>
    <t>Spojka NITTO JCSA400</t>
  </si>
  <si>
    <t>Cena celkom za 03 - Elektronické telekomunikačné siete Slovak Telekom</t>
  </si>
  <si>
    <t>jama pre spojky (2*2*1*4)</t>
  </si>
  <si>
    <t>pod spevnenými komunikáciami  (0,5*1,2*(0))</t>
  </si>
  <si>
    <t>voľný terén (0,35*0,8*(190))</t>
  </si>
  <si>
    <t>pieskové lôžko (0,35*0,2*(190))</t>
  </si>
  <si>
    <t>piesok v tonách (p*1600/1000 t)=21,28t</t>
  </si>
  <si>
    <t>výkop-(pieskové lôžko+obetónovanie chráničiek)  (16+53)-(13+0)</t>
  </si>
  <si>
    <t>vystražná fólia šírky 33cm v metroch......190m</t>
  </si>
  <si>
    <t>prebytočná zemina=pieskové lôžko+obetónovanie chráničiek  (13+0)</t>
  </si>
  <si>
    <t>chránička HDPE 110</t>
  </si>
  <si>
    <t>TCEKPKFLE 50XN0,8</t>
  </si>
  <si>
    <t>Spojka NITTO JCSA</t>
  </si>
  <si>
    <t>Cena celkom za 04 - Elektronické telekomunikačné siete MO SR</t>
  </si>
  <si>
    <t>04 Elektronické telekomunikačné siete MO SR</t>
  </si>
  <si>
    <t>Vedenia vonkajšie káblové (diaľkové siete) - činnosti na kábloch</t>
  </si>
  <si>
    <t>Vedenia vonkajšie káblové (diaľkové siete) - činnosti na kábloch, meranie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</si>
</sst>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00"/>
    <numFmt numFmtId="165" formatCode="0000000000"/>
    <numFmt numFmtId="166" formatCode="#,##0.0"/>
    <numFmt numFmtId="167" formatCode="###\ ###\ ###\ ##0.00"/>
    <numFmt numFmtId="168" formatCode="0.0"/>
    <numFmt numFmtId="169" formatCode="0.000"/>
    <numFmt numFmtId="170" formatCode="_(* #,##0_);_(* \(#,##0\);_(* &quot;-&quot;??_);_(@_)"/>
  </numFmts>
  <fonts count="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sz val="10"/>
      <name val="AT*Switzerland Narrow"/>
      <charset val="238"/>
    </font>
    <font>
      <i/>
      <u/>
      <vertAlign val="subscript"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000000"/>
      <name val="Ariel"/>
      <charset val="238"/>
    </font>
    <font>
      <sz val="9"/>
      <color rgb="FF000000"/>
      <name val="Ariel"/>
      <charset val="238"/>
    </font>
    <font>
      <b/>
      <sz val="11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4" tint="0.39997558519241921"/>
      <name val="Arial CE"/>
      <family val="2"/>
      <charset val="238"/>
    </font>
    <font>
      <b/>
      <sz val="10"/>
      <color indexed="12"/>
      <name val="Arial"/>
      <family val="2"/>
    </font>
    <font>
      <sz val="10"/>
      <color indexed="12"/>
      <name val="Arial CE"/>
      <family val="2"/>
      <charset val="238"/>
    </font>
    <font>
      <i/>
      <u/>
      <sz val="10"/>
      <color rgb="FFFF0000"/>
      <name val="Arial CE"/>
      <family val="2"/>
      <charset val="238"/>
    </font>
    <font>
      <i/>
      <u/>
      <sz val="10"/>
      <color theme="1"/>
      <name val="Arial CE"/>
      <family val="2"/>
      <charset val="238"/>
    </font>
    <font>
      <i/>
      <sz val="10"/>
      <color theme="3" tint="0.59999389629810485"/>
      <name val="Arial CE"/>
      <family val="2"/>
      <charset val="238"/>
    </font>
    <font>
      <b/>
      <sz val="10"/>
      <color theme="3" tint="0.59999389629810485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0"/>
      <color theme="3" tint="0.59999389629810485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b/>
      <i/>
      <sz val="10"/>
      <color theme="1"/>
      <name val="Arial CE"/>
      <family val="2"/>
      <charset val="238"/>
    </font>
    <font>
      <sz val="10"/>
      <color rgb="FF00B050"/>
      <name val="Arial CE"/>
      <family val="2"/>
      <charset val="238"/>
    </font>
    <font>
      <sz val="10"/>
      <color rgb="FFC00000"/>
      <name val="Arial CE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 CE"/>
      <family val="2"/>
      <charset val="238"/>
    </font>
    <font>
      <b/>
      <sz val="10"/>
      <color theme="0" tint="-0.499984740745262"/>
      <name val="Arial CE"/>
      <family val="2"/>
      <charset val="238"/>
    </font>
    <font>
      <b/>
      <sz val="10"/>
      <name val="Helv"/>
      <charset val="238"/>
    </font>
    <font>
      <sz val="10"/>
      <name val="Helv"/>
      <charset val="238"/>
    </font>
    <font>
      <i/>
      <sz val="10"/>
      <name val="Arial"/>
      <family val="2"/>
      <charset val="238"/>
    </font>
    <font>
      <sz val="10"/>
      <name val="Helv"/>
    </font>
    <font>
      <b/>
      <sz val="10"/>
      <name val="Helv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Helv"/>
      <charset val="238"/>
    </font>
    <font>
      <b/>
      <i/>
      <sz val="10"/>
      <name val="Arial"/>
      <family val="2"/>
      <charset val="238"/>
    </font>
    <font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8" fillId="0" borderId="0">
      <alignment horizontal="center" vertical="center" wrapText="1"/>
    </xf>
    <xf numFmtId="0" fontId="4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5" fillId="3" borderId="0"/>
    <xf numFmtId="0" fontId="16" fillId="0" borderId="0"/>
    <xf numFmtId="0" fontId="15" fillId="0" borderId="0"/>
    <xf numFmtId="0" fontId="2" fillId="0" borderId="0"/>
    <xf numFmtId="0" fontId="2" fillId="0" borderId="0"/>
  </cellStyleXfs>
  <cellXfs count="846">
    <xf numFmtId="0" fontId="0" fillId="0" borderId="0" xfId="0"/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4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2" fillId="0" borderId="3" xfId="0" applyFont="1" applyBorder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right" vertical="top"/>
      <protection hidden="1"/>
    </xf>
    <xf numFmtId="0" fontId="2" fillId="0" borderId="4" xfId="0" applyFont="1" applyBorder="1" applyAlignment="1" applyProtection="1">
      <alignment horizontal="centerContinuous"/>
      <protection hidden="1"/>
    </xf>
    <xf numFmtId="0" fontId="2" fillId="0" borderId="5" xfId="0" applyFont="1" applyBorder="1" applyAlignment="1" applyProtection="1">
      <alignment horizontal="center" vertical="top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 vertical="top" wrapText="1"/>
      <protection hidden="1"/>
    </xf>
    <xf numFmtId="0" fontId="3" fillId="0" borderId="8" xfId="0" applyFont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4" fontId="2" fillId="0" borderId="10" xfId="0" applyNumberFormat="1" applyFont="1" applyBorder="1" applyAlignment="1" applyProtection="1">
      <alignment vertical="top" wrapText="1"/>
      <protection hidden="1"/>
    </xf>
    <xf numFmtId="0" fontId="2" fillId="0" borderId="8" xfId="0" quotePrefix="1" applyFont="1" applyBorder="1" applyAlignment="1" applyProtection="1">
      <alignment horizontal="center" vertical="top" wrapText="1"/>
      <protection hidden="1"/>
    </xf>
    <xf numFmtId="3" fontId="2" fillId="0" borderId="11" xfId="0" applyNumberFormat="1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49" fontId="3" fillId="0" borderId="1" xfId="0" quotePrefix="1" applyNumberFormat="1" applyFont="1" applyBorder="1" applyAlignment="1" applyProtection="1">
      <alignment horizontal="left" vertical="top"/>
      <protection hidden="1"/>
    </xf>
    <xf numFmtId="49" fontId="3" fillId="0" borderId="1" xfId="0" applyNumberFormat="1" applyFont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center" vertical="top"/>
      <protection hidden="1"/>
    </xf>
    <xf numFmtId="4" fontId="6" fillId="0" borderId="0" xfId="0" applyNumberFormat="1" applyFont="1" applyAlignment="1" applyProtection="1">
      <alignment vertical="top" wrapText="1"/>
      <protection hidden="1"/>
    </xf>
    <xf numFmtId="4" fontId="6" fillId="0" borderId="14" xfId="0" applyNumberFormat="1" applyFont="1" applyBorder="1" applyAlignment="1" applyProtection="1">
      <alignment horizontal="right" vertical="top" wrapText="1"/>
      <protection hidden="1"/>
    </xf>
    <xf numFmtId="49" fontId="2" fillId="0" borderId="1" xfId="0" quotePrefix="1" applyNumberFormat="1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49" fontId="3" fillId="0" borderId="1" xfId="0" applyNumberFormat="1" applyFont="1" applyBorder="1" applyAlignment="1" applyProtection="1">
      <alignment vertical="top"/>
      <protection hidden="1"/>
    </xf>
    <xf numFmtId="49" fontId="2" fillId="0" borderId="1" xfId="0" applyNumberFormat="1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49" fontId="3" fillId="0" borderId="1" xfId="0" applyNumberFormat="1" applyFont="1" applyBorder="1" applyAlignment="1" applyProtection="1">
      <alignment horizontal="left" vertical="top" wrapText="1"/>
      <protection hidden="1"/>
    </xf>
    <xf numFmtId="0" fontId="2" fillId="0" borderId="13" xfId="0" applyFont="1" applyBorder="1" applyAlignment="1" applyProtection="1">
      <alignment horizontal="left" vertical="top" wrapText="1"/>
      <protection hidden="1"/>
    </xf>
    <xf numFmtId="3" fontId="2" fillId="0" borderId="12" xfId="0" applyNumberFormat="1" applyFont="1" applyBorder="1" applyAlignment="1" applyProtection="1">
      <alignment vertical="top" wrapText="1"/>
      <protection hidden="1"/>
    </xf>
    <xf numFmtId="0" fontId="3" fillId="0" borderId="15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0" fontId="2" fillId="0" borderId="16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4" fontId="2" fillId="0" borderId="3" xfId="0" applyNumberFormat="1" applyFont="1" applyBorder="1" applyAlignment="1" applyProtection="1">
      <alignment vertical="top" wrapText="1"/>
      <protection hidden="1"/>
    </xf>
    <xf numFmtId="0" fontId="2" fillId="0" borderId="6" xfId="0" applyFont="1" applyBorder="1" applyAlignment="1" applyProtection="1">
      <alignment horizontal="center" vertical="top" wrapText="1"/>
      <protection hidden="1"/>
    </xf>
    <xf numFmtId="3" fontId="2" fillId="0" borderId="17" xfId="0" applyNumberFormat="1" applyFont="1" applyBorder="1" applyAlignment="1" applyProtection="1">
      <alignment vertical="top" wrapText="1"/>
      <protection hidden="1"/>
    </xf>
    <xf numFmtId="3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" fillId="0" borderId="0" xfId="0" applyNumberFormat="1" applyFont="1" applyAlignment="1" applyProtection="1">
      <alignment vertical="top"/>
      <protection hidden="1"/>
    </xf>
    <xf numFmtId="4" fontId="2" fillId="0" borderId="0" xfId="0" applyNumberFormat="1" applyFont="1" applyAlignment="1" applyProtection="1">
      <alignment horizontal="right" vertical="top"/>
      <protection hidden="1"/>
    </xf>
    <xf numFmtId="4" fontId="2" fillId="0" borderId="11" xfId="0" applyNumberFormat="1" applyFont="1" applyBorder="1" applyAlignment="1" applyProtection="1">
      <alignment horizontal="center" vertical="top" wrapText="1"/>
      <protection hidden="1"/>
    </xf>
    <xf numFmtId="4" fontId="2" fillId="0" borderId="12" xfId="0" applyNumberFormat="1" applyFont="1" applyBorder="1" applyAlignment="1" applyProtection="1">
      <alignment horizontal="right" vertical="top" wrapText="1"/>
      <protection hidden="1"/>
    </xf>
    <xf numFmtId="4" fontId="3" fillId="0" borderId="12" xfId="0" applyNumberFormat="1" applyFont="1" applyBorder="1" applyAlignment="1" applyProtection="1">
      <alignment horizontal="right" vertical="top" wrapText="1"/>
      <protection hidden="1"/>
    </xf>
    <xf numFmtId="4" fontId="2" fillId="0" borderId="17" xfId="0" applyNumberFormat="1" applyFont="1" applyBorder="1" applyAlignment="1" applyProtection="1">
      <alignment vertical="top" wrapText="1"/>
      <protection hidden="1"/>
    </xf>
    <xf numFmtId="4" fontId="2" fillId="0" borderId="11" xfId="0" applyNumberFormat="1" applyFont="1" applyBorder="1" applyAlignment="1" applyProtection="1">
      <alignment horizontal="right" vertical="top" wrapText="1"/>
      <protection hidden="1"/>
    </xf>
    <xf numFmtId="4" fontId="2" fillId="0" borderId="12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top"/>
      <protection hidden="1"/>
    </xf>
    <xf numFmtId="4" fontId="2" fillId="0" borderId="17" xfId="0" applyNumberFormat="1" applyFont="1" applyBorder="1" applyAlignment="1" applyProtection="1">
      <alignment horizontal="right" vertical="top" wrapText="1"/>
      <protection hidden="1"/>
    </xf>
    <xf numFmtId="0" fontId="3" fillId="0" borderId="24" xfId="0" applyFont="1" applyBorder="1" applyProtection="1">
      <protection hidden="1"/>
    </xf>
    <xf numFmtId="0" fontId="3" fillId="0" borderId="25" xfId="0" applyFont="1" applyBorder="1" applyProtection="1">
      <protection hidden="1"/>
    </xf>
    <xf numFmtId="4" fontId="3" fillId="0" borderId="25" xfId="0" applyNumberFormat="1" applyFont="1" applyBorder="1" applyProtection="1">
      <protection hidden="1"/>
    </xf>
    <xf numFmtId="0" fontId="12" fillId="0" borderId="0" xfId="4" applyFont="1" applyProtection="1">
      <protection hidden="1"/>
    </xf>
    <xf numFmtId="0" fontId="14" fillId="0" borderId="34" xfId="4" applyFont="1" applyBorder="1" applyAlignment="1" applyProtection="1">
      <alignment horizontal="center"/>
      <protection hidden="1"/>
    </xf>
    <xf numFmtId="0" fontId="14" fillId="0" borderId="35" xfId="4" applyFont="1" applyBorder="1" applyProtection="1">
      <protection hidden="1"/>
    </xf>
    <xf numFmtId="4" fontId="13" fillId="0" borderId="34" xfId="4" applyNumberFormat="1" applyFont="1" applyBorder="1" applyProtection="1">
      <protection hidden="1"/>
    </xf>
    <xf numFmtId="4" fontId="13" fillId="0" borderId="38" xfId="4" applyNumberFormat="1" applyFont="1" applyBorder="1" applyProtection="1">
      <protection hidden="1"/>
    </xf>
    <xf numFmtId="0" fontId="13" fillId="0" borderId="30" xfId="4" applyFont="1" applyBorder="1" applyAlignment="1" applyProtection="1">
      <alignment horizontal="center"/>
      <protection hidden="1"/>
    </xf>
    <xf numFmtId="0" fontId="14" fillId="0" borderId="20" xfId="5" applyFont="1" applyBorder="1" applyProtection="1">
      <protection hidden="1"/>
    </xf>
    <xf numFmtId="4" fontId="14" fillId="0" borderId="30" xfId="4" applyNumberFormat="1" applyFont="1" applyBorder="1" applyProtection="1">
      <protection hidden="1"/>
    </xf>
    <xf numFmtId="4" fontId="14" fillId="0" borderId="31" xfId="4" applyNumberFormat="1" applyFont="1" applyBorder="1" applyProtection="1">
      <protection hidden="1"/>
    </xf>
    <xf numFmtId="0" fontId="2" fillId="0" borderId="0" xfId="4" applyProtection="1">
      <protection hidden="1"/>
    </xf>
    <xf numFmtId="0" fontId="1" fillId="0" borderId="0" xfId="6" applyProtection="1">
      <protection hidden="1"/>
    </xf>
    <xf numFmtId="167" fontId="15" fillId="0" borderId="48" xfId="9" applyNumberFormat="1" applyBorder="1" applyProtection="1">
      <protection hidden="1"/>
    </xf>
    <xf numFmtId="49" fontId="16" fillId="0" borderId="49" xfId="8" quotePrefix="1" applyNumberFormat="1" applyBorder="1" applyProtection="1">
      <protection hidden="1"/>
    </xf>
    <xf numFmtId="0" fontId="15" fillId="0" borderId="47" xfId="7" applyFill="1" applyBorder="1" applyProtection="1">
      <protection hidden="1"/>
    </xf>
    <xf numFmtId="0" fontId="15" fillId="0" borderId="32" xfId="7" applyFill="1" applyBorder="1" applyProtection="1">
      <protection hidden="1"/>
    </xf>
    <xf numFmtId="0" fontId="15" fillId="0" borderId="46" xfId="7" applyFill="1" applyBorder="1" applyProtection="1">
      <protection hidden="1"/>
    </xf>
    <xf numFmtId="0" fontId="15" fillId="0" borderId="48" xfId="7" applyFill="1" applyBorder="1" applyAlignment="1" applyProtection="1">
      <alignment horizontal="center"/>
      <protection hidden="1"/>
    </xf>
    <xf numFmtId="49" fontId="16" fillId="0" borderId="40" xfId="8" quotePrefix="1" applyNumberFormat="1" applyBorder="1" applyProtection="1">
      <protection hidden="1"/>
    </xf>
    <xf numFmtId="49" fontId="16" fillId="0" borderId="41" xfId="8" applyNumberFormat="1" applyBorder="1" applyProtection="1">
      <protection hidden="1"/>
    </xf>
    <xf numFmtId="49" fontId="16" fillId="0" borderId="50" xfId="8" applyNumberFormat="1" applyBorder="1" applyProtection="1">
      <protection hidden="1"/>
    </xf>
    <xf numFmtId="49" fontId="16" fillId="0" borderId="39" xfId="8" applyNumberFormat="1" applyBorder="1" applyProtection="1">
      <protection hidden="1"/>
    </xf>
    <xf numFmtId="49" fontId="16" fillId="0" borderId="43" xfId="8" quotePrefix="1" applyNumberFormat="1" applyBorder="1" applyProtection="1">
      <protection hidden="1"/>
    </xf>
    <xf numFmtId="49" fontId="16" fillId="0" borderId="44" xfId="8" applyNumberFormat="1" applyBorder="1" applyProtection="1">
      <protection hidden="1"/>
    </xf>
    <xf numFmtId="49" fontId="16" fillId="0" borderId="50" xfId="8" applyNumberFormat="1" applyBorder="1" applyAlignment="1" applyProtection="1">
      <alignment wrapText="1"/>
      <protection hidden="1"/>
    </xf>
    <xf numFmtId="49" fontId="3" fillId="0" borderId="1" xfId="10" quotePrefix="1" applyNumberFormat="1" applyFont="1" applyBorder="1" applyAlignment="1" applyProtection="1">
      <alignment horizontal="left" vertical="top"/>
      <protection hidden="1"/>
    </xf>
    <xf numFmtId="49" fontId="3" fillId="0" borderId="1" xfId="10" applyNumberFormat="1" applyFont="1" applyBorder="1" applyAlignment="1" applyProtection="1">
      <alignment horizontal="left" vertical="top"/>
      <protection hidden="1"/>
    </xf>
    <xf numFmtId="0" fontId="3" fillId="0" borderId="0" xfId="10" applyFont="1" applyAlignment="1" applyProtection="1">
      <alignment vertical="top" wrapText="1"/>
      <protection hidden="1"/>
    </xf>
    <xf numFmtId="4" fontId="10" fillId="0" borderId="0" xfId="10" applyNumberFormat="1" applyFont="1" applyAlignment="1" applyProtection="1">
      <alignment wrapText="1"/>
      <protection hidden="1"/>
    </xf>
    <xf numFmtId="0" fontId="3" fillId="0" borderId="1" xfId="10" applyFont="1" applyBorder="1" applyAlignment="1" applyProtection="1">
      <alignment horizontal="center" vertical="top"/>
      <protection hidden="1"/>
    </xf>
    <xf numFmtId="4" fontId="3" fillId="0" borderId="12" xfId="10" applyNumberFormat="1" applyFont="1" applyBorder="1" applyAlignment="1" applyProtection="1">
      <alignment horizontal="right" vertical="top" wrapText="1"/>
      <protection hidden="1"/>
    </xf>
    <xf numFmtId="49" fontId="3" fillId="0" borderId="1" xfId="10" applyNumberFormat="1" applyFont="1" applyBorder="1" applyAlignment="1" applyProtection="1">
      <alignment wrapText="1"/>
      <protection hidden="1"/>
    </xf>
    <xf numFmtId="49" fontId="2" fillId="0" borderId="1" xfId="10" quotePrefix="1" applyNumberFormat="1" applyBorder="1" applyAlignment="1" applyProtection="1">
      <alignment horizontal="left" vertical="top"/>
      <protection hidden="1"/>
    </xf>
    <xf numFmtId="0" fontId="2" fillId="0" borderId="0" xfId="10" applyAlignment="1" applyProtection="1">
      <alignment vertical="top" wrapText="1"/>
      <protection hidden="1"/>
    </xf>
    <xf numFmtId="4" fontId="6" fillId="0" borderId="0" xfId="10" applyNumberFormat="1" applyFont="1" applyAlignment="1" applyProtection="1">
      <alignment wrapText="1"/>
      <protection hidden="1"/>
    </xf>
    <xf numFmtId="0" fontId="2" fillId="0" borderId="1" xfId="10" applyBorder="1" applyAlignment="1" applyProtection="1">
      <alignment horizontal="center" vertical="top"/>
      <protection hidden="1"/>
    </xf>
    <xf numFmtId="4" fontId="2" fillId="0" borderId="12" xfId="10" applyNumberFormat="1" applyBorder="1" applyAlignment="1" applyProtection="1">
      <alignment horizontal="right" vertical="top" wrapText="1"/>
      <protection hidden="1"/>
    </xf>
    <xf numFmtId="0" fontId="2" fillId="0" borderId="1" xfId="10" applyBorder="1" applyAlignment="1" applyProtection="1">
      <alignment vertical="top" wrapText="1"/>
      <protection hidden="1"/>
    </xf>
    <xf numFmtId="0" fontId="3" fillId="0" borderId="2" xfId="10" applyFont="1" applyBorder="1" applyAlignment="1" applyProtection="1">
      <alignment horizontal="center" vertical="top"/>
      <protection hidden="1"/>
    </xf>
    <xf numFmtId="0" fontId="7" fillId="0" borderId="0" xfId="10" applyFont="1" applyAlignment="1" applyProtection="1">
      <alignment horizontal="left" vertical="top" wrapText="1" indent="1"/>
      <protection hidden="1"/>
    </xf>
    <xf numFmtId="0" fontId="6" fillId="0" borderId="0" xfId="10" applyFont="1" applyAlignment="1" applyProtection="1">
      <alignment horizontal="left" vertical="top" wrapText="1" indent="1"/>
      <protection hidden="1"/>
    </xf>
    <xf numFmtId="4" fontId="6" fillId="0" borderId="0" xfId="10" applyNumberFormat="1" applyFont="1" applyAlignment="1" applyProtection="1">
      <alignment horizontal="right" vertical="top" wrapText="1"/>
      <protection hidden="1"/>
    </xf>
    <xf numFmtId="4" fontId="6" fillId="0" borderId="0" xfId="10" applyNumberFormat="1" applyFont="1" applyAlignment="1" applyProtection="1">
      <alignment horizontal="right" wrapText="1"/>
      <protection hidden="1"/>
    </xf>
    <xf numFmtId="49" fontId="3" fillId="0" borderId="1" xfId="10" applyNumberFormat="1" applyFont="1" applyBorder="1" applyAlignment="1" applyProtection="1">
      <alignment horizontal="left" vertical="top" wrapText="1"/>
      <protection hidden="1"/>
    </xf>
    <xf numFmtId="3" fontId="2" fillId="0" borderId="29" xfId="0" applyNumberFormat="1" applyFont="1" applyBorder="1" applyAlignment="1" applyProtection="1">
      <alignment horizontal="center" vertical="top" wrapText="1"/>
      <protection hidden="1"/>
    </xf>
    <xf numFmtId="3" fontId="2" fillId="0" borderId="54" xfId="0" applyNumberFormat="1" applyFont="1" applyBorder="1" applyAlignment="1" applyProtection="1">
      <alignment vertical="top" wrapText="1"/>
      <protection hidden="1"/>
    </xf>
    <xf numFmtId="3" fontId="2" fillId="0" borderId="31" xfId="0" applyNumberFormat="1" applyFont="1" applyBorder="1" applyAlignment="1" applyProtection="1">
      <alignment vertical="top" wrapText="1"/>
      <protection hidden="1"/>
    </xf>
    <xf numFmtId="49" fontId="3" fillId="0" borderId="1" xfId="11" applyNumberFormat="1" applyFont="1" applyBorder="1" applyAlignment="1" applyProtection="1">
      <alignment vertical="top"/>
      <protection hidden="1"/>
    </xf>
    <xf numFmtId="0" fontId="3" fillId="0" borderId="0" xfId="11" applyFont="1" applyAlignment="1" applyProtection="1">
      <alignment vertical="top" wrapText="1"/>
      <protection hidden="1"/>
    </xf>
    <xf numFmtId="49" fontId="3" fillId="0" borderId="0" xfId="11" applyNumberFormat="1" applyFont="1" applyAlignment="1" applyProtection="1">
      <alignment vertical="top"/>
      <protection hidden="1"/>
    </xf>
    <xf numFmtId="49" fontId="3" fillId="0" borderId="0" xfId="11" applyNumberFormat="1" applyFont="1" applyAlignment="1" applyProtection="1">
      <alignment horizontal="left" vertical="top"/>
      <protection hidden="1"/>
    </xf>
    <xf numFmtId="0" fontId="5" fillId="0" borderId="2" xfId="11" applyFont="1" applyBorder="1" applyAlignment="1" applyProtection="1">
      <alignment horizontal="center" vertical="top"/>
      <protection hidden="1"/>
    </xf>
    <xf numFmtId="0" fontId="2" fillId="0" borderId="1" xfId="11" applyBorder="1" applyAlignment="1" applyProtection="1">
      <alignment vertical="top" wrapText="1"/>
      <protection hidden="1"/>
    </xf>
    <xf numFmtId="164" fontId="3" fillId="0" borderId="1" xfId="11" applyNumberFormat="1" applyFont="1" applyBorder="1" applyAlignment="1" applyProtection="1">
      <alignment horizontal="left" vertical="top"/>
      <protection hidden="1"/>
    </xf>
    <xf numFmtId="165" fontId="3" fillId="0" borderId="1" xfId="11" applyNumberFormat="1" applyFont="1" applyBorder="1" applyAlignment="1" applyProtection="1">
      <alignment horizontal="left" vertical="top"/>
      <protection hidden="1"/>
    </xf>
    <xf numFmtId="0" fontId="3" fillId="0" borderId="1" xfId="11" applyFont="1" applyBorder="1" applyAlignment="1" applyProtection="1">
      <alignment horizontal="center" vertical="top"/>
      <protection hidden="1"/>
    </xf>
    <xf numFmtId="4" fontId="3" fillId="0" borderId="12" xfId="11" applyNumberFormat="1" applyFont="1" applyBorder="1" applyAlignment="1" applyProtection="1">
      <alignment horizontal="right" vertical="top" wrapText="1"/>
      <protection hidden="1"/>
    </xf>
    <xf numFmtId="165" fontId="2" fillId="0" borderId="1" xfId="11" applyNumberFormat="1" applyBorder="1" applyAlignment="1" applyProtection="1">
      <alignment horizontal="left" vertical="top"/>
      <protection hidden="1"/>
    </xf>
    <xf numFmtId="0" fontId="2" fillId="0" borderId="0" xfId="11" applyAlignment="1" applyProtection="1">
      <alignment vertical="top" wrapText="1"/>
      <protection hidden="1"/>
    </xf>
    <xf numFmtId="0" fontId="2" fillId="0" borderId="1" xfId="11" applyBorder="1" applyAlignment="1" applyProtection="1">
      <alignment horizontal="center" vertical="top"/>
      <protection hidden="1"/>
    </xf>
    <xf numFmtId="4" fontId="2" fillId="0" borderId="12" xfId="11" applyNumberFormat="1" applyBorder="1" applyAlignment="1" applyProtection="1">
      <alignment horizontal="right" vertical="top" wrapText="1"/>
      <protection hidden="1"/>
    </xf>
    <xf numFmtId="0" fontId="3" fillId="0" borderId="0" xfId="11" applyFont="1" applyAlignment="1" applyProtection="1">
      <alignment wrapText="1"/>
      <protection hidden="1"/>
    </xf>
    <xf numFmtId="164" fontId="2" fillId="0" borderId="1" xfId="11" applyNumberFormat="1" applyBorder="1" applyAlignment="1" applyProtection="1">
      <alignment horizontal="left" vertical="top"/>
      <protection hidden="1"/>
    </xf>
    <xf numFmtId="0" fontId="2" fillId="0" borderId="0" xfId="11" applyAlignment="1" applyProtection="1">
      <alignment wrapText="1"/>
      <protection hidden="1"/>
    </xf>
    <xf numFmtId="0" fontId="2" fillId="0" borderId="0" xfId="11" applyAlignment="1" applyProtection="1">
      <alignment horizontal="right" vertical="top" wrapText="1"/>
      <protection hidden="1"/>
    </xf>
    <xf numFmtId="0" fontId="2" fillId="0" borderId="1" xfId="10" applyBorder="1" applyAlignment="1" applyProtection="1">
      <alignment horizontal="left" wrapText="1"/>
      <protection hidden="1"/>
    </xf>
    <xf numFmtId="0" fontId="2" fillId="0" borderId="2" xfId="10" applyBorder="1" applyProtection="1">
      <protection hidden="1"/>
    </xf>
    <xf numFmtId="49" fontId="2" fillId="0" borderId="1" xfId="10" applyNumberFormat="1" applyBorder="1" applyAlignment="1" applyProtection="1">
      <alignment horizontal="left" vertical="top"/>
      <protection hidden="1"/>
    </xf>
    <xf numFmtId="4" fontId="2" fillId="0" borderId="12" xfId="10" applyNumberFormat="1" applyBorder="1" applyProtection="1">
      <protection hidden="1"/>
    </xf>
    <xf numFmtId="0" fontId="6" fillId="0" borderId="0" xfId="10" applyFont="1" applyAlignment="1" applyProtection="1">
      <alignment horizontal="center" vertical="top" wrapText="1"/>
      <protection hidden="1"/>
    </xf>
    <xf numFmtId="4" fontId="10" fillId="0" borderId="0" xfId="10" applyNumberFormat="1" applyFont="1" applyAlignment="1" applyProtection="1">
      <alignment horizontal="right" vertical="top" wrapText="1"/>
      <protection hidden="1"/>
    </xf>
    <xf numFmtId="0" fontId="2" fillId="0" borderId="2" xfId="11" applyBorder="1" applyProtection="1">
      <protection hidden="1"/>
    </xf>
    <xf numFmtId="49" fontId="3" fillId="0" borderId="14" xfId="11" applyNumberFormat="1" applyFont="1" applyBorder="1" applyAlignment="1" applyProtection="1">
      <alignment vertical="top"/>
      <protection hidden="1"/>
    </xf>
    <xf numFmtId="49" fontId="3" fillId="0" borderId="14" xfId="11" applyNumberFormat="1" applyFont="1" applyBorder="1" applyAlignment="1" applyProtection="1">
      <alignment horizontal="left" vertical="top"/>
      <protection hidden="1"/>
    </xf>
    <xf numFmtId="0" fontId="3" fillId="0" borderId="2" xfId="11" applyFont="1" applyBorder="1" applyAlignment="1" applyProtection="1">
      <alignment horizontal="center" vertical="top"/>
      <protection hidden="1"/>
    </xf>
    <xf numFmtId="0" fontId="2" fillId="0" borderId="14" xfId="11" applyBorder="1" applyAlignment="1" applyProtection="1">
      <alignment vertical="top"/>
      <protection hidden="1"/>
    </xf>
    <xf numFmtId="4" fontId="10" fillId="0" borderId="14" xfId="11" applyNumberFormat="1" applyFont="1" applyBorder="1" applyAlignment="1" applyProtection="1">
      <alignment wrapText="1"/>
      <protection hidden="1"/>
    </xf>
    <xf numFmtId="0" fontId="3" fillId="0" borderId="14" xfId="11" applyFont="1" applyBorder="1" applyAlignment="1" applyProtection="1">
      <alignment horizontal="center" vertical="top" wrapText="1"/>
      <protection hidden="1"/>
    </xf>
    <xf numFmtId="0" fontId="3" fillId="0" borderId="14" xfId="11" applyFont="1" applyBorder="1" applyAlignment="1" applyProtection="1">
      <alignment horizontal="left" wrapText="1"/>
      <protection hidden="1"/>
    </xf>
    <xf numFmtId="49" fontId="3" fillId="0" borderId="1" xfId="11" quotePrefix="1" applyNumberFormat="1" applyFont="1" applyBorder="1" applyAlignment="1" applyProtection="1">
      <alignment horizontal="left" vertical="top"/>
      <protection hidden="1"/>
    </xf>
    <xf numFmtId="0" fontId="3" fillId="0" borderId="14" xfId="11" applyFont="1" applyBorder="1" applyAlignment="1" applyProtection="1">
      <alignment horizontal="center" vertical="top"/>
      <protection hidden="1"/>
    </xf>
    <xf numFmtId="0" fontId="2" fillId="0" borderId="14" xfId="11" applyBorder="1" applyAlignment="1" applyProtection="1">
      <alignment horizontal="left" wrapText="1"/>
      <protection hidden="1"/>
    </xf>
    <xf numFmtId="49" fontId="2" fillId="0" borderId="1" xfId="11" applyNumberFormat="1" applyBorder="1" applyAlignment="1" applyProtection="1">
      <alignment horizontal="left" vertical="top"/>
      <protection hidden="1"/>
    </xf>
    <xf numFmtId="49" fontId="2" fillId="0" borderId="14" xfId="11" quotePrefix="1" applyNumberFormat="1" applyBorder="1" applyAlignment="1" applyProtection="1">
      <alignment horizontal="left" vertical="top"/>
      <protection hidden="1"/>
    </xf>
    <xf numFmtId="4" fontId="6" fillId="0" borderId="14" xfId="11" applyNumberFormat="1" applyFont="1" applyBorder="1" applyAlignment="1" applyProtection="1">
      <alignment wrapText="1"/>
      <protection hidden="1"/>
    </xf>
    <xf numFmtId="0" fontId="2" fillId="0" borderId="14" xfId="11" applyBorder="1" applyAlignment="1" applyProtection="1">
      <alignment horizontal="center" vertical="top"/>
      <protection hidden="1"/>
    </xf>
    <xf numFmtId="0" fontId="3" fillId="0" borderId="55" xfId="0" applyFont="1" applyBorder="1" applyAlignment="1" applyProtection="1">
      <alignment horizontal="center" vertical="top" wrapText="1"/>
      <protection hidden="1"/>
    </xf>
    <xf numFmtId="0" fontId="2" fillId="0" borderId="1" xfId="0" quotePrefix="1" applyFont="1" applyBorder="1" applyAlignment="1" applyProtection="1">
      <alignment horizontal="center" vertical="top" wrapText="1"/>
      <protection hidden="1"/>
    </xf>
    <xf numFmtId="2" fontId="2" fillId="0" borderId="0" xfId="0" applyNumberFormat="1" applyFont="1" applyProtection="1">
      <protection hidden="1"/>
    </xf>
    <xf numFmtId="169" fontId="2" fillId="0" borderId="0" xfId="0" applyNumberFormat="1" applyFont="1" applyProtection="1">
      <protection hidden="1"/>
    </xf>
    <xf numFmtId="0" fontId="2" fillId="0" borderId="1" xfId="11" applyBorder="1" applyAlignment="1" applyProtection="1">
      <alignment vertical="top"/>
      <protection hidden="1"/>
    </xf>
    <xf numFmtId="0" fontId="2" fillId="0" borderId="0" xfId="11" applyProtection="1">
      <protection hidden="1"/>
    </xf>
    <xf numFmtId="0" fontId="2" fillId="0" borderId="1" xfId="11" applyBorder="1" applyAlignment="1" applyProtection="1">
      <alignment horizontal="left" wrapText="1"/>
      <protection hidden="1"/>
    </xf>
    <xf numFmtId="49" fontId="2" fillId="0" borderId="1" xfId="11" quotePrefix="1" applyNumberFormat="1" applyBorder="1" applyAlignment="1" applyProtection="1">
      <alignment horizontal="left" vertical="top"/>
      <protection hidden="1"/>
    </xf>
    <xf numFmtId="4" fontId="2" fillId="0" borderId="14" xfId="11" applyNumberFormat="1" applyBorder="1" applyAlignment="1" applyProtection="1">
      <alignment wrapText="1"/>
      <protection hidden="1"/>
    </xf>
    <xf numFmtId="2" fontId="3" fillId="0" borderId="0" xfId="11" applyNumberFormat="1" applyFont="1" applyProtection="1">
      <protection hidden="1"/>
    </xf>
    <xf numFmtId="0" fontId="24" fillId="0" borderId="7" xfId="0" applyFont="1" applyBorder="1" applyAlignment="1" applyProtection="1">
      <alignment horizontal="center" vertical="top" wrapText="1"/>
      <protection hidden="1"/>
    </xf>
    <xf numFmtId="0" fontId="24" fillId="0" borderId="8" xfId="0" applyFont="1" applyBorder="1" applyAlignment="1" applyProtection="1">
      <alignment horizontal="center" vertical="top" wrapText="1"/>
      <protection hidden="1"/>
    </xf>
    <xf numFmtId="0" fontId="23" fillId="0" borderId="8" xfId="0" applyFont="1" applyBorder="1" applyAlignment="1" applyProtection="1">
      <alignment horizontal="center" vertical="top" wrapText="1"/>
      <protection hidden="1"/>
    </xf>
    <xf numFmtId="0" fontId="23" fillId="0" borderId="9" xfId="0" applyFont="1" applyBorder="1" applyAlignment="1" applyProtection="1">
      <alignment horizontal="center" vertical="top" wrapText="1"/>
      <protection hidden="1"/>
    </xf>
    <xf numFmtId="4" fontId="23" fillId="0" borderId="10" xfId="0" applyNumberFormat="1" applyFont="1" applyBorder="1" applyAlignment="1" applyProtection="1">
      <alignment vertical="top" wrapText="1"/>
      <protection hidden="1"/>
    </xf>
    <xf numFmtId="0" fontId="23" fillId="0" borderId="8" xfId="0" quotePrefix="1" applyFont="1" applyBorder="1" applyAlignment="1" applyProtection="1">
      <alignment horizontal="center" vertical="top" wrapText="1"/>
      <protection hidden="1"/>
    </xf>
    <xf numFmtId="4" fontId="23" fillId="0" borderId="11" xfId="0" applyNumberFormat="1" applyFont="1" applyBorder="1" applyAlignment="1" applyProtection="1">
      <alignment horizontal="center" vertical="top" wrapText="1"/>
      <protection hidden="1"/>
    </xf>
    <xf numFmtId="49" fontId="2" fillId="0" borderId="14" xfId="11" applyNumberFormat="1" applyBorder="1" applyAlignment="1" applyProtection="1">
      <alignment horizontal="left" vertical="top"/>
      <protection hidden="1"/>
    </xf>
    <xf numFmtId="3" fontId="2" fillId="0" borderId="9" xfId="0" applyNumberFormat="1" applyFont="1" applyBorder="1" applyAlignment="1" applyProtection="1">
      <alignment horizontal="center" vertical="top" wrapText="1"/>
      <protection hidden="1"/>
    </xf>
    <xf numFmtId="3" fontId="2" fillId="0" borderId="3" xfId="0" applyNumberFormat="1" applyFont="1" applyBorder="1" applyAlignment="1" applyProtection="1">
      <alignment vertical="top" wrapText="1"/>
      <protection hidden="1"/>
    </xf>
    <xf numFmtId="0" fontId="2" fillId="0" borderId="8" xfId="0" quotePrefix="1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4" fontId="2" fillId="0" borderId="29" xfId="0" applyNumberFormat="1" applyFont="1" applyBorder="1" applyAlignment="1" applyProtection="1">
      <alignment horizontal="center" vertical="top" wrapText="1"/>
      <protection hidden="1"/>
    </xf>
    <xf numFmtId="4" fontId="2" fillId="0" borderId="31" xfId="0" applyNumberFormat="1" applyFont="1" applyBorder="1" applyAlignment="1" applyProtection="1">
      <alignment vertical="top" wrapText="1"/>
      <protection hidden="1"/>
    </xf>
    <xf numFmtId="4" fontId="2" fillId="0" borderId="28" xfId="0" applyNumberFormat="1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" fontId="2" fillId="0" borderId="0" xfId="0" applyNumberFormat="1" applyFont="1" applyAlignment="1" applyProtection="1">
      <alignment vertical="top" wrapText="1"/>
      <protection hidden="1"/>
    </xf>
    <xf numFmtId="4" fontId="2" fillId="0" borderId="12" xfId="0" applyNumberFormat="1" applyFont="1" applyBorder="1" applyAlignment="1" applyProtection="1">
      <alignment horizontal="center" vertical="top" wrapText="1"/>
      <protection hidden="1"/>
    </xf>
    <xf numFmtId="4" fontId="2" fillId="0" borderId="56" xfId="0" applyNumberFormat="1" applyFont="1" applyBorder="1" applyAlignment="1" applyProtection="1">
      <alignment horizontal="center" vertical="top" wrapText="1"/>
      <protection hidden="1"/>
    </xf>
    <xf numFmtId="0" fontId="24" fillId="0" borderId="55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23" fillId="0" borderId="0" xfId="0" applyFont="1" applyAlignment="1" applyProtection="1">
      <alignment horizontal="center" vertical="top" wrapText="1"/>
      <protection hidden="1"/>
    </xf>
    <xf numFmtId="4" fontId="23" fillId="0" borderId="0" xfId="0" applyNumberFormat="1" applyFont="1" applyAlignment="1" applyProtection="1">
      <alignment vertical="top" wrapText="1"/>
      <protection hidden="1"/>
    </xf>
    <xf numFmtId="0" fontId="23" fillId="0" borderId="1" xfId="0" quotePrefix="1" applyFont="1" applyBorder="1" applyAlignment="1" applyProtection="1">
      <alignment horizontal="center" vertical="top" wrapText="1"/>
      <protection hidden="1"/>
    </xf>
    <xf numFmtId="4" fontId="23" fillId="0" borderId="12" xfId="0" applyNumberFormat="1" applyFont="1" applyBorder="1" applyAlignment="1" applyProtection="1">
      <alignment horizontal="center" vertical="top" wrapText="1"/>
      <protection hidden="1"/>
    </xf>
    <xf numFmtId="4" fontId="23" fillId="0" borderId="56" xfId="0" applyNumberFormat="1" applyFont="1" applyBorder="1" applyAlignment="1" applyProtection="1">
      <alignment horizontal="center" vertical="top" wrapText="1"/>
      <protection hidden="1"/>
    </xf>
    <xf numFmtId="4" fontId="2" fillId="0" borderId="9" xfId="0" applyNumberFormat="1" applyFont="1" applyBorder="1" applyAlignment="1" applyProtection="1">
      <alignment horizontal="right" vertical="top" wrapText="1"/>
      <protection hidden="1"/>
    </xf>
    <xf numFmtId="4" fontId="2" fillId="0" borderId="13" xfId="0" applyNumberFormat="1" applyFont="1" applyBorder="1" applyAlignment="1" applyProtection="1">
      <alignment horizontal="right" vertical="top" wrapText="1"/>
      <protection hidden="1"/>
    </xf>
    <xf numFmtId="4" fontId="2" fillId="0" borderId="3" xfId="0" applyNumberFormat="1" applyFont="1" applyBorder="1" applyAlignment="1" applyProtection="1">
      <alignment horizontal="right" vertical="top" wrapText="1"/>
      <protection hidden="1"/>
    </xf>
    <xf numFmtId="0" fontId="6" fillId="0" borderId="0" xfId="11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left" vertical="top" wrapText="1" indent="1"/>
      <protection hidden="1"/>
    </xf>
    <xf numFmtId="3" fontId="2" fillId="4" borderId="29" xfId="0" applyNumberFormat="1" applyFont="1" applyFill="1" applyBorder="1" applyAlignment="1" applyProtection="1">
      <alignment horizontal="center" vertical="top" wrapText="1"/>
      <protection hidden="1"/>
    </xf>
    <xf numFmtId="3" fontId="2" fillId="4" borderId="54" xfId="0" applyNumberFormat="1" applyFont="1" applyFill="1" applyBorder="1" applyAlignment="1" applyProtection="1">
      <alignment vertical="top" wrapText="1"/>
      <protection hidden="1"/>
    </xf>
    <xf numFmtId="3" fontId="2" fillId="4" borderId="31" xfId="0" applyNumberFormat="1" applyFont="1" applyFill="1" applyBorder="1" applyAlignment="1" applyProtection="1">
      <alignment vertical="top" wrapText="1"/>
      <protection hidden="1"/>
    </xf>
    <xf numFmtId="4" fontId="2" fillId="4" borderId="56" xfId="0" applyNumberFormat="1" applyFont="1" applyFill="1" applyBorder="1" applyAlignment="1" applyProtection="1">
      <alignment horizontal="center" vertical="top" wrapText="1"/>
      <protection hidden="1"/>
    </xf>
    <xf numFmtId="4" fontId="2" fillId="4" borderId="12" xfId="0" applyNumberFormat="1" applyFont="1" applyFill="1" applyBorder="1" applyAlignment="1" applyProtection="1">
      <alignment horizontal="right" vertical="top" wrapText="1"/>
      <protection hidden="1"/>
    </xf>
    <xf numFmtId="4" fontId="2" fillId="4" borderId="17" xfId="0" applyNumberFormat="1" applyFont="1" applyFill="1" applyBorder="1" applyAlignment="1" applyProtection="1">
      <alignment vertical="top" wrapText="1"/>
      <protection hidden="1"/>
    </xf>
    <xf numFmtId="4" fontId="2" fillId="4" borderId="11" xfId="0" applyNumberFormat="1" applyFont="1" applyFill="1" applyBorder="1" applyAlignment="1" applyProtection="1">
      <alignment horizontal="center" vertical="top" wrapText="1"/>
      <protection hidden="1"/>
    </xf>
    <xf numFmtId="4" fontId="23" fillId="4" borderId="11" xfId="0" applyNumberFormat="1" applyFont="1" applyFill="1" applyBorder="1" applyAlignment="1" applyProtection="1">
      <alignment horizontal="center" vertical="top" wrapText="1"/>
      <protection hidden="1"/>
    </xf>
    <xf numFmtId="4" fontId="23" fillId="4" borderId="56" xfId="0" applyNumberFormat="1" applyFont="1" applyFill="1" applyBorder="1" applyAlignment="1" applyProtection="1">
      <alignment horizontal="center" vertical="top" wrapText="1"/>
      <protection hidden="1"/>
    </xf>
    <xf numFmtId="3" fontId="3" fillId="4" borderId="31" xfId="0" applyNumberFormat="1" applyFont="1" applyFill="1" applyBorder="1" applyAlignment="1" applyProtection="1">
      <alignment vertical="top" wrapText="1"/>
      <protection hidden="1"/>
    </xf>
    <xf numFmtId="3" fontId="3" fillId="4" borderId="29" xfId="0" applyNumberFormat="1" applyFont="1" applyFill="1" applyBorder="1" applyAlignment="1" applyProtection="1">
      <alignment horizontal="center" vertical="top" wrapText="1"/>
      <protection hidden="1"/>
    </xf>
    <xf numFmtId="3" fontId="3" fillId="4" borderId="29" xfId="0" applyNumberFormat="1" applyFont="1" applyFill="1" applyBorder="1" applyAlignment="1" applyProtection="1">
      <alignment horizontal="right" vertical="top" wrapText="1"/>
      <protection hidden="1"/>
    </xf>
    <xf numFmtId="4" fontId="2" fillId="4" borderId="54" xfId="0" applyNumberFormat="1" applyFont="1" applyFill="1" applyBorder="1" applyAlignment="1" applyProtection="1">
      <alignment horizontal="right" vertical="top" wrapText="1"/>
      <protection hidden="1"/>
    </xf>
    <xf numFmtId="4" fontId="2" fillId="4" borderId="31" xfId="0" applyNumberFormat="1" applyFont="1" applyFill="1" applyBorder="1" applyAlignment="1" applyProtection="1">
      <alignment horizontal="right" vertical="top" wrapText="1"/>
      <protection hidden="1"/>
    </xf>
    <xf numFmtId="4" fontId="2" fillId="4" borderId="29" xfId="0" applyNumberFormat="1" applyFont="1" applyFill="1" applyBorder="1" applyAlignment="1" applyProtection="1">
      <alignment horizontal="right" vertical="top" wrapText="1"/>
      <protection hidden="1"/>
    </xf>
    <xf numFmtId="4" fontId="2" fillId="4" borderId="11" xfId="0" applyNumberFormat="1" applyFont="1" applyFill="1" applyBorder="1" applyAlignment="1" applyProtection="1">
      <alignment horizontal="right" vertical="top" wrapText="1"/>
      <protection hidden="1"/>
    </xf>
    <xf numFmtId="4" fontId="2" fillId="4" borderId="12" xfId="0" applyNumberFormat="1" applyFont="1" applyFill="1" applyBorder="1" applyAlignment="1" applyProtection="1">
      <alignment horizontal="right" vertical="center"/>
      <protection hidden="1"/>
    </xf>
    <xf numFmtId="4" fontId="3" fillId="4" borderId="12" xfId="0" applyNumberFormat="1" applyFont="1" applyFill="1" applyBorder="1" applyAlignment="1" applyProtection="1">
      <alignment horizontal="right" vertical="top" wrapText="1"/>
      <protection hidden="1"/>
    </xf>
    <xf numFmtId="4" fontId="2" fillId="4" borderId="17" xfId="0" applyNumberFormat="1" applyFont="1" applyFill="1" applyBorder="1" applyAlignment="1" applyProtection="1">
      <alignment horizontal="right" vertical="top" wrapText="1"/>
      <protection hidden="1"/>
    </xf>
    <xf numFmtId="4" fontId="43" fillId="4" borderId="12" xfId="0" applyNumberFormat="1" applyFont="1" applyFill="1" applyBorder="1" applyAlignment="1" applyProtection="1">
      <alignment horizontal="right" vertical="top" wrapText="1"/>
      <protection hidden="1"/>
    </xf>
    <xf numFmtId="0" fontId="19" fillId="0" borderId="1" xfId="0" applyFont="1" applyBorder="1" applyAlignment="1" applyProtection="1">
      <alignment vertical="top" wrapText="1"/>
      <protection hidden="1"/>
    </xf>
    <xf numFmtId="164" fontId="19" fillId="0" borderId="1" xfId="0" applyNumberFormat="1" applyFont="1" applyBorder="1" applyAlignment="1" applyProtection="1">
      <alignment horizontal="left" vertical="top" wrapText="1"/>
      <protection hidden="1"/>
    </xf>
    <xf numFmtId="165" fontId="19" fillId="0" borderId="1" xfId="0" applyNumberFormat="1" applyFont="1" applyBorder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horizontal="left" vertical="top" wrapText="1"/>
      <protection hidden="1"/>
    </xf>
    <xf numFmtId="4" fontId="19" fillId="0" borderId="0" xfId="0" applyNumberFormat="1" applyFont="1" applyAlignment="1" applyProtection="1">
      <alignment horizontal="left" vertical="top" wrapText="1"/>
      <protection hidden="1"/>
    </xf>
    <xf numFmtId="0" fontId="19" fillId="0" borderId="1" xfId="0" applyFont="1" applyBorder="1" applyAlignment="1" applyProtection="1">
      <alignment horizontal="center" vertical="top" wrapText="1"/>
      <protection hidden="1"/>
    </xf>
    <xf numFmtId="4" fontId="2" fillId="4" borderId="54" xfId="0" applyNumberFormat="1" applyFont="1" applyFill="1" applyBorder="1" applyProtection="1">
      <protection hidden="1"/>
    </xf>
    <xf numFmtId="4" fontId="2" fillId="0" borderId="54" xfId="0" applyNumberFormat="1" applyFont="1" applyBorder="1" applyProtection="1">
      <protection hidden="1"/>
    </xf>
    <xf numFmtId="0" fontId="0" fillId="0" borderId="0" xfId="0" applyProtection="1">
      <protection hidden="1"/>
    </xf>
    <xf numFmtId="4" fontId="3" fillId="4" borderId="54" xfId="0" applyNumberFormat="1" applyFont="1" applyFill="1" applyBorder="1" applyAlignment="1" applyProtection="1">
      <alignment vertical="top" wrapText="1"/>
      <protection hidden="1"/>
    </xf>
    <xf numFmtId="4" fontId="3" fillId="0" borderId="54" xfId="0" applyNumberFormat="1" applyFont="1" applyBorder="1" applyAlignment="1" applyProtection="1">
      <alignment vertical="top" wrapText="1"/>
      <protection hidden="1"/>
    </xf>
    <xf numFmtId="0" fontId="20" fillId="0" borderId="2" xfId="0" applyFont="1" applyBorder="1" applyAlignment="1" applyProtection="1">
      <alignment horizontal="center" vertical="top"/>
      <protection hidden="1"/>
    </xf>
    <xf numFmtId="0" fontId="21" fillId="0" borderId="1" xfId="0" applyFont="1" applyBorder="1" applyAlignment="1" applyProtection="1">
      <alignment horizontal="center" vertical="top" wrapText="1"/>
      <protection hidden="1"/>
    </xf>
    <xf numFmtId="4" fontId="21" fillId="0" borderId="12" xfId="0" applyNumberFormat="1" applyFont="1" applyBorder="1" applyAlignment="1" applyProtection="1">
      <alignment horizontal="right" vertical="top" wrapText="1"/>
      <protection hidden="1"/>
    </xf>
    <xf numFmtId="14" fontId="0" fillId="0" borderId="0" xfId="0" applyNumberFormat="1" applyProtection="1">
      <protection hidden="1"/>
    </xf>
    <xf numFmtId="0" fontId="21" fillId="0" borderId="2" xfId="0" applyFont="1" applyBorder="1" applyAlignment="1" applyProtection="1">
      <alignment horizontal="center" vertical="top" wrapText="1"/>
      <protection hidden="1"/>
    </xf>
    <xf numFmtId="0" fontId="18" fillId="0" borderId="1" xfId="0" applyFont="1" applyBorder="1" applyAlignment="1" applyProtection="1">
      <alignment horizontal="center" vertical="top" wrapText="1"/>
      <protection hidden="1"/>
    </xf>
    <xf numFmtId="4" fontId="6" fillId="0" borderId="0" xfId="0" applyNumberFormat="1" applyFont="1" applyAlignment="1" applyProtection="1">
      <alignment horizontal="right" wrapText="1"/>
      <protection hidden="1"/>
    </xf>
    <xf numFmtId="0" fontId="18" fillId="0" borderId="1" xfId="0" quotePrefix="1" applyFont="1" applyBorder="1" applyAlignment="1" applyProtection="1">
      <alignment horizontal="center" vertical="top" wrapText="1"/>
      <protection hidden="1"/>
    </xf>
    <xf numFmtId="4" fontId="18" fillId="0" borderId="12" xfId="0" applyNumberFormat="1" applyFont="1" applyBorder="1" applyAlignment="1" applyProtection="1">
      <alignment horizontal="center" vertical="top" wrapText="1"/>
      <protection hidden="1"/>
    </xf>
    <xf numFmtId="4" fontId="7" fillId="0" borderId="0" xfId="0" applyNumberFormat="1" applyFont="1" applyAlignment="1" applyProtection="1">
      <alignment horizontal="right" wrapText="1"/>
      <protection hidden="1"/>
    </xf>
    <xf numFmtId="0" fontId="22" fillId="0" borderId="0" xfId="0" applyFont="1" applyAlignment="1" applyProtection="1">
      <alignment horizontal="left" vertical="top" wrapText="1" indent="1"/>
      <protection hidden="1"/>
    </xf>
    <xf numFmtId="4" fontId="22" fillId="0" borderId="0" xfId="0" applyNumberFormat="1" applyFont="1" applyAlignment="1" applyProtection="1">
      <alignment horizontal="right" vertical="top" wrapText="1"/>
      <protection hidden="1"/>
    </xf>
    <xf numFmtId="49" fontId="21" fillId="0" borderId="1" xfId="0" quotePrefix="1" applyNumberFormat="1" applyFont="1" applyBorder="1" applyAlignment="1" applyProtection="1">
      <alignment horizontal="left" vertical="top"/>
      <protection hidden="1"/>
    </xf>
    <xf numFmtId="49" fontId="21" fillId="0" borderId="1" xfId="0" applyNumberFormat="1" applyFont="1" applyBorder="1" applyAlignment="1" applyProtection="1">
      <alignment horizontal="left" vertical="top"/>
      <protection hidden="1"/>
    </xf>
    <xf numFmtId="0" fontId="21" fillId="0" borderId="0" xfId="0" applyFont="1" applyAlignment="1" applyProtection="1">
      <alignment vertical="top" wrapText="1"/>
      <protection hidden="1"/>
    </xf>
    <xf numFmtId="4" fontId="21" fillId="0" borderId="0" xfId="0" applyNumberFormat="1" applyFont="1" applyAlignment="1" applyProtection="1">
      <alignment wrapText="1"/>
      <protection hidden="1"/>
    </xf>
    <xf numFmtId="0" fontId="21" fillId="0" borderId="1" xfId="0" applyFont="1" applyBorder="1" applyAlignment="1" applyProtection="1">
      <alignment horizontal="center" vertical="top"/>
      <protection hidden="1"/>
    </xf>
    <xf numFmtId="4" fontId="22" fillId="0" borderId="0" xfId="0" applyNumberFormat="1" applyFont="1" applyAlignment="1" applyProtection="1">
      <alignment horizontal="right" wrapText="1"/>
      <protection hidden="1"/>
    </xf>
    <xf numFmtId="0" fontId="23" fillId="0" borderId="0" xfId="0" applyFont="1" applyProtection="1">
      <protection hidden="1"/>
    </xf>
    <xf numFmtId="0" fontId="24" fillId="0" borderId="2" xfId="0" applyFont="1" applyBorder="1" applyAlignment="1" applyProtection="1">
      <alignment horizontal="center" vertical="top" wrapText="1"/>
      <protection hidden="1"/>
    </xf>
    <xf numFmtId="0" fontId="25" fillId="0" borderId="0" xfId="0" applyFont="1" applyAlignment="1" applyProtection="1">
      <alignment horizontal="left" vertical="top" wrapText="1" indent="1"/>
      <protection hidden="1"/>
    </xf>
    <xf numFmtId="4" fontId="25" fillId="0" borderId="0" xfId="0" applyNumberFormat="1" applyFont="1" applyAlignment="1" applyProtection="1">
      <alignment wrapText="1"/>
      <protection hidden="1"/>
    </xf>
    <xf numFmtId="164" fontId="26" fillId="0" borderId="1" xfId="0" applyNumberFormat="1" applyFont="1" applyBorder="1" applyAlignment="1" applyProtection="1">
      <alignment horizontal="left" vertical="top" wrapText="1"/>
      <protection hidden="1"/>
    </xf>
    <xf numFmtId="165" fontId="26" fillId="0" borderId="1" xfId="0" applyNumberFormat="1" applyFont="1" applyBorder="1" applyAlignment="1" applyProtection="1">
      <alignment horizontal="left" vertical="top" wrapText="1"/>
      <protection hidden="1"/>
    </xf>
    <xf numFmtId="0" fontId="19" fillId="0" borderId="0" xfId="0" applyFont="1" applyAlignment="1" applyProtection="1">
      <alignment vertical="top" wrapText="1"/>
      <protection hidden="1"/>
    </xf>
    <xf numFmtId="4" fontId="26" fillId="0" borderId="0" xfId="0" applyNumberFormat="1" applyFont="1" applyAlignment="1" applyProtection="1">
      <alignment horizontal="left" vertical="top" wrapText="1"/>
      <protection hidden="1"/>
    </xf>
    <xf numFmtId="0" fontId="26" fillId="0" borderId="1" xfId="0" applyFont="1" applyBorder="1" applyAlignment="1" applyProtection="1">
      <alignment horizontal="center" vertical="top" wrapText="1"/>
      <protection hidden="1"/>
    </xf>
    <xf numFmtId="4" fontId="3" fillId="0" borderId="0" xfId="0" applyNumberFormat="1" applyFont="1" applyAlignment="1" applyProtection="1">
      <alignment wrapText="1"/>
      <protection hidden="1"/>
    </xf>
    <xf numFmtId="4" fontId="2" fillId="0" borderId="0" xfId="0" applyNumberFormat="1" applyFont="1" applyAlignment="1" applyProtection="1">
      <alignment wrapText="1"/>
      <protection hidden="1"/>
    </xf>
    <xf numFmtId="0" fontId="27" fillId="0" borderId="2" xfId="0" applyFont="1" applyBorder="1" applyAlignment="1" applyProtection="1">
      <alignment horizontal="center" vertical="top"/>
      <protection hidden="1"/>
    </xf>
    <xf numFmtId="49" fontId="24" fillId="0" borderId="1" xfId="0" quotePrefix="1" applyNumberFormat="1" applyFont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top" wrapText="1" indent="1"/>
      <protection hidden="1"/>
    </xf>
    <xf numFmtId="49" fontId="24" fillId="0" borderId="1" xfId="0" applyNumberFormat="1" applyFont="1" applyBorder="1" applyAlignment="1" applyProtection="1">
      <alignment horizontal="left" vertical="top"/>
      <protection hidden="1"/>
    </xf>
    <xf numFmtId="4" fontId="25" fillId="0" borderId="0" xfId="0" applyNumberFormat="1" applyFont="1" applyAlignment="1" applyProtection="1">
      <alignment horizontal="right" wrapText="1"/>
      <protection hidden="1"/>
    </xf>
    <xf numFmtId="0" fontId="24" fillId="0" borderId="1" xfId="0" applyFont="1" applyBorder="1" applyAlignment="1" applyProtection="1">
      <alignment horizontal="center" vertical="top"/>
      <protection hidden="1"/>
    </xf>
    <xf numFmtId="49" fontId="23" fillId="0" borderId="1" xfId="0" quotePrefix="1" applyNumberFormat="1" applyFont="1" applyBorder="1" applyAlignment="1" applyProtection="1">
      <alignment horizontal="left" vertical="top"/>
      <protection hidden="1"/>
    </xf>
    <xf numFmtId="0" fontId="23" fillId="0" borderId="1" xfId="0" applyFont="1" applyBorder="1" applyAlignment="1" applyProtection="1">
      <alignment horizontal="center" vertical="top"/>
      <protection hidden="1"/>
    </xf>
    <xf numFmtId="49" fontId="3" fillId="0" borderId="0" xfId="0" quotePrefix="1" applyNumberFormat="1" applyFont="1" applyAlignment="1" applyProtection="1">
      <alignment horizontal="left" vertical="top"/>
      <protection hidden="1"/>
    </xf>
    <xf numFmtId="168" fontId="3" fillId="0" borderId="0" xfId="0" applyNumberFormat="1" applyFont="1" applyAlignment="1" applyProtection="1">
      <alignment vertical="top" wrapText="1"/>
      <protection hidden="1"/>
    </xf>
    <xf numFmtId="4" fontId="3" fillId="0" borderId="12" xfId="0" applyNumberFormat="1" applyFont="1" applyBorder="1" applyAlignment="1" applyProtection="1">
      <alignment vertical="top"/>
      <protection hidden="1"/>
    </xf>
    <xf numFmtId="0" fontId="0" fillId="0" borderId="0" xfId="0" applyAlignment="1" applyProtection="1">
      <alignment horizontal="right" vertical="top"/>
      <protection hidden="1"/>
    </xf>
    <xf numFmtId="49" fontId="6" fillId="0" borderId="0" xfId="0" applyNumberFormat="1" applyFont="1" applyAlignment="1" applyProtection="1">
      <alignment horizontal="left" vertical="top" wrapText="1" indent="1"/>
      <protection hidden="1"/>
    </xf>
    <xf numFmtId="4" fontId="23" fillId="0" borderId="12" xfId="0" applyNumberFormat="1" applyFont="1" applyBorder="1" applyAlignment="1" applyProtection="1">
      <alignment horizontal="right" vertical="top" wrapText="1"/>
      <protection hidden="1"/>
    </xf>
    <xf numFmtId="4" fontId="6" fillId="0" borderId="0" xfId="0" applyNumberFormat="1" applyFont="1" applyAlignment="1" applyProtection="1">
      <alignment horizontal="right" vertical="top" wrapText="1"/>
      <protection hidden="1"/>
    </xf>
    <xf numFmtId="4" fontId="28" fillId="0" borderId="12" xfId="0" applyNumberFormat="1" applyFont="1" applyBorder="1" applyAlignment="1" applyProtection="1">
      <alignment horizontal="center" vertical="top" wrapText="1"/>
      <protection hidden="1"/>
    </xf>
    <xf numFmtId="49" fontId="23" fillId="0" borderId="1" xfId="0" applyNumberFormat="1" applyFont="1" applyBorder="1" applyAlignment="1" applyProtection="1">
      <alignment horizontal="left" vertical="top"/>
      <protection hidden="1"/>
    </xf>
    <xf numFmtId="4" fontId="7" fillId="0" borderId="0" xfId="0" applyNumberFormat="1" applyFont="1" applyAlignment="1" applyProtection="1">
      <alignment wrapText="1"/>
      <protection hidden="1"/>
    </xf>
    <xf numFmtId="4" fontId="42" fillId="4" borderId="54" xfId="0" applyNumberFormat="1" applyFont="1" applyFill="1" applyBorder="1" applyProtection="1">
      <protection hidden="1"/>
    </xf>
    <xf numFmtId="0" fontId="23" fillId="0" borderId="0" xfId="0" applyFont="1" applyAlignment="1" applyProtection="1">
      <alignment vertical="top" wrapText="1"/>
      <protection hidden="1"/>
    </xf>
    <xf numFmtId="4" fontId="23" fillId="0" borderId="0" xfId="0" applyNumberFormat="1" applyFont="1" applyAlignment="1" applyProtection="1">
      <alignment wrapText="1"/>
      <protection hidden="1"/>
    </xf>
    <xf numFmtId="4" fontId="0" fillId="0" borderId="0" xfId="0" applyNumberFormat="1" applyProtection="1">
      <protection hidden="1"/>
    </xf>
    <xf numFmtId="4" fontId="24" fillId="0" borderId="12" xfId="0" applyNumberFormat="1" applyFont="1" applyBorder="1" applyAlignment="1" applyProtection="1">
      <alignment horizontal="right" vertical="top" wrapText="1"/>
      <protection hidden="1"/>
    </xf>
    <xf numFmtId="4" fontId="25" fillId="0" borderId="0" xfId="0" applyNumberFormat="1" applyFont="1" applyAlignment="1" applyProtection="1">
      <alignment horizontal="right" vertical="top" wrapText="1"/>
      <protection hidden="1"/>
    </xf>
    <xf numFmtId="49" fontId="19" fillId="0" borderId="1" xfId="0" applyNumberFormat="1" applyFont="1" applyBorder="1" applyAlignment="1" applyProtection="1">
      <alignment vertical="top"/>
      <protection hidden="1"/>
    </xf>
    <xf numFmtId="0" fontId="19" fillId="0" borderId="1" xfId="0" applyFont="1" applyBorder="1" applyAlignment="1" applyProtection="1">
      <alignment vertical="top"/>
      <protection hidden="1"/>
    </xf>
    <xf numFmtId="49" fontId="19" fillId="0" borderId="1" xfId="0" applyNumberFormat="1" applyFont="1" applyBorder="1" applyAlignment="1" applyProtection="1">
      <alignment horizontal="left" vertical="top"/>
      <protection hidden="1"/>
    </xf>
    <xf numFmtId="0" fontId="29" fillId="0" borderId="0" xfId="0" applyFont="1" applyAlignment="1" applyProtection="1">
      <alignment vertical="top" wrapText="1"/>
      <protection hidden="1"/>
    </xf>
    <xf numFmtId="4" fontId="29" fillId="0" borderId="0" xfId="0" applyNumberFormat="1" applyFont="1" applyAlignment="1" applyProtection="1">
      <alignment vertical="center" wrapText="1"/>
      <protection hidden="1"/>
    </xf>
    <xf numFmtId="0" fontId="30" fillId="0" borderId="1" xfId="0" applyFont="1" applyBorder="1" applyAlignment="1" applyProtection="1">
      <alignment horizontal="center" vertical="top"/>
      <protection hidden="1"/>
    </xf>
    <xf numFmtId="49" fontId="18" fillId="0" borderId="1" xfId="0" applyNumberFormat="1" applyFont="1" applyBorder="1" applyAlignment="1" applyProtection="1">
      <alignment horizontal="left" vertical="top"/>
      <protection hidden="1"/>
    </xf>
    <xf numFmtId="49" fontId="18" fillId="0" borderId="1" xfId="0" quotePrefix="1" applyNumberFormat="1" applyFont="1" applyBorder="1" applyAlignment="1" applyProtection="1">
      <alignment horizontal="left" vertical="top"/>
      <protection hidden="1"/>
    </xf>
    <xf numFmtId="0" fontId="18" fillId="0" borderId="0" xfId="0" applyFont="1" applyAlignment="1" applyProtection="1">
      <alignment vertical="top" wrapText="1"/>
      <protection hidden="1"/>
    </xf>
    <xf numFmtId="4" fontId="18" fillId="0" borderId="0" xfId="0" applyNumberFormat="1" applyFont="1" applyAlignment="1" applyProtection="1">
      <alignment wrapText="1"/>
      <protection hidden="1"/>
    </xf>
    <xf numFmtId="0" fontId="18" fillId="0" borderId="1" xfId="0" applyFont="1" applyBorder="1" applyAlignment="1" applyProtection="1">
      <alignment horizontal="center" vertical="top"/>
      <protection hidden="1"/>
    </xf>
    <xf numFmtId="4" fontId="18" fillId="0" borderId="12" xfId="0" applyNumberFormat="1" applyFont="1" applyBorder="1" applyAlignment="1" applyProtection="1">
      <alignment horizontal="right" vertical="top" wrapText="1"/>
      <protection hidden="1"/>
    </xf>
    <xf numFmtId="4" fontId="22" fillId="0" borderId="0" xfId="0" applyNumberFormat="1" applyFont="1" applyAlignment="1" applyProtection="1">
      <alignment wrapText="1"/>
      <protection hidden="1"/>
    </xf>
    <xf numFmtId="0" fontId="18" fillId="0" borderId="0" xfId="0" applyFont="1" applyAlignment="1" applyProtection="1">
      <alignment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4" fontId="18" fillId="0" borderId="0" xfId="0" applyNumberFormat="1" applyFont="1" applyAlignment="1" applyProtection="1">
      <alignment vertical="top" wrapText="1"/>
      <protection hidden="1"/>
    </xf>
    <xf numFmtId="49" fontId="2" fillId="0" borderId="1" xfId="0" applyNumberFormat="1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4" fontId="19" fillId="0" borderId="0" xfId="0" applyNumberFormat="1" applyFont="1" applyAlignment="1" applyProtection="1">
      <alignment vertical="center" wrapText="1"/>
      <protection hidden="1"/>
    </xf>
    <xf numFmtId="0" fontId="19" fillId="0" borderId="1" xfId="0" applyFont="1" applyBorder="1" applyAlignment="1" applyProtection="1">
      <alignment horizontal="center" vertical="top"/>
      <protection hidden="1"/>
    </xf>
    <xf numFmtId="2" fontId="0" fillId="0" borderId="0" xfId="0" applyNumberFormat="1" applyProtection="1">
      <protection hidden="1"/>
    </xf>
    <xf numFmtId="0" fontId="23" fillId="0" borderId="1" xfId="0" applyFont="1" applyBorder="1" applyAlignment="1" applyProtection="1">
      <alignment vertical="top" wrapText="1"/>
      <protection hidden="1"/>
    </xf>
    <xf numFmtId="49" fontId="24" fillId="0" borderId="1" xfId="0" applyNumberFormat="1" applyFont="1" applyBorder="1" applyAlignment="1" applyProtection="1">
      <alignment horizontal="left" vertical="top" wrapText="1"/>
      <protection hidden="1"/>
    </xf>
    <xf numFmtId="49" fontId="23" fillId="0" borderId="1" xfId="0" applyNumberFormat="1" applyFont="1" applyBorder="1" applyAlignment="1" applyProtection="1">
      <alignment horizontal="left" vertical="top" wrapText="1"/>
      <protection hidden="1"/>
    </xf>
    <xf numFmtId="4" fontId="7" fillId="0" borderId="0" xfId="0" applyNumberFormat="1" applyFont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vertical="top" wrapText="1"/>
      <protection hidden="1"/>
    </xf>
    <xf numFmtId="49" fontId="3" fillId="0" borderId="0" xfId="0" applyNumberFormat="1" applyFont="1" applyAlignment="1" applyProtection="1">
      <alignment horizontal="left" vertical="top" wrapText="1"/>
      <protection hidden="1"/>
    </xf>
    <xf numFmtId="49" fontId="24" fillId="0" borderId="0" xfId="0" applyNumberFormat="1" applyFont="1" applyAlignment="1" applyProtection="1">
      <alignment horizontal="left" vertical="top" wrapText="1"/>
      <protection hidden="1"/>
    </xf>
    <xf numFmtId="4" fontId="31" fillId="0" borderId="0" xfId="0" applyNumberFormat="1" applyFont="1" applyAlignment="1" applyProtection="1">
      <alignment horizontal="right" vertical="top" wrapText="1"/>
      <protection hidden="1"/>
    </xf>
    <xf numFmtId="4" fontId="6" fillId="0" borderId="0" xfId="0" applyNumberFormat="1" applyFont="1" applyProtection="1">
      <protection hidden="1"/>
    </xf>
    <xf numFmtId="0" fontId="2" fillId="0" borderId="2" xfId="0" applyFont="1" applyBorder="1" applyProtection="1">
      <protection hidden="1"/>
    </xf>
    <xf numFmtId="4" fontId="2" fillId="0" borderId="12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left" wrapText="1"/>
      <protection hidden="1"/>
    </xf>
    <xf numFmtId="0" fontId="18" fillId="0" borderId="1" xfId="0" applyFont="1" applyBorder="1" applyAlignment="1" applyProtection="1">
      <alignment horizontal="left" wrapText="1"/>
      <protection hidden="1"/>
    </xf>
    <xf numFmtId="0" fontId="32" fillId="0" borderId="0" xfId="0" applyFont="1" applyAlignment="1" applyProtection="1">
      <alignment horizontal="left" vertical="top" wrapText="1" indent="1"/>
      <protection hidden="1"/>
    </xf>
    <xf numFmtId="0" fontId="23" fillId="0" borderId="2" xfId="0" applyFont="1" applyBorder="1" applyProtection="1"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4" fontId="32" fillId="0" borderId="0" xfId="0" applyNumberFormat="1" applyFont="1" applyAlignment="1" applyProtection="1">
      <alignment horizontal="right" vertical="top" wrapText="1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top" wrapText="1" indent="1"/>
      <protection hidden="1"/>
    </xf>
    <xf numFmtId="4" fontId="23" fillId="0" borderId="12" xfId="0" applyNumberFormat="1" applyFont="1" applyBorder="1" applyProtection="1">
      <protection hidden="1"/>
    </xf>
    <xf numFmtId="0" fontId="18" fillId="0" borderId="2" xfId="0" applyFont="1" applyBorder="1" applyProtection="1">
      <protection hidden="1"/>
    </xf>
    <xf numFmtId="0" fontId="21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Border="1" applyAlignment="1" applyProtection="1">
      <alignment horizontal="left" vertical="top" wrapText="1"/>
      <protection hidden="1"/>
    </xf>
    <xf numFmtId="4" fontId="21" fillId="0" borderId="12" xfId="0" applyNumberFormat="1" applyFont="1" applyBorder="1" applyAlignment="1" applyProtection="1">
      <alignment vertical="top" wrapText="1"/>
      <protection hidden="1"/>
    </xf>
    <xf numFmtId="49" fontId="22" fillId="0" borderId="0" xfId="0" applyNumberFormat="1" applyFont="1" applyAlignment="1" applyProtection="1">
      <alignment horizontal="left" vertical="top" wrapText="1" indent="1"/>
      <protection hidden="1"/>
    </xf>
    <xf numFmtId="0" fontId="18" fillId="0" borderId="1" xfId="0" applyFont="1" applyBorder="1" applyAlignment="1" applyProtection="1">
      <alignment vertical="top" wrapText="1"/>
      <protection hidden="1"/>
    </xf>
    <xf numFmtId="49" fontId="21" fillId="0" borderId="1" xfId="0" applyNumberFormat="1" applyFont="1" applyBorder="1" applyAlignment="1" applyProtection="1">
      <alignment horizontal="left" vertical="top" wrapText="1"/>
      <protection hidden="1"/>
    </xf>
    <xf numFmtId="49" fontId="18" fillId="0" borderId="1" xfId="0" applyNumberFormat="1" applyFont="1" applyBorder="1" applyAlignment="1" applyProtection="1">
      <alignment horizontal="left" vertical="top" wrapText="1"/>
      <protection hidden="1"/>
    </xf>
    <xf numFmtId="4" fontId="6" fillId="0" borderId="0" xfId="0" applyNumberFormat="1" applyFont="1" applyAlignment="1" applyProtection="1">
      <alignment wrapText="1"/>
      <protection hidden="1"/>
    </xf>
    <xf numFmtId="4" fontId="33" fillId="0" borderId="12" xfId="0" applyNumberFormat="1" applyFont="1" applyBorder="1" applyAlignment="1" applyProtection="1">
      <alignment horizontal="right" vertical="top" wrapText="1"/>
      <protection hidden="1"/>
    </xf>
    <xf numFmtId="4" fontId="6" fillId="4" borderId="54" xfId="0" applyNumberFormat="1" applyFont="1" applyFill="1" applyBorder="1" applyAlignment="1" applyProtection="1">
      <alignment vertical="top" wrapText="1"/>
      <protection hidden="1"/>
    </xf>
    <xf numFmtId="4" fontId="33" fillId="0" borderId="0" xfId="0" applyNumberFormat="1" applyFont="1" applyProtection="1">
      <protection hidden="1"/>
    </xf>
    <xf numFmtId="2" fontId="34" fillId="0" borderId="0" xfId="0" applyNumberFormat="1" applyFont="1" applyProtection="1">
      <protection hidden="1"/>
    </xf>
    <xf numFmtId="4" fontId="6" fillId="4" borderId="54" xfId="0" applyNumberFormat="1" applyFont="1" applyFill="1" applyBorder="1" applyProtection="1">
      <protection hidden="1"/>
    </xf>
    <xf numFmtId="4" fontId="10" fillId="4" borderId="54" xfId="0" applyNumberFormat="1" applyFont="1" applyFill="1" applyBorder="1" applyAlignment="1" applyProtection="1">
      <alignment vertical="top" wrapText="1"/>
      <protection hidden="1"/>
    </xf>
    <xf numFmtId="4" fontId="25" fillId="0" borderId="12" xfId="0" applyNumberFormat="1" applyFont="1" applyBorder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right" vertical="top" wrapText="1" indent="1"/>
      <protection hidden="1"/>
    </xf>
    <xf numFmtId="4" fontId="10" fillId="0" borderId="0" xfId="0" applyNumberFormat="1" applyFont="1" applyAlignment="1" applyProtection="1">
      <alignment horizontal="right" vertical="top" wrapText="1"/>
      <protection hidden="1"/>
    </xf>
    <xf numFmtId="4" fontId="25" fillId="0" borderId="14" xfId="0" applyNumberFormat="1" applyFont="1" applyBorder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31" fillId="0" borderId="0" xfId="0" applyFont="1" applyAlignment="1" applyProtection="1">
      <alignment horizontal="left" vertical="top" wrapText="1" indent="1"/>
      <protection hidden="1"/>
    </xf>
    <xf numFmtId="0" fontId="35" fillId="0" borderId="0" xfId="0" applyFont="1" applyProtection="1">
      <protection hidden="1"/>
    </xf>
    <xf numFmtId="49" fontId="7" fillId="0" borderId="0" xfId="0" applyNumberFormat="1" applyFont="1" applyAlignment="1" applyProtection="1">
      <alignment horizontal="left" vertical="top" wrapText="1" indent="1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left" indent="1"/>
      <protection hidden="1"/>
    </xf>
    <xf numFmtId="4" fontId="36" fillId="0" borderId="12" xfId="0" applyNumberFormat="1" applyFont="1" applyBorder="1" applyAlignment="1" applyProtection="1">
      <alignment horizontal="right" vertical="top" wrapText="1"/>
      <protection hidden="1"/>
    </xf>
    <xf numFmtId="4" fontId="36" fillId="0" borderId="0" xfId="0" applyNumberFormat="1" applyFont="1" applyProtection="1">
      <protection hidden="1"/>
    </xf>
    <xf numFmtId="0" fontId="37" fillId="0" borderId="0" xfId="0" applyFont="1" applyAlignment="1" applyProtection="1">
      <alignment horizontal="right" vertical="top" wrapText="1" indent="1"/>
      <protection hidden="1"/>
    </xf>
    <xf numFmtId="49" fontId="38" fillId="0" borderId="0" xfId="0" applyNumberFormat="1" applyFont="1" applyAlignment="1" applyProtection="1">
      <alignment horizontal="center" vertical="center" wrapText="1"/>
      <protection hidden="1"/>
    </xf>
    <xf numFmtId="4" fontId="38" fillId="0" borderId="0" xfId="0" applyNumberFormat="1" applyFont="1" applyAlignment="1" applyProtection="1">
      <alignment horizontal="right" vertical="top" wrapText="1"/>
      <protection hidden="1"/>
    </xf>
    <xf numFmtId="49" fontId="25" fillId="0" borderId="0" xfId="0" applyNumberFormat="1" applyFont="1" applyAlignment="1" applyProtection="1">
      <alignment horizontal="left" vertical="top" wrapText="1" indent="1"/>
      <protection hidden="1"/>
    </xf>
    <xf numFmtId="4" fontId="6" fillId="0" borderId="14" xfId="0" applyNumberFormat="1" applyFont="1" applyBorder="1" applyAlignment="1" applyProtection="1">
      <alignment vertical="top" wrapText="1"/>
      <protection hidden="1"/>
    </xf>
    <xf numFmtId="0" fontId="23" fillId="0" borderId="2" xfId="0" applyFont="1" applyBorder="1" applyAlignment="1" applyProtection="1">
      <alignment vertical="top" wrapText="1"/>
      <protection hidden="1"/>
    </xf>
    <xf numFmtId="4" fontId="25" fillId="0" borderId="0" xfId="0" applyNumberFormat="1" applyFont="1" applyAlignment="1" applyProtection="1">
      <alignment vertical="top" wrapText="1"/>
      <protection hidden="1"/>
    </xf>
    <xf numFmtId="0" fontId="23" fillId="0" borderId="0" xfId="0" applyFont="1" applyAlignment="1" applyProtection="1">
      <alignment wrapText="1"/>
      <protection hidden="1"/>
    </xf>
    <xf numFmtId="0" fontId="31" fillId="0" borderId="0" xfId="0" applyFont="1" applyAlignment="1" applyProtection="1">
      <alignment vertical="top" wrapText="1"/>
      <protection hidden="1"/>
    </xf>
    <xf numFmtId="4" fontId="24" fillId="0" borderId="0" xfId="0" applyNumberFormat="1" applyFont="1" applyAlignment="1" applyProtection="1">
      <alignment wrapText="1"/>
      <protection hidden="1"/>
    </xf>
    <xf numFmtId="0" fontId="39" fillId="0" borderId="0" xfId="0" applyFont="1" applyProtection="1">
      <protection hidden="1"/>
    </xf>
    <xf numFmtId="4" fontId="10" fillId="0" borderId="0" xfId="0" applyNumberFormat="1" applyFont="1" applyAlignment="1" applyProtection="1">
      <alignment vertical="top" wrapText="1"/>
      <protection hidden="1"/>
    </xf>
    <xf numFmtId="0" fontId="40" fillId="0" borderId="0" xfId="0" applyFont="1" applyProtection="1"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49" fontId="11" fillId="0" borderId="1" xfId="0" quotePrefix="1" applyNumberFormat="1" applyFont="1" applyBorder="1" applyAlignment="1" applyProtection="1">
      <alignment horizontal="left" vertical="top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wrapText="1"/>
      <protection hidden="1"/>
    </xf>
    <xf numFmtId="3" fontId="2" fillId="0" borderId="12" xfId="0" applyNumberFormat="1" applyFont="1" applyBorder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right" indent="1"/>
      <protection hidden="1"/>
    </xf>
    <xf numFmtId="4" fontId="10" fillId="0" borderId="0" xfId="0" applyNumberFormat="1" applyFont="1" applyAlignment="1" applyProtection="1">
      <alignment horizontal="right" wrapText="1"/>
      <protection hidden="1"/>
    </xf>
    <xf numFmtId="49" fontId="41" fillId="0" borderId="1" xfId="0" quotePrefix="1" applyNumberFormat="1" applyFont="1" applyBorder="1" applyAlignment="1" applyProtection="1">
      <alignment horizontal="left" vertical="top"/>
      <protection hidden="1"/>
    </xf>
    <xf numFmtId="0" fontId="41" fillId="0" borderId="0" xfId="0" applyFont="1" applyAlignment="1" applyProtection="1">
      <alignment wrapText="1"/>
      <protection hidden="1"/>
    </xf>
    <xf numFmtId="3" fontId="23" fillId="0" borderId="12" xfId="0" applyNumberFormat="1" applyFont="1" applyBorder="1" applyAlignment="1" applyProtection="1">
      <alignment horizontal="right" vertical="top" wrapText="1"/>
      <protection hidden="1"/>
    </xf>
    <xf numFmtId="4" fontId="6" fillId="0" borderId="0" xfId="0" applyNumberFormat="1" applyFont="1" applyAlignment="1" applyProtection="1">
      <alignment horizontal="left" vertical="top" wrapText="1" indent="1"/>
      <protection hidden="1"/>
    </xf>
    <xf numFmtId="166" fontId="25" fillId="0" borderId="0" xfId="0" applyNumberFormat="1" applyFont="1" applyAlignment="1" applyProtection="1">
      <alignment horizontal="right" vertical="top" wrapText="1"/>
      <protection hidden="1"/>
    </xf>
    <xf numFmtId="4" fontId="3" fillId="4" borderId="54" xfId="0" applyNumberFormat="1" applyFont="1" applyFill="1" applyBorder="1" applyAlignment="1" applyProtection="1">
      <alignment vertical="top" wrapText="1"/>
      <protection locked="0" hidden="1"/>
    </xf>
    <xf numFmtId="167" fontId="16" fillId="0" borderId="51" xfId="8" applyNumberFormat="1" applyBorder="1" applyProtection="1">
      <protection hidden="1"/>
    </xf>
    <xf numFmtId="167" fontId="16" fillId="0" borderId="42" xfId="8" applyNumberFormat="1" applyBorder="1" applyProtection="1">
      <protection hidden="1"/>
    </xf>
    <xf numFmtId="167" fontId="16" fillId="0" borderId="45" xfId="8" applyNumberFormat="1" applyBorder="1" applyProtection="1">
      <protection hidden="1"/>
    </xf>
    <xf numFmtId="4" fontId="3" fillId="0" borderId="26" xfId="0" applyNumberFormat="1" applyFont="1" applyBorder="1" applyProtection="1"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4" fontId="10" fillId="0" borderId="0" xfId="0" applyNumberFormat="1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4" fontId="3" fillId="0" borderId="12" xfId="0" applyNumberFormat="1" applyFont="1" applyBorder="1" applyAlignment="1" applyProtection="1">
      <alignment vertical="top" wrapText="1"/>
      <protection hidden="1"/>
    </xf>
    <xf numFmtId="0" fontId="24" fillId="0" borderId="0" xfId="0" applyFont="1" applyAlignment="1" applyProtection="1">
      <alignment vertical="top" wrapText="1"/>
      <protection hidden="1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4" fontId="7" fillId="0" borderId="0" xfId="0" applyNumberFormat="1" applyFont="1" applyAlignment="1" applyProtection="1">
      <alignment vertical="top" wrapText="1"/>
      <protection hidden="1"/>
    </xf>
    <xf numFmtId="49" fontId="4" fillId="0" borderId="1" xfId="0" quotePrefix="1" applyNumberFormat="1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wrapText="1"/>
      <protection hidden="1"/>
    </xf>
    <xf numFmtId="0" fontId="5" fillId="0" borderId="2" xfId="0" applyFont="1" applyBorder="1" applyAlignment="1" applyProtection="1">
      <alignment horizontal="right" vertical="top"/>
      <protection hidden="1"/>
    </xf>
    <xf numFmtId="0" fontId="19" fillId="0" borderId="14" xfId="0" applyFont="1" applyBorder="1" applyAlignment="1" applyProtection="1">
      <alignment vertical="top" wrapText="1"/>
      <protection hidden="1"/>
    </xf>
    <xf numFmtId="4" fontId="46" fillId="0" borderId="14" xfId="0" applyNumberFormat="1" applyFont="1" applyBorder="1" applyAlignment="1" applyProtection="1">
      <alignment horizontal="right" vertical="top" wrapText="1"/>
      <protection hidden="1"/>
    </xf>
    <xf numFmtId="0" fontId="46" fillId="0" borderId="1" xfId="0" applyFont="1" applyBorder="1" applyAlignment="1" applyProtection="1">
      <alignment horizontal="right" vertical="top" wrapText="1"/>
      <protection hidden="1"/>
    </xf>
    <xf numFmtId="3" fontId="5" fillId="0" borderId="13" xfId="0" applyNumberFormat="1" applyFont="1" applyBorder="1" applyAlignment="1" applyProtection="1">
      <alignment horizontal="right" vertical="center"/>
      <protection hidden="1"/>
    </xf>
    <xf numFmtId="4" fontId="11" fillId="4" borderId="54" xfId="0" applyNumberFormat="1" applyFont="1" applyFill="1" applyBorder="1" applyAlignment="1" applyProtection="1">
      <alignment horizontal="right"/>
      <protection hidden="1"/>
    </xf>
    <xf numFmtId="0" fontId="11" fillId="0" borderId="54" xfId="0" applyFont="1" applyBorder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14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horizontal="left" vertical="top"/>
      <protection hidden="1"/>
    </xf>
    <xf numFmtId="49" fontId="46" fillId="0" borderId="1" xfId="0" applyNumberFormat="1" applyFont="1" applyBorder="1" applyProtection="1">
      <protection hidden="1"/>
    </xf>
    <xf numFmtId="0" fontId="46" fillId="0" borderId="0" xfId="0" applyFont="1" applyAlignment="1" applyProtection="1">
      <alignment horizontal="left" vertical="top" wrapText="1" indent="1"/>
      <protection hidden="1"/>
    </xf>
    <xf numFmtId="4" fontId="46" fillId="0" borderId="14" xfId="0" applyNumberFormat="1" applyFont="1" applyBorder="1" applyAlignment="1" applyProtection="1">
      <alignment horizontal="right" vertical="center"/>
      <protection hidden="1"/>
    </xf>
    <xf numFmtId="0" fontId="46" fillId="0" borderId="1" xfId="0" applyFont="1" applyBorder="1" applyAlignment="1" applyProtection="1">
      <alignment horizontal="right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top" wrapText="1"/>
      <protection hidden="1"/>
    </xf>
    <xf numFmtId="4" fontId="5" fillId="0" borderId="13" xfId="0" applyNumberFormat="1" applyFont="1" applyBorder="1" applyAlignment="1" applyProtection="1">
      <alignment horizontal="right" vertical="center" wrapText="1"/>
      <protection hidden="1"/>
    </xf>
    <xf numFmtId="4" fontId="5" fillId="4" borderId="54" xfId="0" applyNumberFormat="1" applyFont="1" applyFill="1" applyBorder="1" applyAlignment="1" applyProtection="1">
      <alignment horizontal="right" vertical="top" wrapText="1"/>
      <protection hidden="1"/>
    </xf>
    <xf numFmtId="4" fontId="5" fillId="0" borderId="54" xfId="0" applyNumberFormat="1" applyFont="1" applyBorder="1" applyAlignment="1" applyProtection="1">
      <alignment horizontal="right" vertical="center"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5" fillId="0" borderId="14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49" fontId="46" fillId="0" borderId="1" xfId="0" applyNumberFormat="1" applyFont="1" applyBorder="1" applyAlignment="1" applyProtection="1">
      <alignment horizontal="left" vertical="top" wrapText="1"/>
      <protection hidden="1"/>
    </xf>
    <xf numFmtId="4" fontId="46" fillId="0" borderId="14" xfId="0" applyNumberFormat="1" applyFont="1" applyBorder="1" applyAlignment="1" applyProtection="1">
      <alignment horizontal="right" vertical="center" wrapText="1"/>
      <protection hidden="1"/>
    </xf>
    <xf numFmtId="0" fontId="2" fillId="0" borderId="55" xfId="0" applyFont="1" applyBorder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top"/>
      <protection hidden="1"/>
    </xf>
    <xf numFmtId="0" fontId="2" fillId="4" borderId="54" xfId="0" applyFont="1" applyFill="1" applyBorder="1" applyProtection="1">
      <protection hidden="1"/>
    </xf>
    <xf numFmtId="2" fontId="2" fillId="0" borderId="54" xfId="0" applyNumberFormat="1" applyFont="1" applyBorder="1" applyProtection="1">
      <protection hidden="1"/>
    </xf>
    <xf numFmtId="49" fontId="5" fillId="0" borderId="2" xfId="0" applyNumberFormat="1" applyFont="1" applyBorder="1" applyAlignment="1" applyProtection="1">
      <alignment horizontal="center" vertical="top" wrapText="1"/>
      <protection hidden="1"/>
    </xf>
    <xf numFmtId="49" fontId="11" fillId="0" borderId="14" xfId="0" applyNumberFormat="1" applyFont="1" applyBorder="1" applyAlignment="1" applyProtection="1">
      <alignment vertical="top" wrapText="1"/>
      <protection hidden="1"/>
    </xf>
    <xf numFmtId="49" fontId="46" fillId="0" borderId="13" xfId="0" applyNumberFormat="1" applyFont="1" applyBorder="1" applyAlignment="1" applyProtection="1">
      <alignment vertical="top" wrapText="1"/>
      <protection hidden="1"/>
    </xf>
    <xf numFmtId="2" fontId="46" fillId="0" borderId="14" xfId="0" applyNumberFormat="1" applyFont="1" applyBorder="1" applyAlignment="1" applyProtection="1">
      <alignment wrapText="1"/>
      <protection hidden="1"/>
    </xf>
    <xf numFmtId="49" fontId="11" fillId="0" borderId="14" xfId="0" applyNumberFormat="1" applyFont="1" applyBorder="1" applyAlignment="1" applyProtection="1">
      <alignment horizontal="center" vertical="top" wrapText="1"/>
      <protection hidden="1"/>
    </xf>
    <xf numFmtId="3" fontId="11" fillId="0" borderId="56" xfId="0" applyNumberFormat="1" applyFont="1" applyBorder="1" applyAlignment="1" applyProtection="1">
      <alignment horizontal="right" vertical="top" wrapText="1"/>
      <protection hidden="1"/>
    </xf>
    <xf numFmtId="0" fontId="11" fillId="4" borderId="54" xfId="0" applyFont="1" applyFill="1" applyBorder="1" applyAlignment="1" applyProtection="1">
      <alignment vertical="top"/>
      <protection hidden="1"/>
    </xf>
    <xf numFmtId="2" fontId="11" fillId="0" borderId="54" xfId="0" applyNumberFormat="1" applyFont="1" applyBorder="1" applyAlignment="1" applyProtection="1">
      <alignment vertical="top"/>
      <protection hidden="1"/>
    </xf>
    <xf numFmtId="0" fontId="11" fillId="0" borderId="0" xfId="0" applyFont="1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left" wrapText="1"/>
      <protection hidden="1"/>
    </xf>
    <xf numFmtId="4" fontId="3" fillId="0" borderId="54" xfId="0" applyNumberFormat="1" applyFont="1" applyBorder="1" applyProtection="1">
      <protection hidden="1"/>
    </xf>
    <xf numFmtId="0" fontId="0" fillId="0" borderId="2" xfId="0" applyBorder="1" applyProtection="1">
      <protection hidden="1"/>
    </xf>
    <xf numFmtId="4" fontId="2" fillId="0" borderId="12" xfId="0" applyNumberFormat="1" applyFont="1" applyBorder="1" applyAlignment="1" applyProtection="1">
      <alignment vertical="top"/>
      <protection hidden="1"/>
    </xf>
    <xf numFmtId="49" fontId="11" fillId="0" borderId="1" xfId="0" applyNumberFormat="1" applyFont="1" applyBorder="1" applyAlignment="1" applyProtection="1">
      <alignment vertical="top" wrapText="1"/>
      <protection hidden="1"/>
    </xf>
    <xf numFmtId="2" fontId="46" fillId="0" borderId="14" xfId="0" applyNumberFormat="1" applyFont="1" applyBorder="1" applyAlignment="1" applyProtection="1">
      <alignment vertical="top" wrapText="1"/>
      <protection hidden="1"/>
    </xf>
    <xf numFmtId="4" fontId="11" fillId="0" borderId="56" xfId="0" applyNumberFormat="1" applyFont="1" applyBorder="1" applyAlignment="1" applyProtection="1">
      <alignment horizontal="right" vertical="top" wrapText="1"/>
      <protection hidden="1"/>
    </xf>
    <xf numFmtId="4" fontId="11" fillId="4" borderId="54" xfId="0" applyNumberFormat="1" applyFont="1" applyFill="1" applyBorder="1" applyAlignment="1" applyProtection="1">
      <alignment vertical="top"/>
      <protection hidden="1"/>
    </xf>
    <xf numFmtId="4" fontId="11" fillId="0" borderId="54" xfId="0" applyNumberFormat="1" applyFont="1" applyBorder="1" applyAlignment="1" applyProtection="1">
      <alignment vertical="top"/>
      <protection hidden="1"/>
    </xf>
    <xf numFmtId="0" fontId="2" fillId="0" borderId="14" xfId="0" applyFont="1" applyBorder="1" applyAlignment="1" applyProtection="1">
      <alignment wrapText="1"/>
      <protection hidden="1"/>
    </xf>
    <xf numFmtId="0" fontId="2" fillId="0" borderId="14" xfId="0" applyFont="1" applyBorder="1" applyAlignment="1" applyProtection="1">
      <alignment horizontal="center" vertical="top"/>
      <protection hidden="1"/>
    </xf>
    <xf numFmtId="0" fontId="47" fillId="0" borderId="2" xfId="0" applyFont="1" applyBorder="1" applyAlignment="1" applyProtection="1">
      <alignment vertical="top"/>
      <protection hidden="1"/>
    </xf>
    <xf numFmtId="49" fontId="2" fillId="0" borderId="14" xfId="0" quotePrefix="1" applyNumberFormat="1" applyFont="1" applyBorder="1" applyAlignment="1" applyProtection="1">
      <alignment horizontal="left" vertical="top"/>
      <protection hidden="1"/>
    </xf>
    <xf numFmtId="2" fontId="6" fillId="0" borderId="14" xfId="0" applyNumberFormat="1" applyFont="1" applyBorder="1" applyAlignment="1" applyProtection="1">
      <alignment vertical="top" wrapText="1"/>
      <protection hidden="1"/>
    </xf>
    <xf numFmtId="4" fontId="47" fillId="0" borderId="56" xfId="0" applyNumberFormat="1" applyFont="1" applyBorder="1" applyAlignment="1" applyProtection="1">
      <alignment vertical="top"/>
      <protection hidden="1"/>
    </xf>
    <xf numFmtId="4" fontId="45" fillId="4" borderId="54" xfId="0" applyNumberFormat="1" applyFont="1" applyFill="1" applyBorder="1" applyAlignment="1" applyProtection="1">
      <alignment vertical="top"/>
      <protection hidden="1"/>
    </xf>
    <xf numFmtId="4" fontId="47" fillId="0" borderId="54" xfId="0" applyNumberFormat="1" applyFont="1" applyBorder="1" applyAlignment="1" applyProtection="1">
      <alignment vertical="top"/>
      <protection hidden="1"/>
    </xf>
    <xf numFmtId="0" fontId="47" fillId="0" borderId="0" xfId="0" applyFont="1" applyAlignment="1" applyProtection="1">
      <alignment vertical="top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49" fontId="3" fillId="0" borderId="14" xfId="0" applyNumberFormat="1" applyFont="1" applyBorder="1" applyAlignment="1" applyProtection="1">
      <alignment horizontal="left" vertical="top"/>
      <protection hidden="1"/>
    </xf>
    <xf numFmtId="2" fontId="11" fillId="0" borderId="0" xfId="0" applyNumberFormat="1" applyFont="1" applyAlignment="1" applyProtection="1">
      <alignment wrapText="1"/>
      <protection hidden="1"/>
    </xf>
    <xf numFmtId="49" fontId="5" fillId="0" borderId="14" xfId="0" applyNumberFormat="1" applyFont="1" applyBorder="1" applyAlignment="1" applyProtection="1">
      <alignment vertical="top" wrapText="1"/>
      <protection hidden="1"/>
    </xf>
    <xf numFmtId="2" fontId="11" fillId="0" borderId="14" xfId="0" applyNumberFormat="1" applyFont="1" applyBorder="1" applyAlignment="1" applyProtection="1">
      <alignment wrapText="1"/>
      <protection hidden="1"/>
    </xf>
    <xf numFmtId="49" fontId="5" fillId="0" borderId="14" xfId="0" applyNumberFormat="1" applyFont="1" applyBorder="1" applyAlignment="1" applyProtection="1">
      <alignment horizontal="center" vertical="top" wrapText="1"/>
      <protection hidden="1"/>
    </xf>
    <xf numFmtId="4" fontId="5" fillId="0" borderId="56" xfId="0" applyNumberFormat="1" applyFont="1" applyBorder="1" applyAlignment="1" applyProtection="1">
      <alignment horizontal="right" vertical="top" wrapText="1"/>
      <protection hidden="1"/>
    </xf>
    <xf numFmtId="49" fontId="5" fillId="0" borderId="13" xfId="0" applyNumberFormat="1" applyFont="1" applyBorder="1" applyAlignment="1" applyProtection="1">
      <alignment vertical="top" wrapText="1"/>
      <protection hidden="1"/>
    </xf>
    <xf numFmtId="49" fontId="11" fillId="0" borderId="13" xfId="0" applyNumberFormat="1" applyFont="1" applyBorder="1" applyAlignment="1" applyProtection="1">
      <alignment vertical="top" wrapText="1"/>
      <protection hidden="1"/>
    </xf>
    <xf numFmtId="0" fontId="3" fillId="0" borderId="14" xfId="0" applyFont="1" applyBorder="1" applyAlignment="1" applyProtection="1">
      <alignment horizontal="left" vertical="top" wrapText="1"/>
      <protection hidden="1"/>
    </xf>
    <xf numFmtId="0" fontId="3" fillId="0" borderId="13" xfId="0" applyFont="1" applyBorder="1" applyAlignment="1" applyProtection="1">
      <alignment vertical="top" wrapText="1"/>
      <protection hidden="1"/>
    </xf>
    <xf numFmtId="0" fontId="3" fillId="0" borderId="14" xfId="0" applyFont="1" applyBorder="1" applyAlignment="1" applyProtection="1">
      <alignment vertical="top" wrapText="1"/>
      <protection hidden="1"/>
    </xf>
    <xf numFmtId="0" fontId="48" fillId="0" borderId="2" xfId="0" applyFont="1" applyBorder="1" applyAlignment="1" applyProtection="1">
      <alignment horizontal="center" vertical="top"/>
      <protection hidden="1"/>
    </xf>
    <xf numFmtId="49" fontId="2" fillId="0" borderId="14" xfId="0" applyNumberFormat="1" applyFont="1" applyBorder="1" applyAlignment="1" applyProtection="1">
      <alignment horizontal="left" vertical="top"/>
      <protection hidden="1"/>
    </xf>
    <xf numFmtId="0" fontId="2" fillId="0" borderId="13" xfId="0" applyFont="1" applyBorder="1" applyAlignment="1" applyProtection="1">
      <alignment vertical="top" wrapText="1"/>
      <protection hidden="1"/>
    </xf>
    <xf numFmtId="0" fontId="2" fillId="0" borderId="14" xfId="0" applyFont="1" applyBorder="1" applyAlignment="1" applyProtection="1">
      <alignment vertical="top" wrapText="1"/>
      <protection hidden="1"/>
    </xf>
    <xf numFmtId="2" fontId="46" fillId="0" borderId="0" xfId="0" applyNumberFormat="1" applyFont="1" applyAlignment="1" applyProtection="1">
      <alignment horizontal="right" vertical="top" wrapText="1"/>
      <protection hidden="1"/>
    </xf>
    <xf numFmtId="49" fontId="11" fillId="0" borderId="1" xfId="0" applyNumberFormat="1" applyFont="1" applyBorder="1" applyAlignment="1" applyProtection="1">
      <alignment horizontal="center" vertical="top" wrapText="1"/>
      <protection hidden="1"/>
    </xf>
    <xf numFmtId="2" fontId="3" fillId="0" borderId="0" xfId="0" applyNumberFormat="1" applyFont="1" applyAlignment="1" applyProtection="1">
      <alignment vertical="top" wrapText="1"/>
      <protection hidden="1"/>
    </xf>
    <xf numFmtId="0" fontId="2" fillId="0" borderId="14" xfId="0" applyFont="1" applyBorder="1" applyAlignment="1" applyProtection="1">
      <alignment horizontal="left" vertical="top" wrapText="1"/>
      <protection hidden="1"/>
    </xf>
    <xf numFmtId="2" fontId="2" fillId="0" borderId="14" xfId="0" applyNumberFormat="1" applyFont="1" applyBorder="1" applyAlignment="1" applyProtection="1">
      <alignment vertical="top" wrapText="1"/>
      <protection hidden="1"/>
    </xf>
    <xf numFmtId="49" fontId="46" fillId="0" borderId="0" xfId="0" applyNumberFormat="1" applyFont="1" applyAlignment="1" applyProtection="1">
      <alignment vertical="top" wrapText="1"/>
      <protection hidden="1"/>
    </xf>
    <xf numFmtId="49" fontId="11" fillId="0" borderId="59" xfId="0" applyNumberFormat="1" applyFont="1" applyBorder="1" applyAlignment="1" applyProtection="1">
      <alignment vertical="top" wrapText="1"/>
      <protection hidden="1"/>
    </xf>
    <xf numFmtId="49" fontId="11" fillId="0" borderId="60" xfId="0" applyNumberFormat="1" applyFont="1" applyBorder="1" applyAlignment="1" applyProtection="1">
      <alignment vertical="top" wrapText="1"/>
      <protection hidden="1"/>
    </xf>
    <xf numFmtId="49" fontId="11" fillId="0" borderId="59" xfId="0" applyNumberFormat="1" applyFont="1" applyBorder="1" applyAlignment="1" applyProtection="1">
      <alignment horizontal="center" vertical="top" wrapText="1"/>
      <protection hidden="1"/>
    </xf>
    <xf numFmtId="49" fontId="5" fillId="0" borderId="61" xfId="0" applyNumberFormat="1" applyFont="1" applyBorder="1" applyAlignment="1" applyProtection="1">
      <alignment horizontal="center" vertical="top" wrapText="1"/>
      <protection hidden="1"/>
    </xf>
    <xf numFmtId="49" fontId="11" fillId="0" borderId="62" xfId="0" applyNumberFormat="1" applyFont="1" applyBorder="1" applyAlignment="1" applyProtection="1">
      <alignment vertical="top" wrapText="1"/>
      <protection hidden="1"/>
    </xf>
    <xf numFmtId="2" fontId="46" fillId="0" borderId="59" xfId="0" applyNumberFormat="1" applyFont="1" applyBorder="1" applyAlignment="1" applyProtection="1">
      <alignment wrapText="1"/>
      <protection hidden="1"/>
    </xf>
    <xf numFmtId="49" fontId="11" fillId="0" borderId="60" xfId="0" applyNumberFormat="1" applyFont="1" applyBorder="1" applyAlignment="1" applyProtection="1">
      <alignment horizontal="center" vertical="top" wrapText="1"/>
      <protection hidden="1"/>
    </xf>
    <xf numFmtId="49" fontId="46" fillId="0" borderId="63" xfId="0" applyNumberFormat="1" applyFont="1" applyBorder="1" applyAlignment="1" applyProtection="1">
      <alignment vertical="top" wrapText="1"/>
      <protection hidden="1"/>
    </xf>
    <xf numFmtId="49" fontId="11" fillId="0" borderId="62" xfId="0" applyNumberFormat="1" applyFont="1" applyBorder="1" applyAlignment="1" applyProtection="1">
      <alignment horizontal="center" vertical="top" wrapText="1"/>
      <protection hidden="1"/>
    </xf>
    <xf numFmtId="2" fontId="3" fillId="0" borderId="14" xfId="0" applyNumberFormat="1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horizontal="center" vertical="top"/>
      <protection hidden="1"/>
    </xf>
    <xf numFmtId="2" fontId="2" fillId="0" borderId="14" xfId="0" applyNumberFormat="1" applyFont="1" applyBorder="1" applyAlignment="1" applyProtection="1">
      <alignment wrapText="1"/>
      <protection hidden="1"/>
    </xf>
    <xf numFmtId="49" fontId="5" fillId="0" borderId="62" xfId="0" applyNumberFormat="1" applyFont="1" applyBorder="1" applyAlignment="1" applyProtection="1">
      <alignment vertical="top" wrapText="1"/>
      <protection hidden="1"/>
    </xf>
    <xf numFmtId="49" fontId="5" fillId="0" borderId="0" xfId="0" applyNumberFormat="1" applyFont="1" applyAlignment="1" applyProtection="1">
      <alignment vertical="top" wrapText="1"/>
      <protection hidden="1"/>
    </xf>
    <xf numFmtId="49" fontId="5" fillId="0" borderId="59" xfId="0" applyNumberFormat="1" applyFont="1" applyBorder="1" applyAlignment="1" applyProtection="1">
      <alignment horizontal="center" vertical="top" wrapText="1"/>
      <protection hidden="1"/>
    </xf>
    <xf numFmtId="4" fontId="3" fillId="0" borderId="54" xfId="0" applyNumberFormat="1" applyFont="1" applyBorder="1" applyAlignment="1" applyProtection="1">
      <alignment vertical="top"/>
      <protection hidden="1"/>
    </xf>
    <xf numFmtId="49" fontId="11" fillId="0" borderId="0" xfId="0" applyNumberFormat="1" applyFont="1" applyAlignment="1" applyProtection="1">
      <alignment vertical="top" wrapText="1"/>
      <protection hidden="1"/>
    </xf>
    <xf numFmtId="0" fontId="3" fillId="0" borderId="2" xfId="0" applyFont="1" applyBorder="1" applyProtection="1">
      <protection hidden="1"/>
    </xf>
    <xf numFmtId="4" fontId="0" fillId="4" borderId="54" xfId="0" applyNumberFormat="1" applyFill="1" applyBorder="1" applyProtection="1">
      <protection hidden="1"/>
    </xf>
    <xf numFmtId="0" fontId="3" fillId="0" borderId="14" xfId="0" applyFont="1" applyBorder="1" applyAlignment="1" applyProtection="1">
      <alignment horizontal="left" wrapText="1"/>
      <protection hidden="1"/>
    </xf>
    <xf numFmtId="4" fontId="0" fillId="0" borderId="54" xfId="0" applyNumberFormat="1" applyBorder="1" applyProtection="1">
      <protection hidden="1"/>
    </xf>
    <xf numFmtId="4" fontId="44" fillId="0" borderId="12" xfId="0" applyNumberFormat="1" applyFont="1" applyBorder="1" applyAlignment="1" applyProtection="1">
      <alignment vertical="top"/>
      <protection hidden="1"/>
    </xf>
    <xf numFmtId="4" fontId="44" fillId="0" borderId="56" xfId="0" applyNumberFormat="1" applyFont="1" applyBorder="1" applyAlignment="1" applyProtection="1">
      <alignment vertical="top"/>
      <protection hidden="1"/>
    </xf>
    <xf numFmtId="4" fontId="11" fillId="4" borderId="54" xfId="0" applyNumberFormat="1" applyFont="1" applyFill="1" applyBorder="1" applyAlignment="1" applyProtection="1">
      <alignment horizontal="right" vertical="top"/>
      <protection hidden="1"/>
    </xf>
    <xf numFmtId="4" fontId="11" fillId="0" borderId="54" xfId="0" applyNumberFormat="1" applyFont="1" applyBorder="1" applyAlignment="1" applyProtection="1">
      <alignment horizontal="right" vertical="top"/>
      <protection hidden="1"/>
    </xf>
    <xf numFmtId="4" fontId="3" fillId="0" borderId="12" xfId="0" applyNumberFormat="1" applyFont="1" applyBorder="1" applyAlignment="1" applyProtection="1">
      <alignment vertical="center"/>
      <protection hidden="1"/>
    </xf>
    <xf numFmtId="4" fontId="3" fillId="0" borderId="54" xfId="0" applyNumberFormat="1" applyFont="1" applyBorder="1" applyAlignment="1" applyProtection="1">
      <alignment vertical="center"/>
      <protection hidden="1"/>
    </xf>
    <xf numFmtId="4" fontId="50" fillId="4" borderId="54" xfId="0" applyNumberFormat="1" applyFont="1" applyFill="1" applyBorder="1" applyAlignment="1" applyProtection="1">
      <alignment horizontal="right" vertical="center"/>
      <protection hidden="1"/>
    </xf>
    <xf numFmtId="4" fontId="2" fillId="0" borderId="54" xfId="0" applyNumberFormat="1" applyFont="1" applyBorder="1" applyAlignment="1" applyProtection="1">
      <alignment vertical="center"/>
      <protection hidden="1"/>
    </xf>
    <xf numFmtId="0" fontId="30" fillId="0" borderId="2" xfId="0" applyFont="1" applyBorder="1" applyProtection="1">
      <protection hidden="1"/>
    </xf>
    <xf numFmtId="49" fontId="19" fillId="0" borderId="14" xfId="0" applyNumberFormat="1" applyFont="1" applyBorder="1" applyAlignment="1" applyProtection="1">
      <alignment vertical="top"/>
      <protection hidden="1"/>
    </xf>
    <xf numFmtId="49" fontId="19" fillId="0" borderId="14" xfId="0" applyNumberFormat="1" applyFont="1" applyBorder="1" applyAlignment="1" applyProtection="1">
      <alignment horizontal="left" vertical="top"/>
      <protection hidden="1"/>
    </xf>
    <xf numFmtId="0" fontId="19" fillId="0" borderId="14" xfId="0" applyFont="1" applyBorder="1" applyAlignment="1" applyProtection="1">
      <alignment vertical="center" wrapText="1"/>
      <protection hidden="1"/>
    </xf>
    <xf numFmtId="0" fontId="30" fillId="0" borderId="14" xfId="0" applyFont="1" applyBorder="1" applyAlignment="1" applyProtection="1">
      <alignment horizontal="center" vertical="top"/>
      <protection hidden="1"/>
    </xf>
    <xf numFmtId="0" fontId="2" fillId="0" borderId="56" xfId="0" applyFont="1" applyBorder="1" applyAlignment="1" applyProtection="1">
      <alignment vertical="top"/>
      <protection hidden="1"/>
    </xf>
    <xf numFmtId="2" fontId="0" fillId="0" borderId="54" xfId="0" applyNumberFormat="1" applyBorder="1" applyProtection="1">
      <protection hidden="1"/>
    </xf>
    <xf numFmtId="0" fontId="30" fillId="0" borderId="0" xfId="0" applyFont="1" applyProtection="1">
      <protection hidden="1"/>
    </xf>
    <xf numFmtId="4" fontId="5" fillId="4" borderId="54" xfId="0" applyNumberFormat="1" applyFont="1" applyFill="1" applyBorder="1" applyAlignment="1" applyProtection="1">
      <alignment horizontal="right" vertical="top" wrapText="1"/>
      <protection locked="0" hidden="1"/>
    </xf>
    <xf numFmtId="4" fontId="3" fillId="4" borderId="54" xfId="0" applyNumberFormat="1" applyFont="1" applyFill="1" applyBorder="1" applyProtection="1">
      <protection locked="0" hidden="1"/>
    </xf>
    <xf numFmtId="4" fontId="5" fillId="4" borderId="54" xfId="0" applyNumberFormat="1" applyFont="1" applyFill="1" applyBorder="1" applyAlignment="1" applyProtection="1">
      <alignment vertical="top"/>
      <protection locked="0" hidden="1"/>
    </xf>
    <xf numFmtId="4" fontId="3" fillId="4" borderId="54" xfId="0" applyNumberFormat="1" applyFont="1" applyFill="1" applyBorder="1" applyAlignment="1" applyProtection="1">
      <alignment vertical="center"/>
      <protection locked="0" hidden="1"/>
    </xf>
    <xf numFmtId="0" fontId="2" fillId="0" borderId="54" xfId="0" applyFont="1" applyBorder="1" applyProtection="1">
      <protection hidden="1"/>
    </xf>
    <xf numFmtId="0" fontId="41" fillId="4" borderId="54" xfId="0" applyFont="1" applyFill="1" applyBorder="1" applyAlignment="1" applyProtection="1">
      <alignment vertical="top"/>
      <protection hidden="1"/>
    </xf>
    <xf numFmtId="0" fontId="51" fillId="4" borderId="54" xfId="0" applyFont="1" applyFill="1" applyBorder="1" applyAlignment="1" applyProtection="1">
      <alignment vertical="top"/>
      <protection hidden="1"/>
    </xf>
    <xf numFmtId="4" fontId="3" fillId="0" borderId="12" xfId="0" applyNumberFormat="1" applyFont="1" applyBorder="1" applyProtection="1">
      <protection hidden="1"/>
    </xf>
    <xf numFmtId="0" fontId="45" fillId="4" borderId="54" xfId="0" applyFont="1" applyFill="1" applyBorder="1" applyAlignment="1" applyProtection="1">
      <alignment vertical="top"/>
      <protection hidden="1"/>
    </xf>
    <xf numFmtId="0" fontId="0" fillId="4" borderId="54" xfId="0" applyFill="1" applyBorder="1" applyProtection="1">
      <protection hidden="1"/>
    </xf>
    <xf numFmtId="0" fontId="11" fillId="4" borderId="54" xfId="0" applyFont="1" applyFill="1" applyBorder="1" applyAlignment="1" applyProtection="1">
      <alignment horizontal="right" vertical="top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50" fillId="4" borderId="54" xfId="0" applyFont="1" applyFill="1" applyBorder="1" applyAlignment="1" applyProtection="1">
      <alignment horizontal="right" vertical="center"/>
      <protection hidden="1"/>
    </xf>
    <xf numFmtId="0" fontId="11" fillId="0" borderId="54" xfId="0" applyFont="1" applyBorder="1" applyAlignment="1" applyProtection="1">
      <alignment horizontal="right" vertical="top"/>
      <protection hidden="1"/>
    </xf>
    <xf numFmtId="4" fontId="2" fillId="0" borderId="56" xfId="0" applyNumberFormat="1" applyFont="1" applyBorder="1" applyAlignment="1" applyProtection="1">
      <alignment vertical="top"/>
      <protection hidden="1"/>
    </xf>
    <xf numFmtId="0" fontId="23" fillId="4" borderId="54" xfId="0" applyFont="1" applyFill="1" applyBorder="1" applyProtection="1">
      <protection hidden="1"/>
    </xf>
    <xf numFmtId="0" fontId="0" fillId="0" borderId="54" xfId="0" applyBorder="1" applyProtection="1"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46" fillId="0" borderId="1" xfId="0" applyFont="1" applyBorder="1" applyAlignment="1" applyProtection="1">
      <alignment horizontal="center" vertical="top" wrapText="1"/>
      <protection hidden="1"/>
    </xf>
    <xf numFmtId="1" fontId="5" fillId="0" borderId="13" xfId="0" applyNumberFormat="1" applyFont="1" applyBorder="1" applyAlignment="1" applyProtection="1">
      <alignment horizontal="right" vertical="top" wrapText="1"/>
      <protection hidden="1"/>
    </xf>
    <xf numFmtId="4" fontId="11" fillId="4" borderId="54" xfId="0" applyNumberFormat="1" applyFont="1" applyFill="1" applyBorder="1" applyAlignment="1" applyProtection="1">
      <alignment horizontal="right" vertical="top" wrapText="1"/>
      <protection hidden="1"/>
    </xf>
    <xf numFmtId="4" fontId="11" fillId="0" borderId="54" xfId="0" applyNumberFormat="1" applyFont="1" applyBorder="1" applyAlignment="1" applyProtection="1">
      <alignment horizontal="right" vertical="top" wrapText="1"/>
      <protection hidden="1"/>
    </xf>
    <xf numFmtId="0" fontId="46" fillId="0" borderId="0" xfId="0" applyFont="1" applyAlignment="1" applyProtection="1">
      <alignment horizontal="left" vertical="top" wrapText="1"/>
      <protection hidden="1"/>
    </xf>
    <xf numFmtId="49" fontId="5" fillId="0" borderId="13" xfId="0" applyNumberFormat="1" applyFont="1" applyBorder="1" applyAlignment="1" applyProtection="1">
      <alignment horizontal="left" vertical="center"/>
      <protection hidden="1"/>
    </xf>
    <xf numFmtId="4" fontId="21" fillId="0" borderId="13" xfId="0" applyNumberFormat="1" applyFont="1" applyBorder="1" applyAlignment="1" applyProtection="1">
      <alignment horizontal="right" vertical="top" wrapText="1"/>
      <protection hidden="1"/>
    </xf>
    <xf numFmtId="4" fontId="5" fillId="0" borderId="54" xfId="0" applyNumberFormat="1" applyFont="1" applyBorder="1" applyAlignment="1" applyProtection="1">
      <alignment horizontal="right" vertical="top" wrapText="1"/>
      <protection hidden="1"/>
    </xf>
    <xf numFmtId="49" fontId="46" fillId="0" borderId="2" xfId="0" applyNumberFormat="1" applyFont="1" applyBorder="1" applyAlignment="1" applyProtection="1">
      <alignment horizontal="center" vertical="top" wrapText="1"/>
      <protection hidden="1"/>
    </xf>
    <xf numFmtId="49" fontId="46" fillId="0" borderId="13" xfId="0" applyNumberFormat="1" applyFont="1" applyBorder="1" applyAlignment="1" applyProtection="1">
      <alignment horizontal="left" vertical="center"/>
      <protection hidden="1"/>
    </xf>
    <xf numFmtId="49" fontId="46" fillId="0" borderId="1" xfId="0" quotePrefix="1" applyNumberFormat="1" applyFont="1" applyBorder="1" applyAlignment="1" applyProtection="1">
      <alignment horizontal="left" vertical="center"/>
      <protection hidden="1"/>
    </xf>
    <xf numFmtId="49" fontId="46" fillId="0" borderId="1" xfId="0" applyNumberFormat="1" applyFont="1" applyBorder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left" vertical="center" wrapText="1"/>
      <protection hidden="1"/>
    </xf>
    <xf numFmtId="4" fontId="46" fillId="0" borderId="0" xfId="0" applyNumberFormat="1" applyFont="1" applyAlignment="1" applyProtection="1">
      <alignment horizontal="right" vertical="center" wrapText="1"/>
      <protection hidden="1"/>
    </xf>
    <xf numFmtId="0" fontId="46" fillId="0" borderId="1" xfId="0" applyFont="1" applyBorder="1" applyAlignment="1" applyProtection="1">
      <alignment horizontal="center" vertical="top"/>
      <protection hidden="1"/>
    </xf>
    <xf numFmtId="4" fontId="11" fillId="0" borderId="13" xfId="0" applyNumberFormat="1" applyFont="1" applyBorder="1" applyAlignment="1" applyProtection="1">
      <alignment horizontal="right" vertical="center" wrapText="1"/>
      <protection hidden="1"/>
    </xf>
    <xf numFmtId="4" fontId="52" fillId="4" borderId="54" xfId="0" applyNumberFormat="1" applyFont="1" applyFill="1" applyBorder="1" applyAlignment="1" applyProtection="1">
      <alignment horizontal="right" vertical="center" wrapText="1"/>
      <protection hidden="1"/>
    </xf>
    <xf numFmtId="4" fontId="46" fillId="0" borderId="54" xfId="0" applyNumberFormat="1" applyFont="1" applyBorder="1" applyAlignment="1" applyProtection="1">
      <alignment horizontal="right" vertical="center" wrapText="1"/>
      <protection hidden="1"/>
    </xf>
    <xf numFmtId="49" fontId="21" fillId="0" borderId="1" xfId="0" quotePrefix="1" applyNumberFormat="1" applyFont="1" applyBorder="1" applyAlignment="1" applyProtection="1">
      <alignment horizontal="center" vertical="top"/>
      <protection hidden="1"/>
    </xf>
    <xf numFmtId="49" fontId="21" fillId="0" borderId="1" xfId="0" applyNumberFormat="1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4" fontId="21" fillId="0" borderId="0" xfId="0" applyNumberFormat="1" applyFont="1" applyAlignment="1" applyProtection="1">
      <alignment horizontal="center" vertical="top" wrapText="1"/>
      <protection hidden="1"/>
    </xf>
    <xf numFmtId="4" fontId="5" fillId="4" borderId="5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4" fontId="5" fillId="0" borderId="0" xfId="0" applyNumberFormat="1" applyFont="1" applyAlignment="1" applyProtection="1">
      <alignment horizontal="left" vertical="center" wrapText="1"/>
      <protection hidden="1"/>
    </xf>
    <xf numFmtId="49" fontId="11" fillId="0" borderId="1" xfId="0" applyNumberFormat="1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3" fontId="11" fillId="0" borderId="1" xfId="0" applyNumberFormat="1" applyFont="1" applyBorder="1" applyAlignment="1" applyProtection="1">
      <alignment horizontal="center" vertical="top" wrapText="1"/>
      <protection hidden="1"/>
    </xf>
    <xf numFmtId="4" fontId="11" fillId="0" borderId="54" xfId="0" applyNumberFormat="1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4" fontId="11" fillId="0" borderId="0" xfId="0" applyNumberFormat="1" applyFont="1" applyAlignment="1" applyProtection="1">
      <alignment horizontal="left" vertical="center" wrapText="1"/>
      <protection hidden="1"/>
    </xf>
    <xf numFmtId="49" fontId="5" fillId="0" borderId="1" xfId="0" quotePrefix="1" applyNumberFormat="1" applyFont="1" applyBorder="1" applyAlignment="1" applyProtection="1">
      <alignment horizontal="left" vertical="center"/>
      <protection hidden="1"/>
    </xf>
    <xf numFmtId="49" fontId="5" fillId="0" borderId="1" xfId="0" applyNumberFormat="1" applyFont="1" applyBorder="1" applyAlignment="1" applyProtection="1">
      <alignment horizontal="left" vertical="center"/>
      <protection hidden="1"/>
    </xf>
    <xf numFmtId="4" fontId="5" fillId="0" borderId="0" xfId="0" applyNumberFormat="1" applyFont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4" fontId="5" fillId="0" borderId="13" xfId="0" applyNumberFormat="1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4" fontId="46" fillId="0" borderId="0" xfId="0" applyNumberFormat="1" applyFont="1" applyAlignment="1" applyProtection="1">
      <alignment horizontal="left" vertical="center" wrapText="1"/>
      <protection hidden="1"/>
    </xf>
    <xf numFmtId="49" fontId="5" fillId="0" borderId="13" xfId="0" applyNumberFormat="1" applyFont="1" applyBorder="1" applyAlignment="1" applyProtection="1">
      <alignment horizontal="left" vertical="center" wrapText="1"/>
      <protection hidden="1"/>
    </xf>
    <xf numFmtId="49" fontId="11" fillId="0" borderId="13" xfId="0" applyNumberFormat="1" applyFont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center" wrapText="1"/>
      <protection hidden="1"/>
    </xf>
    <xf numFmtId="4" fontId="52" fillId="0" borderId="14" xfId="0" applyNumberFormat="1" applyFont="1" applyBorder="1" applyAlignment="1" applyProtection="1">
      <alignment horizontal="right" vertical="center" wrapText="1"/>
      <protection hidden="1"/>
    </xf>
    <xf numFmtId="49" fontId="11" fillId="0" borderId="2" xfId="0" applyNumberFormat="1" applyFont="1" applyBorder="1" applyAlignment="1" applyProtection="1">
      <alignment horizontal="center" vertical="top" wrapText="1"/>
      <protection hidden="1"/>
    </xf>
    <xf numFmtId="49" fontId="11" fillId="0" borderId="1" xfId="0" quotePrefix="1" applyNumberFormat="1" applyFont="1" applyBorder="1" applyAlignment="1" applyProtection="1">
      <alignment horizontal="left" vertical="center"/>
      <protection hidden="1"/>
    </xf>
    <xf numFmtId="4" fontId="11" fillId="0" borderId="0" xfId="0" applyNumberFormat="1" applyFont="1" applyAlignment="1" applyProtection="1">
      <alignment horizontal="right" vertical="center" wrapText="1"/>
      <protection hidden="1"/>
    </xf>
    <xf numFmtId="4" fontId="11" fillId="0" borderId="13" xfId="0" applyNumberFormat="1" applyFont="1" applyBorder="1" applyAlignment="1" applyProtection="1">
      <alignment horizontal="right" vertical="top" wrapText="1"/>
      <protection hidden="1"/>
    </xf>
    <xf numFmtId="49" fontId="46" fillId="0" borderId="13" xfId="0" applyNumberFormat="1" applyFont="1" applyBorder="1" applyAlignment="1" applyProtection="1">
      <alignment horizontal="left" vertical="center" wrapText="1"/>
      <protection hidden="1"/>
    </xf>
    <xf numFmtId="49" fontId="46" fillId="0" borderId="1" xfId="0" applyNumberFormat="1" applyFont="1" applyBorder="1" applyAlignment="1" applyProtection="1">
      <alignment horizontal="left" vertical="center" wrapText="1"/>
      <protection hidden="1"/>
    </xf>
    <xf numFmtId="4" fontId="46" fillId="0" borderId="13" xfId="0" applyNumberFormat="1" applyFont="1" applyBorder="1" applyAlignment="1" applyProtection="1">
      <alignment horizontal="right" vertic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49" fontId="11" fillId="0" borderId="1" xfId="0" applyNumberFormat="1" applyFont="1" applyBorder="1" applyAlignment="1" applyProtection="1">
      <alignment horizontal="left" vertical="center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46" fillId="0" borderId="2" xfId="0" applyFont="1" applyBorder="1" applyAlignment="1" applyProtection="1">
      <alignment horizontal="center" vertical="top"/>
      <protection hidden="1"/>
    </xf>
    <xf numFmtId="0" fontId="46" fillId="0" borderId="1" xfId="0" applyFont="1" applyBorder="1" applyAlignment="1" applyProtection="1">
      <alignment horizontal="left" vertical="center"/>
      <protection hidden="1"/>
    </xf>
    <xf numFmtId="4" fontId="55" fillId="0" borderId="0" xfId="0" applyNumberFormat="1" applyFont="1" applyAlignment="1" applyProtection="1">
      <alignment horizontal="right" vertical="center" wrapText="1"/>
      <protection hidden="1"/>
    </xf>
    <xf numFmtId="0" fontId="11" fillId="0" borderId="1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top" wrapText="1"/>
      <protection hidden="1"/>
    </xf>
    <xf numFmtId="4" fontId="11" fillId="0" borderId="0" xfId="0" applyNumberFormat="1" applyFont="1" applyAlignment="1" applyProtection="1">
      <alignment horizontal="left" vertical="top" wrapText="1"/>
      <protection hidden="1"/>
    </xf>
    <xf numFmtId="49" fontId="5" fillId="0" borderId="1" xfId="0" applyNumberFormat="1" applyFont="1" applyBorder="1" applyAlignment="1" applyProtection="1">
      <alignment horizontal="left" vertical="top" wrapText="1"/>
      <protection hidden="1"/>
    </xf>
    <xf numFmtId="49" fontId="5" fillId="0" borderId="1" xfId="0" quotePrefix="1" applyNumberFormat="1" applyFont="1" applyBorder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top" wrapText="1"/>
      <protection hidden="1"/>
    </xf>
    <xf numFmtId="4" fontId="5" fillId="0" borderId="14" xfId="0" applyNumberFormat="1" applyFont="1" applyBorder="1" applyAlignment="1" applyProtection="1">
      <alignment horizontal="righ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49" fontId="11" fillId="0" borderId="1" xfId="0" applyNumberFormat="1" applyFont="1" applyBorder="1" applyAlignment="1" applyProtection="1">
      <alignment horizontal="left" vertical="top" wrapText="1"/>
      <protection hidden="1"/>
    </xf>
    <xf numFmtId="49" fontId="11" fillId="0" borderId="1" xfId="0" quotePrefix="1" applyNumberFormat="1" applyFont="1" applyBorder="1" applyAlignment="1" applyProtection="1">
      <alignment horizontal="left" vertical="top" wrapText="1"/>
      <protection hidden="1"/>
    </xf>
    <xf numFmtId="0" fontId="11" fillId="0" borderId="13" xfId="0" applyFont="1" applyBorder="1" applyAlignment="1" applyProtection="1">
      <alignment horizontal="left" vertical="top" wrapText="1"/>
      <protection hidden="1"/>
    </xf>
    <xf numFmtId="4" fontId="11" fillId="0" borderId="14" xfId="0" applyNumberFormat="1" applyFont="1" applyBorder="1" applyAlignment="1" applyProtection="1">
      <alignment horizontal="right" vertical="top" wrapText="1"/>
      <protection hidden="1"/>
    </xf>
    <xf numFmtId="0" fontId="46" fillId="0" borderId="2" xfId="0" applyFont="1" applyBorder="1" applyAlignment="1" applyProtection="1">
      <alignment horizontal="center" vertical="top" wrapText="1"/>
      <protection hidden="1"/>
    </xf>
    <xf numFmtId="49" fontId="52" fillId="0" borderId="1" xfId="0" applyNumberFormat="1" applyFont="1" applyBorder="1" applyAlignment="1" applyProtection="1">
      <alignment horizontal="left" vertical="top" wrapText="1"/>
      <protection hidden="1"/>
    </xf>
    <xf numFmtId="0" fontId="52" fillId="0" borderId="1" xfId="0" applyFont="1" applyBorder="1" applyAlignment="1" applyProtection="1">
      <alignment horizontal="left" vertical="top" wrapText="1"/>
      <protection hidden="1"/>
    </xf>
    <xf numFmtId="49" fontId="46" fillId="0" borderId="13" xfId="0" applyNumberFormat="1" applyFont="1" applyBorder="1" applyAlignment="1" applyProtection="1">
      <alignment horizontal="left" vertical="top" wrapText="1"/>
      <protection hidden="1"/>
    </xf>
    <xf numFmtId="0" fontId="52" fillId="0" borderId="1" xfId="0" applyFont="1" applyBorder="1" applyAlignment="1" applyProtection="1">
      <alignment horizontal="center" vertical="top" wrapText="1"/>
      <protection hidden="1"/>
    </xf>
    <xf numFmtId="4" fontId="46" fillId="0" borderId="13" xfId="0" applyNumberFormat="1" applyFont="1" applyBorder="1" applyAlignment="1" applyProtection="1">
      <alignment horizontal="right" vertical="top" wrapText="1"/>
      <protection hidden="1"/>
    </xf>
    <xf numFmtId="4" fontId="52" fillId="4" borderId="54" xfId="0" applyNumberFormat="1" applyFont="1" applyFill="1" applyBorder="1" applyAlignment="1" applyProtection="1">
      <alignment horizontal="right" vertical="top" wrapText="1"/>
      <protection hidden="1"/>
    </xf>
    <xf numFmtId="4" fontId="46" fillId="0" borderId="54" xfId="0" applyNumberFormat="1" applyFont="1" applyBorder="1" applyAlignment="1" applyProtection="1">
      <alignment horizontal="right" vertical="top" wrapText="1"/>
      <protection hidden="1"/>
    </xf>
    <xf numFmtId="4" fontId="46" fillId="0" borderId="0" xfId="0" applyNumberFormat="1" applyFont="1" applyAlignment="1" applyProtection="1">
      <alignment horizontal="left" vertical="top" wrapText="1"/>
      <protection hidden="1"/>
    </xf>
    <xf numFmtId="4" fontId="55" fillId="0" borderId="14" xfId="0" applyNumberFormat="1" applyFont="1" applyBorder="1" applyAlignment="1" applyProtection="1">
      <alignment horizontal="right" vertical="top" wrapText="1"/>
      <protection hidden="1"/>
    </xf>
    <xf numFmtId="4" fontId="5" fillId="0" borderId="13" xfId="0" applyNumberFormat="1" applyFont="1" applyBorder="1" applyAlignment="1" applyProtection="1">
      <alignment horizontal="right" wrapText="1"/>
      <protection hidden="1"/>
    </xf>
    <xf numFmtId="4" fontId="5" fillId="0" borderId="54" xfId="0" applyNumberFormat="1" applyFont="1" applyBorder="1" applyAlignment="1" applyProtection="1">
      <alignment horizontal="right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46" fillId="0" borderId="13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9" fontId="5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5" fillId="0" borderId="14" xfId="0" applyNumberFormat="1" applyFont="1" applyBorder="1" applyAlignment="1" applyProtection="1">
      <alignment horizontal="right" vertical="center" wrapText="1"/>
      <protection hidden="1"/>
    </xf>
    <xf numFmtId="4" fontId="5" fillId="4" borderId="54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vertical="top"/>
      <protection hidden="1"/>
    </xf>
    <xf numFmtId="4" fontId="5" fillId="4" borderId="54" xfId="0" applyNumberFormat="1" applyFont="1" applyFill="1" applyBorder="1" applyAlignment="1" applyProtection="1">
      <alignment horizontal="right" vertical="top"/>
      <protection hidden="1"/>
    </xf>
    <xf numFmtId="4" fontId="11" fillId="0" borderId="0" xfId="0" applyNumberFormat="1" applyFont="1" applyAlignment="1" applyProtection="1">
      <alignment vertical="top"/>
      <protection hidden="1"/>
    </xf>
    <xf numFmtId="49" fontId="46" fillId="0" borderId="1" xfId="0" quotePrefix="1" applyNumberFormat="1" applyFont="1" applyBorder="1" applyAlignment="1" applyProtection="1">
      <alignment horizontal="left" vertical="top" wrapText="1"/>
      <protection hidden="1"/>
    </xf>
    <xf numFmtId="4" fontId="52" fillId="4" borderId="54" xfId="0" applyNumberFormat="1" applyFont="1" applyFill="1" applyBorder="1" applyAlignment="1" applyProtection="1">
      <alignment horizontal="right" vertical="top"/>
      <protection hidden="1"/>
    </xf>
    <xf numFmtId="4" fontId="46" fillId="0" borderId="54" xfId="0" applyNumberFormat="1" applyFont="1" applyBorder="1" applyAlignment="1" applyProtection="1">
      <alignment horizontal="right" vertical="top"/>
      <protection hidden="1"/>
    </xf>
    <xf numFmtId="0" fontId="46" fillId="0" borderId="0" xfId="0" applyFont="1" applyAlignment="1" applyProtection="1">
      <alignment vertical="top"/>
      <protection hidden="1"/>
    </xf>
    <xf numFmtId="4" fontId="46" fillId="0" borderId="0" xfId="0" applyNumberFormat="1" applyFont="1" applyAlignment="1" applyProtection="1">
      <alignment vertical="top"/>
      <protection hidden="1"/>
    </xf>
    <xf numFmtId="0" fontId="46" fillId="0" borderId="1" xfId="0" applyFont="1" applyBorder="1" applyAlignment="1" applyProtection="1">
      <alignment horizontal="left" vertical="top" wrapText="1"/>
      <protection hidden="1"/>
    </xf>
    <xf numFmtId="49" fontId="1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hidden="1"/>
    </xf>
    <xf numFmtId="4" fontId="11" fillId="0" borderId="14" xfId="0" applyNumberFormat="1" applyFont="1" applyBorder="1" applyAlignment="1" applyProtection="1">
      <alignment horizontal="right" vertical="center" wrapText="1"/>
      <protection hidden="1"/>
    </xf>
    <xf numFmtId="0" fontId="46" fillId="0" borderId="13" xfId="0" applyFont="1" applyBorder="1" applyAlignment="1" applyProtection="1">
      <alignment horizontal="left" vertical="center" wrapText="1"/>
      <protection hidden="1"/>
    </xf>
    <xf numFmtId="164" fontId="5" fillId="0" borderId="1" xfId="0" applyNumberFormat="1" applyFont="1" applyBorder="1" applyAlignment="1" applyProtection="1">
      <alignment horizontal="left" vertical="center" wrapText="1"/>
      <protection hidden="1"/>
    </xf>
    <xf numFmtId="165" fontId="5" fillId="0" borderId="1" xfId="0" applyNumberFormat="1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164" fontId="11" fillId="0" borderId="1" xfId="0" applyNumberFormat="1" applyFont="1" applyBorder="1" applyAlignment="1" applyProtection="1">
      <alignment horizontal="left" vertical="center" wrapText="1"/>
      <protection hidden="1"/>
    </xf>
    <xf numFmtId="165" fontId="11" fillId="0" borderId="1" xfId="0" applyNumberFormat="1" applyFont="1" applyBorder="1" applyAlignment="1" applyProtection="1">
      <alignment horizontal="left" vertical="center" wrapText="1"/>
      <protection hidden="1"/>
    </xf>
    <xf numFmtId="4" fontId="55" fillId="0" borderId="14" xfId="0" applyNumberFormat="1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4" fontId="11" fillId="0" borderId="0" xfId="0" applyNumberFormat="1" applyFont="1" applyAlignment="1" applyProtection="1">
      <alignment horizontal="left" vertical="center"/>
      <protection hidden="1"/>
    </xf>
    <xf numFmtId="4" fontId="5" fillId="4" borderId="54" xfId="0" applyNumberFormat="1" applyFont="1" applyFill="1" applyBorder="1" applyAlignment="1" applyProtection="1">
      <alignment horizontal="right" vertical="center"/>
      <protection hidden="1"/>
    </xf>
    <xf numFmtId="4" fontId="11" fillId="0" borderId="54" xfId="0" applyNumberFormat="1" applyFont="1" applyBorder="1" applyAlignment="1" applyProtection="1">
      <alignment horizontal="right" vertical="center"/>
      <protection hidden="1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165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4" fontId="11" fillId="0" borderId="1" xfId="0" applyNumberFormat="1" applyFont="1" applyBorder="1" applyAlignment="1" applyProtection="1">
      <alignment horizontal="left" vertical="center"/>
      <protection hidden="1"/>
    </xf>
    <xf numFmtId="165" fontId="11" fillId="0" borderId="1" xfId="0" applyNumberFormat="1" applyFont="1" applyBorder="1" applyAlignment="1" applyProtection="1">
      <alignment horizontal="left" vertical="center"/>
      <protection hidden="1"/>
    </xf>
    <xf numFmtId="0" fontId="46" fillId="0" borderId="1" xfId="0" applyFont="1" applyBorder="1" applyAlignment="1" applyProtection="1">
      <alignment horizontal="left" vertical="center" wrapText="1"/>
      <protection hidden="1"/>
    </xf>
    <xf numFmtId="164" fontId="46" fillId="0" borderId="1" xfId="0" applyNumberFormat="1" applyFont="1" applyBorder="1" applyAlignment="1" applyProtection="1">
      <alignment horizontal="left" vertical="center"/>
      <protection hidden="1"/>
    </xf>
    <xf numFmtId="165" fontId="46" fillId="0" borderId="1" xfId="0" applyNumberFormat="1" applyFont="1" applyBorder="1" applyAlignment="1" applyProtection="1">
      <alignment horizontal="left" vertical="center"/>
      <protection hidden="1"/>
    </xf>
    <xf numFmtId="4" fontId="46" fillId="0" borderId="13" xfId="0" applyNumberFormat="1" applyFont="1" applyBorder="1" applyAlignment="1" applyProtection="1">
      <alignment horizontal="right" vertical="center"/>
      <protection hidden="1"/>
    </xf>
    <xf numFmtId="4" fontId="52" fillId="4" borderId="54" xfId="0" applyNumberFormat="1" applyFont="1" applyFill="1" applyBorder="1" applyAlignment="1" applyProtection="1">
      <alignment horizontal="right" vertical="center"/>
      <protection hidden="1"/>
    </xf>
    <xf numFmtId="4" fontId="46" fillId="0" borderId="54" xfId="0" applyNumberFormat="1" applyFont="1" applyBorder="1" applyAlignment="1" applyProtection="1">
      <alignment horizontal="right" vertical="center"/>
      <protection hidden="1"/>
    </xf>
    <xf numFmtId="0" fontId="46" fillId="0" borderId="0" xfId="0" applyFont="1" applyAlignment="1" applyProtection="1">
      <alignment horizontal="left" vertical="center"/>
      <protection hidden="1"/>
    </xf>
    <xf numFmtId="4" fontId="46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4" fontId="52" fillId="0" borderId="0" xfId="0" applyNumberFormat="1" applyFont="1" applyAlignment="1" applyProtection="1">
      <alignment horizontal="right" vertical="center" wrapText="1"/>
      <protection hidden="1"/>
    </xf>
    <xf numFmtId="4" fontId="11" fillId="0" borderId="13" xfId="0" applyNumberFormat="1" applyFont="1" applyBorder="1" applyAlignment="1" applyProtection="1">
      <alignment horizontal="right" vertical="top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11" fillId="0" borderId="13" xfId="0" applyNumberFormat="1" applyFont="1" applyBorder="1" applyAlignment="1" applyProtection="1">
      <alignment horizontal="right" vertical="center"/>
      <protection hidden="1"/>
    </xf>
    <xf numFmtId="49" fontId="5" fillId="0" borderId="2" xfId="0" applyNumberFormat="1" applyFont="1" applyBorder="1" applyAlignment="1" applyProtection="1">
      <alignment horizontal="left" vertical="top" wrapText="1"/>
      <protection hidden="1"/>
    </xf>
    <xf numFmtId="4" fontId="5" fillId="4" borderId="54" xfId="0" applyNumberFormat="1" applyFont="1" applyFill="1" applyBorder="1" applyAlignment="1" applyProtection="1">
      <alignment horizontal="right" wrapText="1"/>
      <protection locked="0" hidden="1"/>
    </xf>
    <xf numFmtId="4" fontId="5" fillId="4" borderId="54" xfId="0" applyNumberFormat="1" applyFont="1" applyFill="1" applyBorder="1" applyAlignment="1" applyProtection="1">
      <alignment horizontal="right"/>
      <protection locked="0" hidden="1"/>
    </xf>
    <xf numFmtId="4" fontId="5" fillId="4" borderId="54" xfId="0" applyNumberFormat="1" applyFont="1" applyFill="1" applyBorder="1" applyAlignment="1" applyProtection="1">
      <alignment horizontal="right" vertical="top"/>
      <protection locked="0" hidden="1"/>
    </xf>
    <xf numFmtId="0" fontId="46" fillId="0" borderId="1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46" fillId="0" borderId="1" xfId="0" applyFont="1" applyBorder="1" applyAlignment="1" applyProtection="1">
      <alignment horizontal="center" vertical="center"/>
      <protection hidden="1"/>
    </xf>
    <xf numFmtId="0" fontId="11" fillId="0" borderId="56" xfId="0" applyFont="1" applyBorder="1" applyAlignment="1" applyProtection="1">
      <alignment horizontal="right" vertical="center" wrapText="1"/>
      <protection hidden="1"/>
    </xf>
    <xf numFmtId="4" fontId="11" fillId="0" borderId="56" xfId="0" applyNumberFormat="1" applyFont="1" applyBorder="1" applyAlignment="1" applyProtection="1">
      <alignment horizontal="right" vertical="center" wrapText="1"/>
      <protection hidden="1"/>
    </xf>
    <xf numFmtId="0" fontId="52" fillId="0" borderId="0" xfId="0" applyFont="1" applyAlignment="1" applyProtection="1">
      <alignment horizontal="left" vertical="center" wrapText="1"/>
      <protection hidden="1"/>
    </xf>
    <xf numFmtId="4" fontId="46" fillId="0" borderId="56" xfId="0" applyNumberFormat="1" applyFont="1" applyBorder="1" applyAlignment="1" applyProtection="1">
      <alignment horizontal="right" vertical="center" wrapText="1"/>
      <protection hidden="1"/>
    </xf>
    <xf numFmtId="4" fontId="11" fillId="0" borderId="56" xfId="0" applyNumberFormat="1" applyFont="1" applyBorder="1" applyAlignment="1" applyProtection="1">
      <alignment horizontal="right" vertical="top"/>
      <protection hidden="1"/>
    </xf>
    <xf numFmtId="4" fontId="11" fillId="0" borderId="56" xfId="0" applyNumberFormat="1" applyFont="1" applyBorder="1" applyAlignment="1" applyProtection="1">
      <alignment horizontal="right" vertical="center"/>
      <protection hidden="1"/>
    </xf>
    <xf numFmtId="4" fontId="5" fillId="0" borderId="56" xfId="0" applyNumberFormat="1" applyFont="1" applyBorder="1" applyAlignment="1" applyProtection="1">
      <alignment horizontal="right" wrapText="1"/>
      <protection hidden="1"/>
    </xf>
    <xf numFmtId="4" fontId="11" fillId="0" borderId="56" xfId="0" applyNumberFormat="1" applyFont="1" applyBorder="1" applyAlignment="1" applyProtection="1">
      <alignment horizontal="right"/>
      <protection hidden="1"/>
    </xf>
    <xf numFmtId="4" fontId="46" fillId="0" borderId="56" xfId="0" applyNumberFormat="1" applyFont="1" applyBorder="1" applyAlignment="1" applyProtection="1">
      <alignment horizontal="right" vertical="top"/>
      <protection hidden="1"/>
    </xf>
    <xf numFmtId="49" fontId="46" fillId="0" borderId="1" xfId="0" applyNumberFormat="1" applyFont="1" applyBorder="1" applyAlignment="1" applyProtection="1">
      <alignment vertical="top" wrapText="1"/>
      <protection hidden="1"/>
    </xf>
    <xf numFmtId="164" fontId="46" fillId="0" borderId="0" xfId="0" applyNumberFormat="1" applyFont="1" applyAlignment="1" applyProtection="1">
      <alignment horizontal="left" vertical="top"/>
      <protection hidden="1"/>
    </xf>
    <xf numFmtId="165" fontId="46" fillId="0" borderId="1" xfId="0" applyNumberFormat="1" applyFont="1" applyBorder="1" applyAlignment="1" applyProtection="1">
      <alignment vertical="top"/>
      <protection hidden="1"/>
    </xf>
    <xf numFmtId="0" fontId="46" fillId="0" borderId="0" xfId="0" applyFont="1" applyAlignment="1" applyProtection="1">
      <alignment vertical="top" wrapText="1"/>
      <protection hidden="1"/>
    </xf>
    <xf numFmtId="0" fontId="46" fillId="0" borderId="0" xfId="0" applyFont="1" applyAlignment="1" applyProtection="1">
      <alignment horizontal="right" vertical="top" wrapText="1"/>
      <protection hidden="1"/>
    </xf>
    <xf numFmtId="0" fontId="46" fillId="0" borderId="14" xfId="0" applyFont="1" applyBorder="1" applyAlignment="1" applyProtection="1">
      <alignment horizontal="right" vertical="center" wrapText="1"/>
      <protection hidden="1"/>
    </xf>
    <xf numFmtId="0" fontId="55" fillId="0" borderId="14" xfId="0" applyFont="1" applyBorder="1" applyAlignment="1" applyProtection="1">
      <alignment horizontal="right" vertical="center" wrapText="1"/>
      <protection hidden="1"/>
    </xf>
    <xf numFmtId="0" fontId="5" fillId="4" borderId="54" xfId="0" applyFont="1" applyFill="1" applyBorder="1" applyAlignment="1" applyProtection="1">
      <alignment horizontal="right" vertical="top"/>
      <protection hidden="1"/>
    </xf>
    <xf numFmtId="3" fontId="5" fillId="0" borderId="13" xfId="0" applyNumberFormat="1" applyFont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164" fontId="5" fillId="0" borderId="0" xfId="0" applyNumberFormat="1" applyFont="1" applyAlignment="1" applyProtection="1">
      <alignment horizontal="left" vertical="center"/>
      <protection hidden="1"/>
    </xf>
    <xf numFmtId="165" fontId="5" fillId="0" borderId="1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164" fontId="11" fillId="0" borderId="0" xfId="0" applyNumberFormat="1" applyFont="1" applyAlignment="1" applyProtection="1">
      <alignment horizontal="left" vertical="top"/>
      <protection hidden="1"/>
    </xf>
    <xf numFmtId="165" fontId="11" fillId="0" borderId="1" xfId="0" applyNumberFormat="1" applyFont="1" applyBorder="1" applyAlignment="1" applyProtection="1">
      <alignment vertical="top"/>
      <protection hidden="1"/>
    </xf>
    <xf numFmtId="0" fontId="11" fillId="0" borderId="0" xfId="0" applyFont="1" applyAlignment="1" applyProtection="1">
      <alignment horizontal="right" vertical="top" wrapText="1"/>
      <protection hidden="1"/>
    </xf>
    <xf numFmtId="49" fontId="52" fillId="0" borderId="2" xfId="0" applyNumberFormat="1" applyFont="1" applyBorder="1" applyAlignment="1" applyProtection="1">
      <alignment horizontal="center" vertical="top" wrapText="1"/>
      <protection hidden="1"/>
    </xf>
    <xf numFmtId="0" fontId="46" fillId="0" borderId="1" xfId="0" applyFont="1" applyBorder="1" applyAlignment="1" applyProtection="1">
      <alignment vertical="top" wrapText="1"/>
      <protection hidden="1"/>
    </xf>
    <xf numFmtId="49" fontId="5" fillId="0" borderId="1" xfId="0" applyNumberFormat="1" applyFont="1" applyBorder="1" applyAlignment="1" applyProtection="1">
      <alignment vertical="center" wrapText="1"/>
      <protection hidden="1"/>
    </xf>
    <xf numFmtId="164" fontId="3" fillId="0" borderId="1" xfId="0" applyNumberFormat="1" applyFont="1" applyBorder="1" applyAlignment="1" applyProtection="1">
      <alignment horizontal="left" vertical="top"/>
      <protection hidden="1"/>
    </xf>
    <xf numFmtId="165" fontId="3" fillId="0" borderId="1" xfId="0" applyNumberFormat="1" applyFont="1" applyBorder="1" applyAlignment="1" applyProtection="1">
      <alignment horizontal="left" vertical="top"/>
      <protection hidden="1"/>
    </xf>
    <xf numFmtId="165" fontId="2" fillId="0" borderId="1" xfId="0" applyNumberFormat="1" applyFont="1" applyBorder="1" applyAlignment="1" applyProtection="1">
      <alignment horizontal="left" vertical="top"/>
      <protection hidden="1"/>
    </xf>
    <xf numFmtId="0" fontId="11" fillId="0" borderId="56" xfId="0" applyFont="1" applyBorder="1" applyAlignment="1" applyProtection="1">
      <alignment vertical="top"/>
      <protection hidden="1"/>
    </xf>
    <xf numFmtId="0" fontId="21" fillId="0" borderId="1" xfId="0" applyFont="1" applyBorder="1" applyAlignment="1" applyProtection="1">
      <alignment horizontal="right" vertical="top"/>
      <protection hidden="1"/>
    </xf>
    <xf numFmtId="4" fontId="5" fillId="0" borderId="13" xfId="0" applyNumberFormat="1" applyFont="1" applyBorder="1" applyAlignment="1" applyProtection="1">
      <alignment vertical="top" wrapText="1"/>
      <protection hidden="1"/>
    </xf>
    <xf numFmtId="4" fontId="5" fillId="0" borderId="56" xfId="0" applyNumberFormat="1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3" fontId="5" fillId="0" borderId="13" xfId="0" applyNumberFormat="1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horizontal="center"/>
      <protection hidden="1"/>
    </xf>
    <xf numFmtId="4" fontId="46" fillId="0" borderId="14" xfId="0" applyNumberFormat="1" applyFont="1" applyBorder="1" applyAlignment="1" applyProtection="1">
      <alignment horizontal="left" vertical="center"/>
      <protection hidden="1"/>
    </xf>
    <xf numFmtId="0" fontId="46" fillId="0" borderId="1" xfId="0" applyFont="1" applyBorder="1" applyAlignment="1" applyProtection="1">
      <alignment horizontal="right" vertical="top"/>
      <protection hidden="1"/>
    </xf>
    <xf numFmtId="0" fontId="11" fillId="0" borderId="56" xfId="0" applyFont="1" applyBorder="1" applyAlignment="1" applyProtection="1">
      <alignment vertical="top" wrapText="1"/>
      <protection hidden="1"/>
    </xf>
    <xf numFmtId="49" fontId="5" fillId="0" borderId="2" xfId="0" applyNumberFormat="1" applyFont="1" applyBorder="1" applyAlignment="1" applyProtection="1">
      <alignment horizontal="center" wrapText="1"/>
      <protection hidden="1"/>
    </xf>
    <xf numFmtId="4" fontId="5" fillId="0" borderId="14" xfId="0" applyNumberFormat="1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right" vertical="top" wrapText="1"/>
      <protection hidden="1"/>
    </xf>
    <xf numFmtId="4" fontId="11" fillId="0" borderId="56" xfId="0" applyNumberFormat="1" applyFont="1" applyBorder="1" applyAlignment="1" applyProtection="1">
      <alignment vertical="top" wrapText="1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4" fontId="11" fillId="0" borderId="14" xfId="0" applyNumberFormat="1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horizontal="right" vertical="top" wrapText="1"/>
      <protection hidden="1"/>
    </xf>
    <xf numFmtId="49" fontId="11" fillId="0" borderId="2" xfId="0" applyNumberFormat="1" applyFont="1" applyBorder="1" applyAlignment="1" applyProtection="1">
      <alignment horizontal="center" wrapText="1"/>
      <protection hidden="1"/>
    </xf>
    <xf numFmtId="4" fontId="11" fillId="0" borderId="56" xfId="0" applyNumberFormat="1" applyFont="1" applyBorder="1" applyAlignment="1" applyProtection="1">
      <alignment vertical="top"/>
      <protection hidden="1"/>
    </xf>
    <xf numFmtId="4" fontId="46" fillId="0" borderId="14" xfId="0" applyNumberFormat="1" applyFont="1" applyBorder="1" applyAlignment="1" applyProtection="1">
      <alignment horizontal="left" vertical="center" wrapText="1"/>
      <protection hidden="1"/>
    </xf>
    <xf numFmtId="49" fontId="46" fillId="0" borderId="2" xfId="0" applyNumberFormat="1" applyFont="1" applyBorder="1" applyAlignment="1" applyProtection="1">
      <alignment horizontal="center" wrapText="1"/>
      <protection hidden="1"/>
    </xf>
    <xf numFmtId="0" fontId="46" fillId="0" borderId="2" xfId="0" applyFont="1" applyBorder="1" applyAlignment="1" applyProtection="1">
      <alignment horizontal="center" wrapText="1"/>
      <protection hidden="1"/>
    </xf>
    <xf numFmtId="4" fontId="11" fillId="0" borderId="14" xfId="0" applyNumberFormat="1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164" fontId="5" fillId="0" borderId="0" xfId="0" applyNumberFormat="1" applyFont="1" applyAlignment="1" applyProtection="1">
      <alignment horizontal="left" vertical="top"/>
      <protection hidden="1"/>
    </xf>
    <xf numFmtId="165" fontId="5" fillId="0" borderId="1" xfId="0" applyNumberFormat="1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 wrapText="1"/>
      <protection hidden="1"/>
    </xf>
    <xf numFmtId="4" fontId="5" fillId="0" borderId="0" xfId="0" applyNumberFormat="1" applyFont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horizontal="right" vertical="top"/>
      <protection hidden="1"/>
    </xf>
    <xf numFmtId="4" fontId="11" fillId="0" borderId="0" xfId="0" applyNumberFormat="1" applyFont="1" applyAlignment="1" applyProtection="1">
      <alignment vertical="top" wrapText="1"/>
      <protection hidden="1"/>
    </xf>
    <xf numFmtId="0" fontId="11" fillId="0" borderId="1" xfId="0" applyFont="1" applyBorder="1" applyAlignment="1" applyProtection="1">
      <alignment horizontal="right" vertical="top"/>
      <protection hidden="1"/>
    </xf>
    <xf numFmtId="49" fontId="52" fillId="0" borderId="2" xfId="0" applyNumberFormat="1" applyFont="1" applyBorder="1" applyAlignment="1" applyProtection="1">
      <alignment horizontal="center" wrapText="1"/>
      <protection hidden="1"/>
    </xf>
    <xf numFmtId="4" fontId="46" fillId="0" borderId="0" xfId="0" applyNumberFormat="1" applyFont="1" applyAlignment="1" applyProtection="1">
      <alignment vertical="top" wrapText="1"/>
      <protection hidden="1"/>
    </xf>
    <xf numFmtId="49" fontId="5" fillId="0" borderId="1" xfId="0" applyNumberFormat="1" applyFont="1" applyBorder="1" applyAlignment="1" applyProtection="1">
      <alignment vertical="top" wrapText="1"/>
      <protection hidden="1"/>
    </xf>
    <xf numFmtId="4" fontId="11" fillId="4" borderId="54" xfId="0" applyNumberFormat="1" applyFont="1" applyFill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vertical="top"/>
      <protection hidden="1"/>
    </xf>
    <xf numFmtId="2" fontId="3" fillId="0" borderId="13" xfId="0" applyNumberFormat="1" applyFont="1" applyBorder="1" applyAlignment="1" applyProtection="1">
      <alignment vertical="top"/>
      <protection hidden="1"/>
    </xf>
    <xf numFmtId="0" fontId="2" fillId="0" borderId="2" xfId="0" applyFont="1" applyBorder="1" applyAlignment="1" applyProtection="1">
      <alignment vertical="top"/>
      <protection hidden="1"/>
    </xf>
    <xf numFmtId="2" fontId="2" fillId="0" borderId="13" xfId="0" applyNumberFormat="1" applyFont="1" applyBorder="1" applyAlignment="1" applyProtection="1">
      <alignment vertical="top"/>
      <protection hidden="1"/>
    </xf>
    <xf numFmtId="4" fontId="6" fillId="0" borderId="14" xfId="0" applyNumberFormat="1" applyFont="1" applyBorder="1" applyAlignment="1" applyProtection="1">
      <alignment wrapText="1"/>
      <protection hidden="1"/>
    </xf>
    <xf numFmtId="0" fontId="2" fillId="0" borderId="13" xfId="0" applyFont="1" applyBorder="1" applyAlignment="1" applyProtection="1">
      <alignment horizontal="center" vertical="top" wrapText="1"/>
      <protection hidden="1"/>
    </xf>
    <xf numFmtId="2" fontId="46" fillId="0" borderId="14" xfId="0" applyNumberFormat="1" applyFont="1" applyBorder="1" applyAlignment="1" applyProtection="1">
      <alignment horizontal="right" wrapText="1"/>
      <protection hidden="1"/>
    </xf>
    <xf numFmtId="0" fontId="23" fillId="0" borderId="55" xfId="0" applyFont="1" applyBorder="1" applyProtection="1">
      <protection hidden="1"/>
    </xf>
    <xf numFmtId="49" fontId="24" fillId="0" borderId="1" xfId="0" applyNumberFormat="1" applyFont="1" applyBorder="1" applyAlignment="1" applyProtection="1">
      <alignment vertical="top"/>
      <protection hidden="1"/>
    </xf>
    <xf numFmtId="0" fontId="24" fillId="0" borderId="1" xfId="0" applyFont="1" applyBorder="1" applyAlignment="1" applyProtection="1">
      <alignment vertical="top"/>
      <protection hidden="1"/>
    </xf>
    <xf numFmtId="0" fontId="23" fillId="0" borderId="13" xfId="0" applyFont="1" applyBorder="1" applyAlignment="1" applyProtection="1">
      <alignment vertical="top"/>
      <protection hidden="1"/>
    </xf>
    <xf numFmtId="49" fontId="6" fillId="0" borderId="57" xfId="0" applyNumberFormat="1" applyFont="1" applyBorder="1" applyAlignment="1" applyProtection="1">
      <alignment vertical="top" wrapText="1"/>
      <protection hidden="1"/>
    </xf>
    <xf numFmtId="2" fontId="6" fillId="0" borderId="58" xfId="0" applyNumberFormat="1" applyFont="1" applyBorder="1" applyAlignment="1" applyProtection="1">
      <alignment wrapText="1"/>
      <protection hidden="1"/>
    </xf>
    <xf numFmtId="2" fontId="46" fillId="0" borderId="14" xfId="0" applyNumberFormat="1" applyFont="1" applyBorder="1" applyAlignment="1" applyProtection="1">
      <alignment horizontal="right" vertical="top" wrapText="1"/>
      <protection hidden="1"/>
    </xf>
    <xf numFmtId="49" fontId="46" fillId="0" borderId="57" xfId="0" applyNumberFormat="1" applyFont="1" applyBorder="1" applyAlignment="1" applyProtection="1">
      <alignment vertical="top" wrapText="1"/>
      <protection hidden="1"/>
    </xf>
    <xf numFmtId="2" fontId="46" fillId="0" borderId="58" xfId="0" applyNumberFormat="1" applyFont="1" applyBorder="1" applyAlignment="1" applyProtection="1">
      <alignment vertical="top" wrapText="1"/>
      <protection hidden="1"/>
    </xf>
    <xf numFmtId="2" fontId="7" fillId="0" borderId="14" xfId="0" applyNumberFormat="1" applyFont="1" applyBorder="1" applyAlignment="1" applyProtection="1">
      <alignment vertical="top" wrapText="1"/>
      <protection hidden="1"/>
    </xf>
    <xf numFmtId="2" fontId="46" fillId="0" borderId="58" xfId="0" applyNumberFormat="1" applyFont="1" applyBorder="1" applyAlignment="1" applyProtection="1">
      <alignment wrapText="1"/>
      <protection hidden="1"/>
    </xf>
    <xf numFmtId="0" fontId="6" fillId="0" borderId="57" xfId="0" applyFont="1" applyBorder="1" applyAlignment="1" applyProtection="1">
      <alignment vertical="top" wrapText="1"/>
      <protection hidden="1"/>
    </xf>
    <xf numFmtId="0" fontId="6" fillId="0" borderId="13" xfId="0" applyFont="1" applyBorder="1" applyAlignment="1" applyProtection="1">
      <alignment vertical="top" wrapText="1"/>
      <protection hidden="1"/>
    </xf>
    <xf numFmtId="2" fontId="52" fillId="0" borderId="14" xfId="0" applyNumberFormat="1" applyFont="1" applyBorder="1" applyAlignment="1" applyProtection="1">
      <alignment vertical="top" wrapText="1"/>
      <protection hidden="1"/>
    </xf>
    <xf numFmtId="2" fontId="46" fillId="0" borderId="58" xfId="0" applyNumberFormat="1" applyFont="1" applyBorder="1" applyAlignment="1" applyProtection="1">
      <alignment horizontal="right" vertical="top" wrapText="1"/>
      <protection hidden="1"/>
    </xf>
    <xf numFmtId="2" fontId="52" fillId="0" borderId="14" xfId="0" applyNumberFormat="1" applyFont="1" applyBorder="1" applyAlignment="1" applyProtection="1">
      <alignment wrapText="1"/>
      <protection hidden="1"/>
    </xf>
    <xf numFmtId="0" fontId="2" fillId="0" borderId="14" xfId="0" applyFont="1" applyBorder="1" applyAlignment="1" applyProtection="1">
      <alignment horizontal="left" wrapText="1"/>
      <protection hidden="1"/>
    </xf>
    <xf numFmtId="0" fontId="3" fillId="0" borderId="2" xfId="0" applyFont="1" applyBorder="1" applyAlignment="1" applyProtection="1">
      <alignment vertical="top"/>
      <protection hidden="1"/>
    </xf>
    <xf numFmtId="4" fontId="44" fillId="4" borderId="54" xfId="0" applyNumberFormat="1" applyFont="1" applyFill="1" applyBorder="1" applyAlignment="1" applyProtection="1">
      <alignment vertical="top"/>
      <protection hidden="1"/>
    </xf>
    <xf numFmtId="49" fontId="3" fillId="0" borderId="14" xfId="0" quotePrefix="1" applyNumberFormat="1" applyFont="1" applyBorder="1" applyAlignment="1" applyProtection="1">
      <alignment horizontal="left" vertical="top"/>
      <protection hidden="1"/>
    </xf>
    <xf numFmtId="0" fontId="45" fillId="0" borderId="2" xfId="0" applyFont="1" applyBorder="1" applyAlignment="1" applyProtection="1">
      <alignment vertical="top"/>
      <protection hidden="1"/>
    </xf>
    <xf numFmtId="49" fontId="3" fillId="0" borderId="14" xfId="0" applyNumberFormat="1" applyFont="1" applyBorder="1" applyAlignment="1" applyProtection="1">
      <alignment vertical="top"/>
      <protection hidden="1"/>
    </xf>
    <xf numFmtId="0" fontId="3" fillId="0" borderId="14" xfId="0" applyFont="1" applyBorder="1" applyAlignment="1" applyProtection="1">
      <alignment vertical="top"/>
      <protection hidden="1"/>
    </xf>
    <xf numFmtId="0" fontId="10" fillId="0" borderId="14" xfId="0" applyFont="1" applyBorder="1" applyAlignment="1" applyProtection="1">
      <alignment vertical="top" wrapText="1"/>
      <protection hidden="1"/>
    </xf>
    <xf numFmtId="0" fontId="6" fillId="0" borderId="14" xfId="0" applyFont="1" applyBorder="1" applyAlignment="1" applyProtection="1">
      <alignment vertical="top" wrapText="1"/>
      <protection hidden="1"/>
    </xf>
    <xf numFmtId="49" fontId="5" fillId="0" borderId="55" xfId="0" applyNumberFormat="1" applyFont="1" applyBorder="1" applyAlignment="1" applyProtection="1">
      <alignment horizontal="center" vertical="top" wrapText="1"/>
      <protection hidden="1"/>
    </xf>
    <xf numFmtId="0" fontId="30" fillId="0" borderId="55" xfId="0" applyFont="1" applyBorder="1" applyProtection="1">
      <protection hidden="1"/>
    </xf>
    <xf numFmtId="0" fontId="3" fillId="0" borderId="13" xfId="0" applyFont="1" applyBorder="1" applyAlignment="1" applyProtection="1">
      <alignment vertical="top"/>
      <protection hidden="1"/>
    </xf>
    <xf numFmtId="2" fontId="49" fillId="0" borderId="14" xfId="0" applyNumberFormat="1" applyFont="1" applyBorder="1" applyAlignment="1" applyProtection="1">
      <alignment horizontal="right" vertical="top" wrapText="1"/>
      <protection hidden="1"/>
    </xf>
    <xf numFmtId="2" fontId="6" fillId="0" borderId="58" xfId="0" applyNumberFormat="1" applyFont="1" applyBorder="1" applyAlignment="1" applyProtection="1">
      <alignment vertical="top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2" fontId="6" fillId="0" borderId="59" xfId="0" applyNumberFormat="1" applyFont="1" applyBorder="1" applyAlignment="1" applyProtection="1">
      <alignment wrapText="1"/>
      <protection hidden="1"/>
    </xf>
    <xf numFmtId="0" fontId="2" fillId="0" borderId="57" xfId="0" applyFont="1" applyBorder="1" applyAlignment="1" applyProtection="1">
      <alignment vertical="top" wrapText="1"/>
      <protection hidden="1"/>
    </xf>
    <xf numFmtId="2" fontId="10" fillId="0" borderId="59" xfId="0" applyNumberFormat="1" applyFont="1" applyBorder="1" applyAlignment="1" applyProtection="1">
      <alignment wrapText="1"/>
      <protection hidden="1"/>
    </xf>
    <xf numFmtId="0" fontId="44" fillId="0" borderId="13" xfId="0" applyFont="1" applyBorder="1" applyAlignment="1" applyProtection="1">
      <alignment vertical="top"/>
      <protection hidden="1"/>
    </xf>
    <xf numFmtId="0" fontId="47" fillId="0" borderId="13" xfId="0" applyFont="1" applyBorder="1" applyAlignment="1" applyProtection="1">
      <alignment vertical="top"/>
      <protection hidden="1"/>
    </xf>
    <xf numFmtId="4" fontId="51" fillId="4" borderId="54" xfId="0" applyNumberFormat="1" applyFont="1" applyFill="1" applyBorder="1" applyAlignment="1" applyProtection="1">
      <alignment vertical="top"/>
      <protection hidden="1"/>
    </xf>
    <xf numFmtId="4" fontId="2" fillId="4" borderId="54" xfId="0" applyNumberFormat="1" applyFont="1" applyFill="1" applyBorder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2" fontId="44" fillId="0" borderId="13" xfId="0" applyNumberFormat="1" applyFont="1" applyBorder="1" applyAlignment="1" applyProtection="1">
      <alignment vertical="top"/>
      <protection hidden="1"/>
    </xf>
    <xf numFmtId="4" fontId="2" fillId="4" borderId="54" xfId="0" applyNumberFormat="1" applyFont="1" applyFill="1" applyBorder="1" applyAlignment="1" applyProtection="1">
      <alignment horizontal="right" vertical="top"/>
      <protection hidden="1"/>
    </xf>
    <xf numFmtId="4" fontId="3" fillId="4" borderId="54" xfId="0" applyNumberFormat="1" applyFont="1" applyFill="1" applyBorder="1" applyAlignment="1" applyProtection="1">
      <alignment vertical="top"/>
      <protection locked="0" hidden="1"/>
    </xf>
    <xf numFmtId="0" fontId="2" fillId="0" borderId="0" xfId="0" applyFont="1" applyAlignment="1" applyProtection="1">
      <alignment vertical="top"/>
      <protection hidden="1"/>
    </xf>
    <xf numFmtId="49" fontId="6" fillId="0" borderId="0" xfId="0" applyNumberFormat="1" applyFont="1" applyAlignment="1" applyProtection="1">
      <alignment vertical="top" wrapText="1"/>
      <protection hidden="1"/>
    </xf>
    <xf numFmtId="0" fontId="45" fillId="0" borderId="0" xfId="0" applyFont="1" applyAlignment="1" applyProtection="1">
      <alignment vertical="top"/>
      <protection hidden="1"/>
    </xf>
    <xf numFmtId="0" fontId="24" fillId="0" borderId="0" xfId="0" applyFont="1" applyAlignment="1" applyProtection="1">
      <alignment vertical="center" wrapText="1"/>
      <protection hidden="1"/>
    </xf>
    <xf numFmtId="2" fontId="6" fillId="0" borderId="0" xfId="0" applyNumberFormat="1" applyFont="1" applyAlignment="1" applyProtection="1">
      <alignment wrapText="1"/>
      <protection hidden="1"/>
    </xf>
    <xf numFmtId="0" fontId="25" fillId="0" borderId="0" xfId="0" applyFont="1" applyAlignment="1" applyProtection="1">
      <alignment wrapText="1"/>
      <protection hidden="1"/>
    </xf>
    <xf numFmtId="3" fontId="11" fillId="0" borderId="0" xfId="0" applyNumberFormat="1" applyFont="1" applyAlignment="1" applyProtection="1">
      <alignment horizontal="right" vertical="top" wrapText="1"/>
      <protection hidden="1"/>
    </xf>
    <xf numFmtId="2" fontId="2" fillId="0" borderId="0" xfId="0" applyNumberFormat="1" applyFont="1" applyAlignment="1" applyProtection="1">
      <alignment vertical="top"/>
      <protection hidden="1"/>
    </xf>
    <xf numFmtId="3" fontId="5" fillId="0" borderId="0" xfId="0" applyNumberFormat="1" applyFont="1" applyAlignment="1" applyProtection="1">
      <alignment horizontal="right" vertical="top" wrapText="1"/>
      <protection hidden="1"/>
    </xf>
    <xf numFmtId="2" fontId="52" fillId="0" borderId="0" xfId="0" applyNumberFormat="1" applyFont="1" applyAlignment="1" applyProtection="1">
      <alignment horizontal="right" vertical="top" wrapText="1"/>
      <protection hidden="1"/>
    </xf>
    <xf numFmtId="4" fontId="5" fillId="0" borderId="0" xfId="0" applyNumberFormat="1" applyFont="1" applyAlignment="1" applyProtection="1">
      <alignment horizontal="right" vertical="top" wrapText="1"/>
      <protection hidden="1"/>
    </xf>
    <xf numFmtId="4" fontId="11" fillId="0" borderId="0" xfId="0" applyNumberFormat="1" applyFont="1" applyAlignment="1" applyProtection="1">
      <alignment horizontal="right" vertical="top" wrapText="1"/>
      <protection hidden="1"/>
    </xf>
    <xf numFmtId="170" fontId="11" fillId="0" borderId="0" xfId="0" applyNumberFormat="1" applyFont="1" applyAlignment="1" applyProtection="1">
      <alignment horizontal="right" vertical="top" wrapText="1"/>
      <protection hidden="1"/>
    </xf>
    <xf numFmtId="0" fontId="44" fillId="0" borderId="0" xfId="0" applyFont="1" applyAlignment="1" applyProtection="1">
      <alignment vertical="top"/>
      <protection hidden="1"/>
    </xf>
    <xf numFmtId="2" fontId="46" fillId="0" borderId="0" xfId="0" applyNumberFormat="1" applyFont="1" applyAlignment="1" applyProtection="1">
      <alignment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2" fontId="49" fillId="0" borderId="0" xfId="0" applyNumberFormat="1" applyFont="1" applyAlignment="1" applyProtection="1">
      <alignment horizontal="right" vertical="top" wrapText="1"/>
      <protection hidden="1"/>
    </xf>
    <xf numFmtId="2" fontId="53" fillId="0" borderId="0" xfId="0" applyNumberFormat="1" applyFont="1" applyAlignment="1" applyProtection="1">
      <alignment horizontal="right" vertical="top" wrapText="1"/>
      <protection hidden="1"/>
    </xf>
    <xf numFmtId="2" fontId="54" fillId="0" borderId="0" xfId="0" applyNumberFormat="1" applyFont="1" applyAlignment="1" applyProtection="1">
      <alignment horizontal="right" vertical="top" wrapText="1"/>
      <protection hidden="1"/>
    </xf>
    <xf numFmtId="2" fontId="47" fillId="0" borderId="0" xfId="0" applyNumberFormat="1" applyFont="1" applyAlignment="1" applyProtection="1">
      <alignment vertical="top"/>
      <protection hidden="1"/>
    </xf>
    <xf numFmtId="2" fontId="10" fillId="0" borderId="0" xfId="0" applyNumberFormat="1" applyFont="1" applyAlignment="1" applyProtection="1">
      <alignment vertical="top" wrapText="1"/>
      <protection hidden="1"/>
    </xf>
    <xf numFmtId="49" fontId="2" fillId="0" borderId="0" xfId="0" applyNumberFormat="1" applyFont="1" applyAlignment="1" applyProtection="1">
      <alignment horizontal="left" vertical="top"/>
      <protection hidden="1"/>
    </xf>
    <xf numFmtId="3" fontId="2" fillId="0" borderId="0" xfId="0" applyNumberFormat="1" applyFont="1" applyAlignment="1" applyProtection="1">
      <alignment horizontal="right" vertical="top" wrapText="1"/>
      <protection hidden="1"/>
    </xf>
    <xf numFmtId="2" fontId="2" fillId="0" borderId="0" xfId="0" applyNumberFormat="1" applyFont="1" applyAlignment="1" applyProtection="1">
      <alignment vertical="top" wrapText="1"/>
      <protection hidden="1"/>
    </xf>
    <xf numFmtId="2" fontId="44" fillId="0" borderId="0" xfId="0" applyNumberFormat="1" applyFont="1" applyAlignment="1" applyProtection="1">
      <alignment vertical="top"/>
      <protection hidden="1"/>
    </xf>
    <xf numFmtId="4" fontId="10" fillId="0" borderId="0" xfId="11" applyNumberFormat="1" applyFont="1" applyAlignment="1" applyProtection="1">
      <alignment vertical="center" wrapText="1"/>
      <protection hidden="1"/>
    </xf>
    <xf numFmtId="4" fontId="3" fillId="4" borderId="12" xfId="0" applyNumberFormat="1" applyFont="1" applyFill="1" applyBorder="1" applyAlignment="1" applyProtection="1">
      <alignment horizontal="right" vertical="top" wrapText="1"/>
      <protection locked="0" hidden="1"/>
    </xf>
    <xf numFmtId="0" fontId="13" fillId="0" borderId="36" xfId="4" applyFont="1" applyBorder="1" applyAlignment="1" applyProtection="1">
      <alignment horizontal="center"/>
      <protection hidden="1"/>
    </xf>
    <xf numFmtId="0" fontId="13" fillId="0" borderId="37" xfId="4" applyFont="1" applyBorder="1" applyAlignment="1" applyProtection="1">
      <alignment horizontal="center"/>
      <protection hidden="1"/>
    </xf>
    <xf numFmtId="0" fontId="13" fillId="0" borderId="3" xfId="4" applyFont="1" applyBorder="1" applyAlignment="1" applyProtection="1">
      <alignment horizontal="center"/>
      <protection hidden="1"/>
    </xf>
    <xf numFmtId="0" fontId="13" fillId="0" borderId="17" xfId="4" applyFont="1" applyBorder="1" applyAlignment="1" applyProtection="1">
      <alignment horizontal="center"/>
      <protection hidden="1"/>
    </xf>
    <xf numFmtId="0" fontId="12" fillId="0" borderId="0" xfId="4" applyFont="1" applyAlignment="1" applyProtection="1">
      <alignment horizontal="center"/>
      <protection hidden="1"/>
    </xf>
    <xf numFmtId="0" fontId="13" fillId="2" borderId="27" xfId="4" applyFont="1" applyFill="1" applyBorder="1" applyAlignment="1" applyProtection="1">
      <alignment horizontal="center"/>
      <protection hidden="1"/>
    </xf>
    <xf numFmtId="0" fontId="13" fillId="2" borderId="10" xfId="4" applyFont="1" applyFill="1" applyBorder="1" applyAlignment="1" applyProtection="1">
      <alignment horizontal="center"/>
      <protection hidden="1"/>
    </xf>
    <xf numFmtId="0" fontId="13" fillId="2" borderId="28" xfId="4" applyFont="1" applyFill="1" applyBorder="1" applyAlignment="1" applyProtection="1">
      <alignment horizontal="center"/>
      <protection hidden="1"/>
    </xf>
    <xf numFmtId="0" fontId="13" fillId="2" borderId="30" xfId="4" applyFont="1" applyFill="1" applyBorder="1" applyAlignment="1" applyProtection="1">
      <alignment horizontal="center"/>
      <protection hidden="1"/>
    </xf>
    <xf numFmtId="0" fontId="13" fillId="2" borderId="3" xfId="4" applyFont="1" applyFill="1" applyBorder="1" applyAlignment="1" applyProtection="1">
      <alignment horizontal="center"/>
      <protection hidden="1"/>
    </xf>
    <xf numFmtId="0" fontId="13" fillId="2" borderId="17" xfId="4" applyFont="1" applyFill="1" applyBorder="1" applyAlignment="1" applyProtection="1">
      <alignment horizontal="center"/>
      <protection hidden="1"/>
    </xf>
    <xf numFmtId="4" fontId="14" fillId="3" borderId="29" xfId="5" applyNumberFormat="1" applyFont="1" applyFill="1" applyBorder="1" applyAlignment="1" applyProtection="1">
      <alignment horizontal="center" vertical="center" wrapText="1"/>
      <protection hidden="1"/>
    </xf>
    <xf numFmtId="4" fontId="14" fillId="3" borderId="31" xfId="5" applyNumberFormat="1" applyFont="1" applyFill="1" applyBorder="1" applyAlignment="1" applyProtection="1">
      <alignment horizontal="center" vertical="center" wrapText="1"/>
      <protection hidden="1"/>
    </xf>
    <xf numFmtId="4" fontId="14" fillId="3" borderId="10" xfId="5" quotePrefix="1" applyNumberFormat="1" applyFont="1" applyFill="1" applyBorder="1" applyAlignment="1" applyProtection="1">
      <alignment horizontal="center" vertical="center" wrapText="1"/>
      <protection hidden="1"/>
    </xf>
    <xf numFmtId="4" fontId="14" fillId="3" borderId="3" xfId="5" applyNumberFormat="1" applyFont="1" applyFill="1" applyBorder="1" applyAlignment="1" applyProtection="1">
      <alignment horizontal="center" vertical="center" wrapText="1"/>
      <protection hidden="1"/>
    </xf>
    <xf numFmtId="0" fontId="15" fillId="0" borderId="24" xfId="9" applyBorder="1" applyProtection="1">
      <protection hidden="1"/>
    </xf>
    <xf numFmtId="0" fontId="15" fillId="0" borderId="25" xfId="9" applyBorder="1" applyProtection="1">
      <protection hidden="1"/>
    </xf>
    <xf numFmtId="0" fontId="15" fillId="0" borderId="52" xfId="9" applyBorder="1" applyProtection="1">
      <protection hidden="1"/>
    </xf>
    <xf numFmtId="0" fontId="17" fillId="0" borderId="0" xfId="6" applyFont="1" applyAlignment="1" applyProtection="1">
      <alignment horizontal="center"/>
      <protection hidden="1"/>
    </xf>
    <xf numFmtId="4" fontId="2" fillId="0" borderId="33" xfId="0" applyNumberFormat="1" applyFont="1" applyBorder="1" applyAlignment="1" applyProtection="1">
      <alignment horizontal="center" vertical="center" wrapText="1"/>
      <protection hidden="1"/>
    </xf>
    <xf numFmtId="4" fontId="2" fillId="0" borderId="53" xfId="0" applyNumberFormat="1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4" xfId="0" quotePrefix="1" applyFont="1" applyBorder="1" applyAlignment="1" applyProtection="1">
      <alignment horizontal="center" vertical="center"/>
      <protection hidden="1"/>
    </xf>
    <xf numFmtId="0" fontId="2" fillId="0" borderId="21" xfId="0" quotePrefix="1" applyFont="1" applyBorder="1" applyAlignment="1" applyProtection="1">
      <alignment horizontal="center" vertical="center"/>
      <protection hidden="1"/>
    </xf>
    <xf numFmtId="4" fontId="2" fillId="0" borderId="22" xfId="0" applyNumberFormat="1" applyFont="1" applyBorder="1" applyAlignment="1" applyProtection="1">
      <alignment horizontal="center" vertical="center"/>
      <protection hidden="1"/>
    </xf>
    <xf numFmtId="4" fontId="2" fillId="0" borderId="23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4" fontId="2" fillId="0" borderId="22" xfId="0" applyNumberFormat="1" applyFont="1" applyBorder="1" applyAlignment="1" applyProtection="1">
      <alignment horizontal="center" vertical="center" wrapText="1"/>
      <protection hidden="1"/>
    </xf>
    <xf numFmtId="4" fontId="2" fillId="0" borderId="23" xfId="0" applyNumberFormat="1" applyFont="1" applyBorder="1" applyAlignment="1" applyProtection="1">
      <alignment horizontal="center" vertical="center" wrapText="1"/>
      <protection hidden="1"/>
    </xf>
    <xf numFmtId="4" fontId="2" fillId="0" borderId="66" xfId="0" applyNumberFormat="1" applyFont="1" applyBorder="1" applyAlignment="1" applyProtection="1">
      <alignment horizontal="center" vertical="center" wrapText="1"/>
      <protection hidden="1"/>
    </xf>
    <xf numFmtId="4" fontId="2" fillId="0" borderId="67" xfId="0" applyNumberFormat="1" applyFont="1" applyBorder="1" applyAlignment="1" applyProtection="1">
      <alignment horizontal="center" vertical="center" wrapText="1"/>
      <protection hidden="1"/>
    </xf>
    <xf numFmtId="4" fontId="2" fillId="0" borderId="64" xfId="0" applyNumberFormat="1" applyFont="1" applyBorder="1" applyAlignment="1" applyProtection="1">
      <alignment horizontal="center" vertical="center"/>
      <protection hidden="1"/>
    </xf>
    <xf numFmtId="4" fontId="2" fillId="0" borderId="65" xfId="0" applyNumberFormat="1" applyFont="1" applyBorder="1" applyAlignment="1" applyProtection="1">
      <alignment horizontal="center" vertical="center"/>
      <protection hidden="1"/>
    </xf>
  </cellXfs>
  <cellStyles count="12">
    <cellStyle name="Font_Ariel_Normal" xfId="8" xr:uid="{F93D9850-1C85-459D-8FAB-EFBBBF15427F}"/>
    <cellStyle name="Font_Ariel_Normal_Bold" xfId="9" xr:uid="{7F0CCA94-F3AB-41EB-9FCA-CB13530B6568}"/>
    <cellStyle name="Font_Ariel_Normal_Bold_BG_Gray" xfId="7" xr:uid="{986948B2-F3B3-454A-9EB7-032FCF863DF7}"/>
    <cellStyle name="Normal_035-00, 036-00, 037-00" xfId="1" xr:uid="{00000000-0005-0000-0000-000000000000}"/>
    <cellStyle name="Normálna" xfId="0" builtinId="0"/>
    <cellStyle name="Normálna 11 2" xfId="11" xr:uid="{9F0BA8C0-9354-47DC-9A1F-C0625AAE1ED4}"/>
    <cellStyle name="Normálna 2" xfId="6" xr:uid="{25D59ABA-F6DB-461B-808C-0E677E22E1BA}"/>
    <cellStyle name="Normálna 23" xfId="10" xr:uid="{FD861A44-1099-413C-A290-8F92D79891F8}"/>
    <cellStyle name="Normálna 3" xfId="5" xr:uid="{DBF1D797-E7F1-492F-BDC8-1D3DD7C86C74}"/>
    <cellStyle name="normálne 10" xfId="2" xr:uid="{00000000-0005-0000-0000-000002000000}"/>
    <cellStyle name="normálne_101_123" xfId="3" xr:uid="{00000000-0005-0000-0000-000003000000}"/>
    <cellStyle name="normální_vseobecne_pol_u2 " xfId="4" xr:uid="{5B239DA3-065B-4C34-9351-11C629CE97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623D-8715-4ED4-8E35-D4061EA85E38}">
  <dimension ref="A1:I6"/>
  <sheetViews>
    <sheetView showGridLines="0" tabSelected="1" zoomScaleNormal="100" workbookViewId="0">
      <selection activeCell="F5" sqref="F5"/>
    </sheetView>
  </sheetViews>
  <sheetFormatPr defaultRowHeight="12.75"/>
  <cols>
    <col min="1" max="1" width="10.85546875" style="78" customWidth="1"/>
    <col min="2" max="2" width="55.85546875" style="78" customWidth="1"/>
    <col min="3" max="3" width="5.42578125" style="78" customWidth="1"/>
    <col min="4" max="4" width="10" style="78" customWidth="1"/>
    <col min="5" max="5" width="9.28515625" style="78" customWidth="1"/>
    <col min="6" max="6" width="15.140625" style="78" customWidth="1"/>
    <col min="7" max="7" width="13" style="78" customWidth="1"/>
    <col min="8" max="8" width="15" style="78" customWidth="1"/>
    <col min="9" max="16384" width="9.140625" style="78"/>
  </cols>
  <sheetData>
    <row r="1" spans="1:9" ht="15">
      <c r="A1" s="811" t="s">
        <v>165</v>
      </c>
      <c r="B1" s="811"/>
      <c r="C1" s="811"/>
      <c r="D1" s="811"/>
      <c r="E1" s="811"/>
      <c r="F1" s="811"/>
      <c r="G1" s="811"/>
      <c r="H1" s="811"/>
      <c r="I1" s="69"/>
    </row>
    <row r="2" spans="1:9" ht="13.5" thickBot="1"/>
    <row r="3" spans="1:9" ht="18.75" customHeight="1">
      <c r="A3" s="812"/>
      <c r="B3" s="813"/>
      <c r="C3" s="813"/>
      <c r="D3" s="813"/>
      <c r="E3" s="814"/>
      <c r="F3" s="818" t="s">
        <v>166</v>
      </c>
      <c r="G3" s="820" t="s">
        <v>167</v>
      </c>
      <c r="H3" s="818" t="s">
        <v>168</v>
      </c>
    </row>
    <row r="4" spans="1:9" ht="18.75" customHeight="1" thickBot="1">
      <c r="A4" s="815"/>
      <c r="B4" s="816"/>
      <c r="C4" s="816"/>
      <c r="D4" s="816"/>
      <c r="E4" s="817"/>
      <c r="F4" s="819"/>
      <c r="G4" s="821"/>
      <c r="H4" s="819"/>
    </row>
    <row r="5" spans="1:9" ht="13.5" thickBot="1">
      <c r="A5" s="70">
        <v>45</v>
      </c>
      <c r="B5" s="71" t="s">
        <v>169</v>
      </c>
      <c r="C5" s="807"/>
      <c r="D5" s="807"/>
      <c r="E5" s="808"/>
      <c r="F5" s="72">
        <f>'Rekapitulácia objektov'!$E$14</f>
        <v>0</v>
      </c>
      <c r="G5" s="72">
        <f>F5*0.2</f>
        <v>0</v>
      </c>
      <c r="H5" s="73">
        <f>G5+F5</f>
        <v>0</v>
      </c>
    </row>
    <row r="6" spans="1:9" ht="14.25" thickTop="1" thickBot="1">
      <c r="A6" s="74"/>
      <c r="B6" s="75" t="s">
        <v>170</v>
      </c>
      <c r="C6" s="809"/>
      <c r="D6" s="809"/>
      <c r="E6" s="810"/>
      <c r="F6" s="76">
        <f>SUM(F5:F5)</f>
        <v>0</v>
      </c>
      <c r="G6" s="76">
        <f>SUM(G5:G5)</f>
        <v>0</v>
      </c>
      <c r="H6" s="77">
        <f>SUM(H5:H5)</f>
        <v>0</v>
      </c>
    </row>
  </sheetData>
  <sheetProtection algorithmName="SHA-512" hashValue="iKCkrpCq1D8Los16Lvi9lG8xh+zz6a7/ZKHAVnLeQZ9VLVrciN62LfcWYYpOA32we5bFcW4qP82ea5SN1OaWCw==" saltValue="uGvQLaZKmn3oXQgrwDz85A==" spinCount="100000" sheet="1" objects="1" scenarios="1"/>
  <mergeCells count="7">
    <mergeCell ref="C5:E5"/>
    <mergeCell ref="C6:E6"/>
    <mergeCell ref="A1:H1"/>
    <mergeCell ref="A3:E4"/>
    <mergeCell ref="F3:F4"/>
    <mergeCell ref="G3:G4"/>
    <mergeCell ref="H3:H4"/>
  </mergeCells>
  <printOptions horizontalCentered="1"/>
  <pageMargins left="0.39370078740157483" right="0.39370078740157483" top="0.98425196850393704" bottom="0.59055118110236227" header="0.59055118110236227" footer="0.27559055118110237"/>
  <pageSetup paperSize="9" scale="95" orientation="landscape" r:id="rId1"/>
  <headerFooter>
    <oddHeader>&amp;LNÁZOV STAVBY : ZVOLEN-KRUHOVÝ OBJAZD NA KRIŽOVATKE ULICE J. KOLLÁRA A CESTY &amp;RO. Výkaz výmer a rozpočet
Rekapitulácia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5A80-9CF3-41FE-B6A6-B97AF1F1DF0E}">
  <dimension ref="A1:N300"/>
  <sheetViews>
    <sheetView zoomScaleNormal="100" workbookViewId="0"/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8" width="10.140625" style="4" customWidth="1"/>
    <col min="9" max="9" width="11.42578125" style="4" customWidth="1"/>
    <col min="10" max="10" width="14.85546875" style="4" customWidth="1"/>
    <col min="11" max="16384" width="9.140625" style="7"/>
  </cols>
  <sheetData>
    <row r="1" spans="1:10">
      <c r="A1" s="1" t="s">
        <v>13</v>
      </c>
      <c r="B1" s="1"/>
      <c r="C1" s="2"/>
      <c r="D1" s="3"/>
      <c r="E1" s="54" t="s">
        <v>955</v>
      </c>
      <c r="G1" s="5"/>
      <c r="H1" s="55"/>
      <c r="I1" s="55"/>
      <c r="J1" s="55"/>
    </row>
    <row r="2" spans="1:10" ht="13.5" thickBot="1">
      <c r="A2" s="8" t="s">
        <v>14</v>
      </c>
      <c r="B2" s="1"/>
      <c r="C2" s="2"/>
      <c r="D2" s="3"/>
      <c r="E2" s="9">
        <v>2223</v>
      </c>
      <c r="G2" s="10"/>
      <c r="H2" s="56"/>
      <c r="I2" s="56"/>
      <c r="J2" s="56"/>
    </row>
    <row r="3" spans="1:10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44" t="s">
        <v>18</v>
      </c>
      <c r="I3" s="826" t="s">
        <v>163</v>
      </c>
      <c r="J3" s="840" t="s">
        <v>164</v>
      </c>
    </row>
    <row r="4" spans="1:10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45"/>
      <c r="I4" s="827"/>
      <c r="J4" s="841"/>
    </row>
    <row r="5" spans="1:10">
      <c r="A5" s="15"/>
      <c r="B5" s="16"/>
      <c r="C5" s="16"/>
      <c r="D5" s="17"/>
      <c r="E5" s="18"/>
      <c r="F5" s="19"/>
      <c r="G5" s="20"/>
      <c r="H5" s="191"/>
      <c r="I5" s="210"/>
      <c r="J5" s="61"/>
    </row>
    <row r="6" spans="1:10">
      <c r="A6" s="154"/>
      <c r="B6" s="23"/>
      <c r="C6" s="23"/>
      <c r="D6" s="24"/>
      <c r="E6" s="179"/>
      <c r="F6" s="180"/>
      <c r="G6" s="155"/>
      <c r="H6" s="192"/>
      <c r="I6" s="208"/>
      <c r="J6" s="266"/>
    </row>
    <row r="7" spans="1:10">
      <c r="A7" s="392"/>
      <c r="B7" s="393" t="s">
        <v>107</v>
      </c>
      <c r="C7" s="217"/>
      <c r="D7" s="218"/>
      <c r="E7" s="219" t="s">
        <v>108</v>
      </c>
      <c r="F7" s="394"/>
      <c r="G7" s="395"/>
      <c r="H7" s="396"/>
      <c r="I7" s="397"/>
      <c r="J7" s="398"/>
    </row>
    <row r="8" spans="1:10">
      <c r="A8" s="392"/>
      <c r="B8" s="400"/>
      <c r="C8" s="401"/>
      <c r="D8" s="402"/>
      <c r="E8" s="403"/>
      <c r="F8" s="404"/>
      <c r="G8" s="405"/>
      <c r="H8" s="396"/>
      <c r="I8" s="397"/>
      <c r="J8" s="398"/>
    </row>
    <row r="9" spans="1:10">
      <c r="A9" s="227">
        <f>MAX(A$1:A8)+1</f>
        <v>1</v>
      </c>
      <c r="B9" s="407"/>
      <c r="C9" s="239" t="s">
        <v>111</v>
      </c>
      <c r="D9" s="240"/>
      <c r="E9" s="241" t="s">
        <v>112</v>
      </c>
      <c r="F9" s="242"/>
      <c r="G9" s="243" t="s">
        <v>8</v>
      </c>
      <c r="H9" s="408">
        <v>831.63</v>
      </c>
      <c r="I9" s="507"/>
      <c r="J9" s="410">
        <f>H9*I9</f>
        <v>0</v>
      </c>
    </row>
    <row r="10" spans="1:10">
      <c r="A10" s="411"/>
      <c r="B10" s="412"/>
      <c r="C10" s="413"/>
      <c r="D10" s="414"/>
      <c r="E10" s="237" t="s">
        <v>118</v>
      </c>
      <c r="F10" s="415">
        <v>831.63</v>
      </c>
      <c r="G10" s="395"/>
      <c r="H10" s="396"/>
      <c r="I10" s="397"/>
      <c r="J10" s="398"/>
    </row>
    <row r="11" spans="1:10">
      <c r="A11" s="411"/>
      <c r="C11" s="413"/>
      <c r="D11" s="414"/>
      <c r="E11" s="237"/>
      <c r="F11" s="538"/>
      <c r="G11" s="395"/>
      <c r="H11" s="396"/>
      <c r="I11" s="397"/>
      <c r="J11" s="660"/>
    </row>
    <row r="12" spans="1:10">
      <c r="A12" s="154"/>
      <c r="B12" s="413"/>
      <c r="C12" s="23"/>
      <c r="D12" s="24"/>
      <c r="E12" s="179"/>
      <c r="F12" s="180"/>
      <c r="G12" s="155"/>
      <c r="H12" s="192"/>
      <c r="I12" s="208"/>
      <c r="J12" s="266"/>
    </row>
    <row r="13" spans="1:10">
      <c r="A13" s="416"/>
      <c r="B13" s="280" t="s">
        <v>763</v>
      </c>
      <c r="C13" s="280"/>
      <c r="D13" s="282"/>
      <c r="E13" s="251" t="s">
        <v>764</v>
      </c>
      <c r="F13" s="417"/>
      <c r="G13" s="30"/>
      <c r="H13" s="731"/>
      <c r="I13" s="222"/>
      <c r="J13" s="266"/>
    </row>
    <row r="14" spans="1:10">
      <c r="A14" s="312"/>
      <c r="B14" s="500"/>
      <c r="C14" s="280"/>
      <c r="D14" s="282"/>
      <c r="E14" s="251"/>
      <c r="F14" s="417"/>
      <c r="G14" s="30"/>
      <c r="H14" s="780"/>
      <c r="I14" s="222"/>
      <c r="J14" s="266"/>
    </row>
    <row r="15" spans="1:10">
      <c r="A15" s="25">
        <f>MAX(A$1:A13)+1</f>
        <v>2</v>
      </c>
      <c r="B15" s="457"/>
      <c r="C15" s="26" t="s">
        <v>765</v>
      </c>
      <c r="D15" s="27"/>
      <c r="E15" s="28" t="s">
        <v>766</v>
      </c>
      <c r="F15" s="361"/>
      <c r="G15" s="30" t="s">
        <v>767</v>
      </c>
      <c r="H15" s="732">
        <v>720</v>
      </c>
      <c r="I15" s="507"/>
      <c r="J15" s="266">
        <f>H15*I15</f>
        <v>0</v>
      </c>
    </row>
    <row r="16" spans="1:10" ht="25.5">
      <c r="A16" s="733"/>
      <c r="B16" s="457"/>
      <c r="C16" s="27"/>
      <c r="D16" s="33" t="s">
        <v>768</v>
      </c>
      <c r="E16" s="34" t="s">
        <v>769</v>
      </c>
      <c r="F16" s="31"/>
      <c r="G16" s="36" t="s">
        <v>767</v>
      </c>
      <c r="H16" s="734">
        <v>720</v>
      </c>
      <c r="I16" s="527"/>
      <c r="J16" s="266"/>
    </row>
    <row r="17" spans="1:10">
      <c r="A17" s="22"/>
      <c r="B17" s="23"/>
      <c r="C17" s="23"/>
      <c r="D17" s="24"/>
      <c r="E17" s="781" t="s">
        <v>770</v>
      </c>
      <c r="F17" s="735">
        <v>720</v>
      </c>
      <c r="G17" s="155"/>
      <c r="H17" s="782"/>
      <c r="I17" s="527"/>
      <c r="J17" s="266"/>
    </row>
    <row r="18" spans="1:10">
      <c r="A18" s="22"/>
      <c r="B18" s="23"/>
      <c r="C18" s="23"/>
      <c r="D18" s="24"/>
      <c r="E18" s="736"/>
      <c r="F18" s="31"/>
      <c r="G18" s="155"/>
      <c r="H18" s="782"/>
      <c r="I18" s="527"/>
      <c r="J18" s="266"/>
    </row>
    <row r="19" spans="1:10" ht="25.5">
      <c r="A19" s="25">
        <f>MAX(A$1:A18)+1</f>
        <v>3</v>
      </c>
      <c r="B19" s="457"/>
      <c r="C19" s="26" t="s">
        <v>771</v>
      </c>
      <c r="D19" s="27"/>
      <c r="E19" s="28" t="s">
        <v>772</v>
      </c>
      <c r="F19" s="361"/>
      <c r="G19" s="30" t="s">
        <v>7</v>
      </c>
      <c r="H19" s="732">
        <v>10</v>
      </c>
      <c r="I19" s="507"/>
      <c r="J19" s="266">
        <f>H19*I19</f>
        <v>0</v>
      </c>
    </row>
    <row r="20" spans="1:10" ht="25.5">
      <c r="A20" s="733"/>
      <c r="B20" s="457"/>
      <c r="C20" s="27"/>
      <c r="D20" s="33" t="s">
        <v>773</v>
      </c>
      <c r="E20" s="34" t="s">
        <v>774</v>
      </c>
      <c r="F20" s="31"/>
      <c r="G20" s="36" t="s">
        <v>7</v>
      </c>
      <c r="H20" s="734">
        <v>10</v>
      </c>
      <c r="I20" s="527"/>
      <c r="J20" s="266"/>
    </row>
    <row r="21" spans="1:10">
      <c r="A21" s="421"/>
      <c r="B21" s="451"/>
      <c r="C21" s="434"/>
      <c r="D21" s="422"/>
      <c r="E21" s="483"/>
      <c r="F21" s="737">
        <v>10</v>
      </c>
      <c r="G21" s="425"/>
      <c r="H21" s="782"/>
      <c r="I21" s="527"/>
      <c r="J21" s="266"/>
    </row>
    <row r="22" spans="1:10">
      <c r="A22" s="738"/>
      <c r="B22" s="739"/>
      <c r="C22" s="740"/>
      <c r="D22" s="259"/>
      <c r="E22" s="385"/>
      <c r="F22" s="783"/>
      <c r="G22" s="261"/>
      <c r="H22" s="741"/>
      <c r="I22" s="222"/>
      <c r="J22" s="266"/>
    </row>
    <row r="23" spans="1:10">
      <c r="A23" s="25">
        <f>MAX(A$1:A22)+1</f>
        <v>4</v>
      </c>
      <c r="B23" s="314"/>
      <c r="C23" s="26" t="s">
        <v>775</v>
      </c>
      <c r="D23" s="39"/>
      <c r="E23" s="28" t="s">
        <v>776</v>
      </c>
      <c r="F23" s="29"/>
      <c r="G23" s="30" t="s">
        <v>8</v>
      </c>
      <c r="H23" s="732">
        <v>15.44</v>
      </c>
      <c r="I23" s="507"/>
      <c r="J23" s="266">
        <f>H23*I23</f>
        <v>0</v>
      </c>
    </row>
    <row r="24" spans="1:10" ht="25.5">
      <c r="A24" s="312"/>
      <c r="B24" s="314"/>
      <c r="C24" s="27"/>
      <c r="D24" s="33" t="s">
        <v>777</v>
      </c>
      <c r="E24" s="34" t="s">
        <v>778</v>
      </c>
      <c r="F24" s="35"/>
      <c r="G24" s="36" t="s">
        <v>8</v>
      </c>
      <c r="H24" s="734">
        <v>15.44</v>
      </c>
      <c r="I24" s="527"/>
      <c r="J24" s="266"/>
    </row>
    <row r="25" spans="1:10">
      <c r="A25" s="312"/>
      <c r="B25" s="314"/>
      <c r="C25" s="27"/>
      <c r="D25" s="33"/>
      <c r="E25" s="34" t="s">
        <v>779</v>
      </c>
      <c r="F25" s="35"/>
      <c r="G25" s="36"/>
      <c r="H25" s="734"/>
      <c r="I25" s="222"/>
      <c r="J25" s="266"/>
    </row>
    <row r="26" spans="1:10">
      <c r="A26" s="312"/>
      <c r="B26" s="314"/>
      <c r="C26" s="27"/>
      <c r="D26" s="33"/>
      <c r="E26" s="781" t="s">
        <v>780</v>
      </c>
      <c r="F26" s="784">
        <f>1.1*0.15*13.95+1.25*0.15*50.93</f>
        <v>11.851125</v>
      </c>
      <c r="G26" s="36"/>
      <c r="H26" s="731"/>
      <c r="I26" s="222"/>
      <c r="J26" s="266"/>
    </row>
    <row r="27" spans="1:10">
      <c r="A27" s="317"/>
      <c r="B27" s="318"/>
      <c r="C27" s="259"/>
      <c r="D27" s="262"/>
      <c r="E27" s="34" t="s">
        <v>781</v>
      </c>
      <c r="F27" s="785"/>
      <c r="G27" s="263"/>
      <c r="H27" s="741"/>
      <c r="I27" s="222"/>
      <c r="J27" s="266"/>
    </row>
    <row r="28" spans="1:10">
      <c r="A28" s="317"/>
      <c r="B28" s="318"/>
      <c r="C28" s="259"/>
      <c r="D28" s="262"/>
      <c r="E28" s="742" t="s">
        <v>782</v>
      </c>
      <c r="F28" s="743">
        <f>1.1*0.15*21.73</f>
        <v>3.5854500000000002</v>
      </c>
      <c r="G28" s="263"/>
      <c r="H28" s="741"/>
      <c r="I28" s="222"/>
      <c r="J28" s="266"/>
    </row>
    <row r="29" spans="1:10">
      <c r="A29" s="317"/>
      <c r="B29" s="318"/>
      <c r="C29" s="259"/>
      <c r="D29" s="262"/>
      <c r="E29" s="781" t="s">
        <v>115</v>
      </c>
      <c r="F29" s="784">
        <f>SUM(F26:F28)</f>
        <v>15.436574999999999</v>
      </c>
      <c r="G29" s="263"/>
      <c r="H29" s="741"/>
      <c r="I29" s="222"/>
      <c r="J29" s="266"/>
    </row>
    <row r="30" spans="1:10">
      <c r="A30" s="317"/>
      <c r="B30" s="318"/>
      <c r="C30" s="259"/>
      <c r="D30" s="262"/>
      <c r="E30" s="275"/>
      <c r="F30" s="357"/>
      <c r="G30" s="263"/>
      <c r="H30" s="741"/>
      <c r="I30" s="222"/>
      <c r="J30" s="266"/>
    </row>
    <row r="31" spans="1:10">
      <c r="A31" s="25">
        <f>MAX(A$1:A24)+1</f>
        <v>5</v>
      </c>
      <c r="B31" s="430"/>
      <c r="C31" s="26" t="s">
        <v>119</v>
      </c>
      <c r="D31" s="27"/>
      <c r="E31" s="28" t="s">
        <v>120</v>
      </c>
      <c r="F31" s="29"/>
      <c r="G31" s="30" t="s">
        <v>8</v>
      </c>
      <c r="H31" s="732">
        <v>176.64</v>
      </c>
      <c r="I31" s="507"/>
      <c r="J31" s="266">
        <f>H31*I31</f>
        <v>0</v>
      </c>
    </row>
    <row r="32" spans="1:10">
      <c r="A32" s="432"/>
      <c r="B32" s="314"/>
      <c r="C32" s="39"/>
      <c r="D32" s="33" t="s">
        <v>121</v>
      </c>
      <c r="E32" s="34" t="s">
        <v>122</v>
      </c>
      <c r="F32" s="35"/>
      <c r="G32" s="36" t="s">
        <v>8</v>
      </c>
      <c r="H32" s="734">
        <v>176.64</v>
      </c>
      <c r="I32" s="527"/>
      <c r="J32" s="266"/>
    </row>
    <row r="33" spans="1:10">
      <c r="A33" s="421"/>
      <c r="B33" s="422"/>
      <c r="C33" s="422"/>
      <c r="D33" s="422"/>
      <c r="E33" s="423" t="s">
        <v>783</v>
      </c>
      <c r="F33" s="424"/>
      <c r="G33" s="425"/>
      <c r="H33" s="786"/>
      <c r="I33" s="437"/>
      <c r="J33" s="266"/>
    </row>
    <row r="34" spans="1:10">
      <c r="A34" s="421"/>
      <c r="B34" s="422"/>
      <c r="C34" s="422"/>
      <c r="D34" s="422"/>
      <c r="E34" s="423" t="s">
        <v>784</v>
      </c>
      <c r="F34" s="744">
        <f>9.6*4.6*4</f>
        <v>176.64</v>
      </c>
      <c r="G34" s="425"/>
      <c r="H34" s="786"/>
      <c r="I34" s="437"/>
      <c r="J34" s="266"/>
    </row>
    <row r="35" spans="1:10">
      <c r="A35" s="421"/>
      <c r="B35" s="422"/>
      <c r="C35" s="422"/>
      <c r="D35" s="422"/>
      <c r="E35" s="423"/>
      <c r="F35" s="424"/>
      <c r="G35" s="425"/>
      <c r="H35" s="786"/>
      <c r="I35" s="437"/>
      <c r="J35" s="266"/>
    </row>
    <row r="36" spans="1:10">
      <c r="A36" s="25">
        <f>MAX(A$1:A34)+1</f>
        <v>6</v>
      </c>
      <c r="B36" s="430"/>
      <c r="C36" s="26" t="s">
        <v>161</v>
      </c>
      <c r="D36" s="27"/>
      <c r="E36" s="28" t="s">
        <v>162</v>
      </c>
      <c r="F36" s="29"/>
      <c r="G36" s="30" t="s">
        <v>8</v>
      </c>
      <c r="H36" s="732">
        <v>916.5</v>
      </c>
      <c r="I36" s="507"/>
      <c r="J36" s="266">
        <f>H36*I36</f>
        <v>0</v>
      </c>
    </row>
    <row r="37" spans="1:10">
      <c r="A37" s="432"/>
      <c r="B37" s="314"/>
      <c r="C37" s="39"/>
      <c r="D37" s="33" t="s">
        <v>268</v>
      </c>
      <c r="E37" s="34" t="s">
        <v>269</v>
      </c>
      <c r="F37" s="35"/>
      <c r="G37" s="36" t="s">
        <v>8</v>
      </c>
      <c r="H37" s="734">
        <v>916.5</v>
      </c>
      <c r="I37" s="527"/>
      <c r="J37" s="266"/>
    </row>
    <row r="38" spans="1:10">
      <c r="A38" s="432"/>
      <c r="B38" s="314"/>
      <c r="C38" s="461"/>
      <c r="D38" s="33"/>
      <c r="E38" s="34" t="s">
        <v>779</v>
      </c>
      <c r="F38" s="439"/>
      <c r="G38" s="440"/>
      <c r="H38" s="787"/>
      <c r="I38" s="222"/>
      <c r="J38" s="266"/>
    </row>
    <row r="39" spans="1:10">
      <c r="A39" s="421"/>
      <c r="B39" s="434"/>
      <c r="C39" s="422"/>
      <c r="D39" s="434"/>
      <c r="E39" s="423" t="s">
        <v>785</v>
      </c>
      <c r="F39" s="435"/>
      <c r="G39" s="425"/>
      <c r="H39" s="786"/>
      <c r="I39" s="437"/>
      <c r="J39" s="266"/>
    </row>
    <row r="40" spans="1:10">
      <c r="A40" s="421"/>
      <c r="B40" s="434"/>
      <c r="C40" s="422"/>
      <c r="D40" s="422"/>
      <c r="E40" s="423" t="s">
        <v>786</v>
      </c>
      <c r="F40" s="435">
        <f>1.1*(2.03+1.49)/2*13.95+1.25*(2.03+2.35)/2*50.93</f>
        <v>166.42807499999998</v>
      </c>
      <c r="G40" s="425"/>
      <c r="H40" s="786"/>
      <c r="I40" s="437"/>
      <c r="J40" s="266"/>
    </row>
    <row r="41" spans="1:10">
      <c r="A41" s="421"/>
      <c r="B41" s="434"/>
      <c r="C41" s="422"/>
      <c r="D41" s="434"/>
      <c r="E41" s="423" t="s">
        <v>787</v>
      </c>
      <c r="F41" s="435"/>
      <c r="G41" s="425"/>
      <c r="H41" s="786"/>
      <c r="I41" s="437"/>
      <c r="J41" s="266"/>
    </row>
    <row r="42" spans="1:10">
      <c r="A42" s="421"/>
      <c r="B42" s="434"/>
      <c r="C42" s="422"/>
      <c r="D42" s="422"/>
      <c r="E42" s="423" t="s">
        <v>788</v>
      </c>
      <c r="F42" s="435">
        <f>1.1*(2.03+1.49)/2*67.08+1.25*(2.03+2.35)/2*59.36</f>
        <v>292.36487999999997</v>
      </c>
      <c r="G42" s="425"/>
      <c r="H42" s="786"/>
      <c r="I42" s="437"/>
      <c r="J42" s="266"/>
    </row>
    <row r="43" spans="1:10">
      <c r="A43" s="421"/>
      <c r="B43" s="434"/>
      <c r="C43" s="422"/>
      <c r="D43" s="422"/>
      <c r="E43" s="423" t="s">
        <v>789</v>
      </c>
      <c r="F43" s="435">
        <f>1*1.7*122.59</f>
        <v>208.40299999999999</v>
      </c>
      <c r="G43" s="425"/>
      <c r="H43" s="786"/>
      <c r="I43" s="437"/>
      <c r="J43" s="266"/>
    </row>
    <row r="44" spans="1:10">
      <c r="A44" s="421"/>
      <c r="B44" s="434"/>
      <c r="C44" s="422"/>
      <c r="D44" s="422"/>
      <c r="E44" s="423" t="s">
        <v>790</v>
      </c>
      <c r="F44" s="435">
        <f>1.7*1.7*1.7*14</f>
        <v>68.781999999999996</v>
      </c>
      <c r="G44" s="425"/>
      <c r="H44" s="786"/>
      <c r="I44" s="437"/>
      <c r="J44" s="266"/>
    </row>
    <row r="45" spans="1:10">
      <c r="A45" s="421"/>
      <c r="B45" s="434"/>
      <c r="C45" s="422"/>
      <c r="D45" s="422"/>
      <c r="E45" s="745" t="s">
        <v>791</v>
      </c>
      <c r="F45" s="746">
        <f>2.7*2.7*(2.35+2.82+2.82+2.03+1.87+1.49)</f>
        <v>97.540200000000013</v>
      </c>
      <c r="G45" s="425"/>
      <c r="H45" s="786"/>
      <c r="I45" s="437"/>
      <c r="J45" s="266"/>
    </row>
    <row r="46" spans="1:10">
      <c r="A46" s="421"/>
      <c r="B46" s="434"/>
      <c r="C46" s="422"/>
      <c r="D46" s="422"/>
      <c r="E46" s="423" t="s">
        <v>792</v>
      </c>
      <c r="F46" s="435">
        <f>SUM(F40:F45)</f>
        <v>833.51815499999998</v>
      </c>
      <c r="G46" s="425"/>
      <c r="H46" s="786"/>
      <c r="I46" s="437"/>
      <c r="J46" s="266"/>
    </row>
    <row r="47" spans="1:10">
      <c r="A47" s="421"/>
      <c r="B47" s="434"/>
      <c r="C47" s="422"/>
      <c r="D47" s="422"/>
      <c r="E47" s="423"/>
      <c r="F47" s="435"/>
      <c r="G47" s="425"/>
      <c r="H47" s="786"/>
      <c r="I47" s="437"/>
      <c r="J47" s="266"/>
    </row>
    <row r="48" spans="1:10">
      <c r="A48" s="421"/>
      <c r="B48" s="434"/>
      <c r="C48" s="422"/>
      <c r="D48" s="422"/>
      <c r="E48" s="34" t="s">
        <v>781</v>
      </c>
      <c r="F48" s="439"/>
      <c r="G48" s="425"/>
      <c r="H48" s="786"/>
      <c r="I48" s="437"/>
      <c r="J48" s="266"/>
    </row>
    <row r="49" spans="1:10">
      <c r="A49" s="421"/>
      <c r="B49" s="434"/>
      <c r="C49" s="422"/>
      <c r="D49" s="422"/>
      <c r="E49" s="423" t="s">
        <v>785</v>
      </c>
      <c r="F49" s="435"/>
      <c r="G49" s="425"/>
      <c r="H49" s="786"/>
      <c r="I49" s="437"/>
      <c r="J49" s="266"/>
    </row>
    <row r="50" spans="1:10">
      <c r="A50" s="421"/>
      <c r="B50" s="434"/>
      <c r="C50" s="422"/>
      <c r="D50" s="422"/>
      <c r="E50" s="423" t="s">
        <v>793</v>
      </c>
      <c r="F50" s="435">
        <f>1.1*(2.03+1.5)/2*16.72</f>
        <v>32.461880000000001</v>
      </c>
      <c r="G50" s="425"/>
      <c r="H50" s="786"/>
      <c r="I50" s="437"/>
      <c r="J50" s="266"/>
    </row>
    <row r="51" spans="1:10">
      <c r="A51" s="421"/>
      <c r="B51" s="434"/>
      <c r="C51" s="422"/>
      <c r="D51" s="422"/>
      <c r="E51" s="423" t="s">
        <v>787</v>
      </c>
      <c r="F51" s="435"/>
      <c r="G51" s="425"/>
      <c r="H51" s="786"/>
      <c r="I51" s="437"/>
      <c r="J51" s="266"/>
    </row>
    <row r="52" spans="1:10">
      <c r="A52" s="421"/>
      <c r="B52" s="434"/>
      <c r="C52" s="422"/>
      <c r="D52" s="422"/>
      <c r="E52" s="423" t="s">
        <v>794</v>
      </c>
      <c r="F52" s="435">
        <f>1.1*(1.5+0.9)/2*15.58</f>
        <v>20.5656</v>
      </c>
      <c r="G52" s="425"/>
      <c r="H52" s="786"/>
      <c r="I52" s="437"/>
      <c r="J52" s="266"/>
    </row>
    <row r="53" spans="1:10">
      <c r="A53" s="421"/>
      <c r="B53" s="434"/>
      <c r="C53" s="422"/>
      <c r="D53" s="422"/>
      <c r="E53" s="423" t="s">
        <v>795</v>
      </c>
      <c r="F53" s="435">
        <f>1*1.7*10.87</f>
        <v>18.478999999999999</v>
      </c>
      <c r="G53" s="425"/>
      <c r="H53" s="786"/>
      <c r="I53" s="437"/>
      <c r="J53" s="266"/>
    </row>
    <row r="54" spans="1:10">
      <c r="A54" s="421"/>
      <c r="B54" s="434"/>
      <c r="C54" s="422"/>
      <c r="D54" s="422"/>
      <c r="E54" s="423" t="s">
        <v>790</v>
      </c>
      <c r="F54" s="435">
        <f>1.7*1.7*1.7*1</f>
        <v>4.9129999999999994</v>
      </c>
      <c r="G54" s="425"/>
      <c r="H54" s="786"/>
      <c r="I54" s="437"/>
      <c r="J54" s="266"/>
    </row>
    <row r="55" spans="1:10">
      <c r="A55" s="421"/>
      <c r="B55" s="434"/>
      <c r="C55" s="422"/>
      <c r="D55" s="422"/>
      <c r="E55" s="745" t="s">
        <v>791</v>
      </c>
      <c r="F55" s="746">
        <f>2.7*2.7*0.9</f>
        <v>6.5610000000000008</v>
      </c>
      <c r="G55" s="425"/>
      <c r="H55" s="786"/>
      <c r="I55" s="437"/>
      <c r="J55" s="266"/>
    </row>
    <row r="56" spans="1:10">
      <c r="A56" s="421"/>
      <c r="B56" s="434"/>
      <c r="C56" s="422"/>
      <c r="D56" s="422"/>
      <c r="E56" s="423" t="s">
        <v>792</v>
      </c>
      <c r="F56" s="435">
        <f>SUM(F50:F55)</f>
        <v>82.98048</v>
      </c>
      <c r="G56" s="425"/>
      <c r="H56" s="786"/>
      <c r="I56" s="437"/>
      <c r="J56" s="266"/>
    </row>
    <row r="57" spans="1:10">
      <c r="A57" s="421"/>
      <c r="B57" s="434"/>
      <c r="C57" s="422"/>
      <c r="D57" s="422"/>
      <c r="E57" s="423"/>
      <c r="F57" s="435"/>
      <c r="G57" s="425"/>
      <c r="H57" s="786"/>
      <c r="I57" s="437"/>
      <c r="J57" s="266"/>
    </row>
    <row r="58" spans="1:10">
      <c r="A58" s="421"/>
      <c r="B58" s="434"/>
      <c r="C58" s="422"/>
      <c r="D58" s="422"/>
      <c r="E58" s="423" t="s">
        <v>796</v>
      </c>
      <c r="F58" s="435">
        <f>F56+F46</f>
        <v>916.49863499999992</v>
      </c>
      <c r="G58" s="425"/>
      <c r="H58" s="786"/>
      <c r="I58" s="437"/>
      <c r="J58" s="266"/>
    </row>
    <row r="59" spans="1:10">
      <c r="A59" s="421"/>
      <c r="B59" s="434"/>
      <c r="C59" s="422"/>
      <c r="D59" s="422"/>
      <c r="E59" s="423"/>
      <c r="F59" s="435"/>
      <c r="G59" s="425"/>
      <c r="H59" s="786"/>
      <c r="I59" s="437"/>
      <c r="J59" s="266"/>
    </row>
    <row r="60" spans="1:10">
      <c r="A60" s="25">
        <f>MAX(A$1:A58)+1</f>
        <v>7</v>
      </c>
      <c r="B60" s="430"/>
      <c r="C60" s="26" t="s">
        <v>253</v>
      </c>
      <c r="D60" s="27"/>
      <c r="E60" s="28" t="s">
        <v>254</v>
      </c>
      <c r="F60" s="29"/>
      <c r="G60" s="30" t="s">
        <v>8</v>
      </c>
      <c r="H60" s="732">
        <v>831.63</v>
      </c>
      <c r="I60" s="507"/>
      <c r="J60" s="266">
        <f>H60*I60</f>
        <v>0</v>
      </c>
    </row>
    <row r="61" spans="1:10">
      <c r="A61" s="432"/>
      <c r="B61" s="314"/>
      <c r="C61" s="39"/>
      <c r="D61" s="33" t="s">
        <v>255</v>
      </c>
      <c r="E61" s="34" t="s">
        <v>256</v>
      </c>
      <c r="F61" s="439"/>
      <c r="G61" s="440" t="s">
        <v>8</v>
      </c>
      <c r="H61" s="734">
        <v>831.63</v>
      </c>
      <c r="I61" s="527"/>
      <c r="J61" s="266"/>
    </row>
    <row r="62" spans="1:10">
      <c r="A62" s="441"/>
      <c r="B62" s="37"/>
      <c r="C62" s="39"/>
      <c r="D62" s="442"/>
      <c r="E62" s="387" t="s">
        <v>118</v>
      </c>
      <c r="F62" s="443"/>
      <c r="G62" s="440"/>
      <c r="H62" s="447"/>
      <c r="I62" s="445"/>
      <c r="J62" s="266"/>
    </row>
    <row r="63" spans="1:10">
      <c r="A63" s="441"/>
      <c r="B63" s="37"/>
      <c r="C63" s="39"/>
      <c r="D63" s="442"/>
      <c r="E63" s="34" t="s">
        <v>797</v>
      </c>
      <c r="F63" s="443"/>
      <c r="G63" s="36"/>
      <c r="H63" s="447"/>
      <c r="I63" s="445"/>
      <c r="J63" s="266"/>
    </row>
    <row r="64" spans="1:10">
      <c r="A64" s="441"/>
      <c r="B64" s="37"/>
      <c r="C64" s="39"/>
      <c r="D64" s="442"/>
      <c r="E64" s="387" t="s">
        <v>798</v>
      </c>
      <c r="F64" s="443">
        <v>34.64</v>
      </c>
      <c r="G64" s="36"/>
      <c r="H64" s="447"/>
      <c r="I64" s="445"/>
      <c r="J64" s="266"/>
    </row>
    <row r="65" spans="1:13">
      <c r="A65" s="441"/>
      <c r="B65" s="37"/>
      <c r="C65" s="39"/>
      <c r="D65" s="442"/>
      <c r="E65" s="387" t="s">
        <v>799</v>
      </c>
      <c r="F65" s="443"/>
      <c r="G65" s="36"/>
      <c r="H65" s="447"/>
      <c r="I65" s="445"/>
      <c r="J65" s="266"/>
    </row>
    <row r="66" spans="1:13">
      <c r="A66" s="441"/>
      <c r="B66" s="37"/>
      <c r="C66" s="39"/>
      <c r="D66" s="442"/>
      <c r="E66" s="387" t="s">
        <v>800</v>
      </c>
      <c r="F66" s="443">
        <f>292.36+208.4+68.78+97.54</f>
        <v>667.07999999999993</v>
      </c>
      <c r="G66" s="36"/>
      <c r="H66" s="447"/>
      <c r="I66" s="445"/>
      <c r="J66" s="266"/>
    </row>
    <row r="67" spans="1:13">
      <c r="A67" s="441"/>
      <c r="B67" s="37"/>
      <c r="C67" s="39"/>
      <c r="D67" s="442"/>
      <c r="E67" s="387" t="s">
        <v>801</v>
      </c>
      <c r="F67" s="443"/>
      <c r="G67" s="36"/>
      <c r="H67" s="447"/>
      <c r="I67" s="445"/>
      <c r="J67" s="266"/>
    </row>
    <row r="68" spans="1:13">
      <c r="A68" s="441"/>
      <c r="B68" s="37"/>
      <c r="C68" s="39"/>
      <c r="D68" s="442"/>
      <c r="E68" s="387" t="s">
        <v>802</v>
      </c>
      <c r="F68" s="443">
        <f>166.43-100.81</f>
        <v>65.62</v>
      </c>
      <c r="G68" s="36"/>
      <c r="H68" s="447"/>
      <c r="I68" s="445"/>
      <c r="J68" s="266"/>
    </row>
    <row r="69" spans="1:13">
      <c r="A69" s="441"/>
      <c r="B69" s="37"/>
      <c r="C69" s="39"/>
      <c r="D69" s="442"/>
      <c r="E69" s="387"/>
      <c r="F69" s="443"/>
      <c r="G69" s="36"/>
      <c r="H69" s="447"/>
      <c r="I69" s="445"/>
      <c r="J69" s="266"/>
    </row>
    <row r="70" spans="1:13">
      <c r="A70" s="441"/>
      <c r="B70" s="37"/>
      <c r="C70" s="39"/>
      <c r="D70" s="442"/>
      <c r="E70" s="34" t="s">
        <v>803</v>
      </c>
      <c r="F70" s="443"/>
      <c r="G70" s="36"/>
      <c r="H70" s="447"/>
      <c r="I70" s="445"/>
      <c r="J70" s="266"/>
    </row>
    <row r="71" spans="1:13">
      <c r="A71" s="441"/>
      <c r="B71" s="37"/>
      <c r="C71" s="39"/>
      <c r="D71" s="442"/>
      <c r="E71" s="387" t="s">
        <v>799</v>
      </c>
      <c r="F71" s="443"/>
      <c r="G71" s="36"/>
      <c r="H71" s="447"/>
      <c r="I71" s="445"/>
      <c r="J71" s="266"/>
    </row>
    <row r="72" spans="1:13">
      <c r="A72" s="441"/>
      <c r="B72" s="37"/>
      <c r="C72" s="39"/>
      <c r="D72" s="442"/>
      <c r="E72" s="387" t="s">
        <v>804</v>
      </c>
      <c r="F72" s="443">
        <f>20.57+18.48+4.91+6.56</f>
        <v>50.519999999999996</v>
      </c>
      <c r="G72" s="36"/>
      <c r="H72" s="447"/>
      <c r="I72" s="445"/>
      <c r="J72" s="266"/>
    </row>
    <row r="73" spans="1:13">
      <c r="A73" s="441"/>
      <c r="B73" s="37"/>
      <c r="C73" s="39"/>
      <c r="D73" s="442"/>
      <c r="E73" s="387" t="s">
        <v>801</v>
      </c>
      <c r="F73" s="443"/>
      <c r="G73" s="36"/>
      <c r="H73" s="447"/>
      <c r="I73" s="445"/>
      <c r="J73" s="266"/>
    </row>
    <row r="74" spans="1:13">
      <c r="A74" s="441"/>
      <c r="B74" s="37"/>
      <c r="C74" s="39"/>
      <c r="D74" s="442"/>
      <c r="E74" s="387" t="s">
        <v>805</v>
      </c>
      <c r="F74" s="747">
        <f>32.46-18.69</f>
        <v>13.77</v>
      </c>
      <c r="G74" s="36"/>
      <c r="H74" s="447"/>
      <c r="I74" s="445"/>
      <c r="J74" s="266"/>
    </row>
    <row r="75" spans="1:13">
      <c r="A75" s="441"/>
      <c r="B75" s="37"/>
      <c r="C75" s="39"/>
      <c r="D75" s="442"/>
      <c r="E75" s="387"/>
      <c r="F75" s="448"/>
      <c r="G75" s="36"/>
      <c r="H75" s="447"/>
      <c r="I75" s="445"/>
      <c r="J75" s="266"/>
    </row>
    <row r="76" spans="1:13">
      <c r="A76" s="441"/>
      <c r="B76" s="37"/>
      <c r="C76" s="39"/>
      <c r="D76" s="442"/>
      <c r="E76" s="387" t="s">
        <v>806</v>
      </c>
      <c r="F76" s="448">
        <f>SUM(F64:F74)</f>
        <v>831.62999999999988</v>
      </c>
      <c r="G76" s="36"/>
      <c r="H76" s="447"/>
      <c r="I76" s="445"/>
      <c r="J76" s="266"/>
    </row>
    <row r="77" spans="1:13">
      <c r="A77" s="441"/>
      <c r="B77" s="37"/>
      <c r="C77" s="39"/>
      <c r="D77" s="442"/>
      <c r="E77" s="387"/>
      <c r="F77" s="448"/>
      <c r="G77" s="36"/>
      <c r="H77" s="447"/>
      <c r="I77" s="445"/>
      <c r="J77" s="266"/>
    </row>
    <row r="78" spans="1:13">
      <c r="A78" s="25">
        <f>MAX(A$1:A61)+1</f>
        <v>8</v>
      </c>
      <c r="B78" s="430"/>
      <c r="C78" s="26" t="s">
        <v>123</v>
      </c>
      <c r="D78" s="449"/>
      <c r="E78" s="28" t="s">
        <v>124</v>
      </c>
      <c r="F78" s="29"/>
      <c r="G78" s="30" t="s">
        <v>8</v>
      </c>
      <c r="H78" s="732">
        <f>H79+H87</f>
        <v>775.03</v>
      </c>
      <c r="I78" s="507"/>
      <c r="J78" s="266">
        <f>H78*I78</f>
        <v>0</v>
      </c>
    </row>
    <row r="79" spans="1:13">
      <c r="A79" s="432"/>
      <c r="B79" s="314"/>
      <c r="C79" s="39"/>
      <c r="D79" s="33" t="s">
        <v>807</v>
      </c>
      <c r="E79" s="34" t="s">
        <v>808</v>
      </c>
      <c r="F79" s="35"/>
      <c r="G79" s="36" t="s">
        <v>8</v>
      </c>
      <c r="H79" s="734">
        <v>543.55999999999995</v>
      </c>
      <c r="I79" s="527"/>
      <c r="J79" s="433"/>
      <c r="L79" s="4"/>
      <c r="M79" s="156"/>
    </row>
    <row r="80" spans="1:13">
      <c r="A80" s="25"/>
      <c r="B80" s="434"/>
      <c r="C80" s="451"/>
      <c r="D80" s="422"/>
      <c r="E80" s="423" t="s">
        <v>809</v>
      </c>
      <c r="F80" s="452"/>
      <c r="G80" s="453"/>
      <c r="H80" s="788"/>
      <c r="I80" s="437"/>
      <c r="J80" s="433"/>
    </row>
    <row r="81" spans="1:10">
      <c r="A81" s="25"/>
      <c r="B81" s="434"/>
      <c r="C81" s="451"/>
      <c r="D81" s="422"/>
      <c r="E81" s="423" t="s">
        <v>779</v>
      </c>
      <c r="F81" s="452"/>
      <c r="G81" s="453"/>
      <c r="H81" s="788"/>
      <c r="I81" s="437"/>
      <c r="J81" s="433"/>
    </row>
    <row r="82" spans="1:10" ht="25.5">
      <c r="A82" s="25"/>
      <c r="B82" s="434"/>
      <c r="C82" s="451"/>
      <c r="D82" s="422"/>
      <c r="E82" s="423" t="s">
        <v>810</v>
      </c>
      <c r="F82" s="424">
        <f>292.36+208.4+68.78+97.54-(0.75*1.1*81.03+1.25*0.85*88.79)</f>
        <v>505.89087499999994</v>
      </c>
      <c r="G82" s="453"/>
      <c r="H82" s="788"/>
      <c r="I82" s="437"/>
      <c r="J82" s="433"/>
    </row>
    <row r="83" spans="1:10">
      <c r="A83" s="25"/>
      <c r="B83" s="434"/>
      <c r="C83" s="451"/>
      <c r="D83" s="422"/>
      <c r="E83" s="423" t="s">
        <v>781</v>
      </c>
      <c r="F83" s="424"/>
      <c r="G83" s="453"/>
      <c r="H83" s="788"/>
      <c r="I83" s="437"/>
      <c r="J83" s="433"/>
    </row>
    <row r="84" spans="1:10">
      <c r="A84" s="25"/>
      <c r="B84" s="434"/>
      <c r="C84" s="451"/>
      <c r="D84" s="422"/>
      <c r="E84" s="745" t="s">
        <v>811</v>
      </c>
      <c r="F84" s="748">
        <f>20.57+18.48+4.91+6.56-(0.75*1.1*15.58)</f>
        <v>37.666499999999999</v>
      </c>
      <c r="G84" s="453"/>
      <c r="H84" s="788"/>
      <c r="I84" s="437"/>
      <c r="J84" s="433"/>
    </row>
    <row r="85" spans="1:10">
      <c r="A85" s="25"/>
      <c r="B85" s="434"/>
      <c r="C85" s="451"/>
      <c r="D85" s="422"/>
      <c r="E85" s="423" t="s">
        <v>115</v>
      </c>
      <c r="F85" s="424">
        <f>SUM(F82:F84)</f>
        <v>543.55737499999998</v>
      </c>
      <c r="G85" s="453"/>
      <c r="H85" s="788"/>
      <c r="I85" s="437"/>
      <c r="J85" s="433"/>
    </row>
    <row r="86" spans="1:10">
      <c r="A86" s="25"/>
      <c r="B86" s="434"/>
      <c r="C86" s="451"/>
      <c r="D86" s="422"/>
      <c r="E86" s="455"/>
      <c r="F86" s="452"/>
      <c r="G86" s="453"/>
      <c r="H86" s="788"/>
      <c r="I86" s="437"/>
      <c r="J86" s="433"/>
    </row>
    <row r="87" spans="1:10" ht="25.5">
      <c r="A87" s="421"/>
      <c r="B87" s="434"/>
      <c r="C87" s="422"/>
      <c r="D87" s="422" t="s">
        <v>125</v>
      </c>
      <c r="E87" s="456" t="s">
        <v>126</v>
      </c>
      <c r="F87" s="452"/>
      <c r="G87" s="425" t="s">
        <v>812</v>
      </c>
      <c r="H87" s="734">
        <v>231.47</v>
      </c>
      <c r="I87" s="527"/>
      <c r="J87" s="433"/>
    </row>
    <row r="88" spans="1:10" ht="25.5">
      <c r="A88" s="421"/>
      <c r="B88" s="434"/>
      <c r="C88" s="422"/>
      <c r="D88" s="434"/>
      <c r="E88" s="387" t="s">
        <v>813</v>
      </c>
      <c r="F88" s="452"/>
      <c r="G88" s="425"/>
      <c r="H88" s="786"/>
      <c r="I88" s="437"/>
      <c r="J88" s="266"/>
    </row>
    <row r="89" spans="1:10">
      <c r="A89" s="421"/>
      <c r="B89" s="434"/>
      <c r="C89" s="422"/>
      <c r="D89" s="434"/>
      <c r="E89" s="387" t="s">
        <v>797</v>
      </c>
      <c r="F89" s="452"/>
      <c r="G89" s="425"/>
      <c r="H89" s="786"/>
      <c r="I89" s="437"/>
      <c r="J89" s="266"/>
    </row>
    <row r="90" spans="1:10">
      <c r="A90" s="421"/>
      <c r="B90" s="434"/>
      <c r="C90" s="422"/>
      <c r="D90" s="434"/>
      <c r="E90" s="423" t="s">
        <v>814</v>
      </c>
      <c r="F90" s="435">
        <f>176.64-64.64</f>
        <v>111.99999999999999</v>
      </c>
      <c r="G90" s="425"/>
      <c r="H90" s="786"/>
      <c r="I90" s="437"/>
      <c r="J90" s="266"/>
    </row>
    <row r="91" spans="1:10">
      <c r="A91" s="421"/>
      <c r="B91" s="434"/>
      <c r="C91" s="422"/>
      <c r="D91" s="434"/>
      <c r="E91" s="749" t="s">
        <v>815</v>
      </c>
      <c r="F91" s="746">
        <f>166.43-(0.75*1.1*13.95+1.25*0.85*50.93)</f>
        <v>100.808125</v>
      </c>
      <c r="G91" s="425"/>
      <c r="H91" s="786"/>
      <c r="I91" s="437"/>
      <c r="J91" s="266"/>
    </row>
    <row r="92" spans="1:10">
      <c r="A92" s="421"/>
      <c r="B92" s="422"/>
      <c r="C92" s="434"/>
      <c r="D92" s="434"/>
      <c r="E92" s="423" t="s">
        <v>816</v>
      </c>
      <c r="F92" s="435">
        <f>SUM(F90:F91)</f>
        <v>212.80812499999999</v>
      </c>
      <c r="G92" s="425"/>
      <c r="H92" s="786"/>
      <c r="I92" s="437"/>
      <c r="J92" s="266"/>
    </row>
    <row r="93" spans="1:10">
      <c r="A93" s="421"/>
      <c r="B93" s="422"/>
      <c r="C93" s="434"/>
      <c r="D93" s="434"/>
      <c r="E93" s="423"/>
      <c r="F93" s="435"/>
      <c r="G93" s="425"/>
      <c r="H93" s="786"/>
      <c r="I93" s="437"/>
      <c r="J93" s="266"/>
    </row>
    <row r="94" spans="1:10">
      <c r="A94" s="421"/>
      <c r="B94" s="434"/>
      <c r="C94" s="422"/>
      <c r="D94" s="434"/>
      <c r="E94" s="387" t="s">
        <v>803</v>
      </c>
      <c r="F94" s="452"/>
      <c r="G94" s="425"/>
      <c r="H94" s="786"/>
      <c r="I94" s="437"/>
      <c r="J94" s="266"/>
    </row>
    <row r="95" spans="1:10">
      <c r="A95" s="421"/>
      <c r="B95" s="434"/>
      <c r="C95" s="422"/>
      <c r="D95" s="434"/>
      <c r="E95" s="750" t="s">
        <v>817</v>
      </c>
      <c r="F95" s="435">
        <f>32.46-(0.75*1.1*16.72)</f>
        <v>18.666</v>
      </c>
      <c r="G95" s="425"/>
      <c r="H95" s="786"/>
      <c r="I95" s="437"/>
      <c r="J95" s="266"/>
    </row>
    <row r="96" spans="1:10">
      <c r="A96" s="421"/>
      <c r="B96" s="422"/>
      <c r="C96" s="422"/>
      <c r="D96" s="434"/>
      <c r="E96" s="750"/>
      <c r="F96" s="435"/>
      <c r="G96" s="425"/>
      <c r="H96" s="786"/>
      <c r="I96" s="437"/>
      <c r="J96" s="266"/>
    </row>
    <row r="97" spans="1:10">
      <c r="A97" s="421"/>
      <c r="B97" s="422"/>
      <c r="C97" s="422"/>
      <c r="D97" s="434"/>
      <c r="E97" s="750" t="s">
        <v>818</v>
      </c>
      <c r="F97" s="751">
        <f>F95+F92</f>
        <v>231.47412499999999</v>
      </c>
      <c r="G97" s="425"/>
      <c r="H97" s="786"/>
      <c r="I97" s="437"/>
      <c r="J97" s="266"/>
    </row>
    <row r="98" spans="1:10">
      <c r="A98" s="421"/>
      <c r="B98" s="422"/>
      <c r="C98" s="434"/>
      <c r="D98" s="434"/>
      <c r="E98" s="423"/>
      <c r="F98" s="435"/>
      <c r="G98" s="425"/>
      <c r="H98" s="786"/>
      <c r="I98" s="437"/>
      <c r="J98" s="266"/>
    </row>
    <row r="99" spans="1:10">
      <c r="A99" s="421"/>
      <c r="B99" s="422"/>
      <c r="C99" s="434"/>
      <c r="D99" s="434"/>
      <c r="E99" s="423"/>
      <c r="F99" s="424"/>
      <c r="G99" s="425"/>
      <c r="H99" s="786"/>
      <c r="I99" s="437"/>
      <c r="J99" s="266"/>
    </row>
    <row r="100" spans="1:10">
      <c r="A100" s="25">
        <f>MAX(A$1:A91)+1</f>
        <v>9</v>
      </c>
      <c r="B100" s="457"/>
      <c r="C100" s="26" t="s">
        <v>819</v>
      </c>
      <c r="D100" s="27"/>
      <c r="E100" s="458" t="s">
        <v>820</v>
      </c>
      <c r="F100" s="459"/>
      <c r="G100" s="30" t="s">
        <v>8</v>
      </c>
      <c r="H100" s="732">
        <v>219.49</v>
      </c>
      <c r="I100" s="507"/>
      <c r="J100" s="266">
        <f>I100*H100</f>
        <v>0</v>
      </c>
    </row>
    <row r="101" spans="1:10">
      <c r="A101" s="460"/>
      <c r="B101" s="37"/>
      <c r="C101" s="461"/>
      <c r="D101" s="33" t="s">
        <v>821</v>
      </c>
      <c r="E101" s="462" t="s">
        <v>822</v>
      </c>
      <c r="F101" s="463"/>
      <c r="G101" s="440" t="s">
        <v>8</v>
      </c>
      <c r="H101" s="734">
        <v>219.49</v>
      </c>
      <c r="I101" s="527"/>
      <c r="J101" s="266"/>
    </row>
    <row r="102" spans="1:10">
      <c r="A102" s="460"/>
      <c r="B102" s="37"/>
      <c r="C102" s="461"/>
      <c r="D102" s="33"/>
      <c r="E102" s="387" t="s">
        <v>823</v>
      </c>
      <c r="F102" s="464"/>
      <c r="G102" s="36"/>
      <c r="H102" s="447"/>
      <c r="I102" s="445"/>
      <c r="J102" s="266"/>
    </row>
    <row r="103" spans="1:10">
      <c r="A103" s="460"/>
      <c r="B103" s="37"/>
      <c r="C103" s="461"/>
      <c r="D103" s="442"/>
      <c r="E103" s="34" t="s">
        <v>797</v>
      </c>
      <c r="F103" s="464"/>
      <c r="G103" s="36"/>
      <c r="H103" s="447"/>
      <c r="I103" s="445"/>
      <c r="J103" s="266"/>
    </row>
    <row r="104" spans="1:10" ht="25.5">
      <c r="A104" s="460"/>
      <c r="B104" s="37"/>
      <c r="C104" s="461"/>
      <c r="D104" s="442"/>
      <c r="E104" s="387" t="s">
        <v>824</v>
      </c>
      <c r="F104" s="448">
        <f>(1.1*0.75-3.14*0.15*0.15)*81.03+(1.25*0.85-3.14*0.2*0.2)*88.79</f>
        <v>144.31233150000003</v>
      </c>
      <c r="G104" s="36"/>
      <c r="H104" s="447"/>
      <c r="I104" s="445"/>
      <c r="J104" s="266"/>
    </row>
    <row r="105" spans="1:10">
      <c r="A105" s="460"/>
      <c r="B105" s="37"/>
      <c r="C105" s="461"/>
      <c r="D105" s="442"/>
      <c r="E105" s="749" t="s">
        <v>825</v>
      </c>
      <c r="F105" s="752">
        <f>(1*0.6-3.14*0.1*0.1)*89.37</f>
        <v>50.815781999999999</v>
      </c>
      <c r="G105" s="36"/>
      <c r="H105" s="447"/>
      <c r="I105" s="445"/>
      <c r="J105" s="266"/>
    </row>
    <row r="106" spans="1:10">
      <c r="A106" s="460"/>
      <c r="B106" s="37"/>
      <c r="C106" s="461"/>
      <c r="D106" s="442"/>
      <c r="E106" s="387" t="s">
        <v>115</v>
      </c>
      <c r="F106" s="464">
        <f>SUM(F104:F105)</f>
        <v>195.12811350000004</v>
      </c>
      <c r="G106" s="36"/>
      <c r="H106" s="447"/>
      <c r="I106" s="445"/>
      <c r="J106" s="266"/>
    </row>
    <row r="107" spans="1:10">
      <c r="A107" s="460"/>
      <c r="B107" s="37"/>
      <c r="C107" s="461"/>
      <c r="D107" s="442"/>
      <c r="E107" s="387"/>
      <c r="F107" s="464"/>
      <c r="G107" s="36"/>
      <c r="H107" s="447"/>
      <c r="I107" s="445"/>
      <c r="J107" s="266"/>
    </row>
    <row r="108" spans="1:10">
      <c r="A108" s="460"/>
      <c r="B108" s="37"/>
      <c r="C108" s="461"/>
      <c r="D108" s="442"/>
      <c r="E108" s="387" t="s">
        <v>803</v>
      </c>
      <c r="F108" s="464"/>
      <c r="G108" s="36"/>
      <c r="H108" s="447"/>
      <c r="I108" s="445"/>
      <c r="J108" s="266"/>
    </row>
    <row r="109" spans="1:10">
      <c r="A109" s="460"/>
      <c r="B109" s="37"/>
      <c r="C109" s="461"/>
      <c r="D109" s="442"/>
      <c r="E109" s="387" t="s">
        <v>826</v>
      </c>
      <c r="F109" s="464">
        <f>(1.1*0.75-3.14*0.15*0.15)*32.3</f>
        <v>24.365504999999999</v>
      </c>
      <c r="G109" s="36"/>
      <c r="H109" s="447"/>
      <c r="I109" s="445"/>
      <c r="J109" s="266"/>
    </row>
    <row r="110" spans="1:10">
      <c r="A110" s="460"/>
      <c r="B110" s="37"/>
      <c r="C110" s="461"/>
      <c r="D110" s="442"/>
      <c r="E110" s="387" t="s">
        <v>827</v>
      </c>
      <c r="F110" s="464">
        <v>0</v>
      </c>
      <c r="G110" s="36"/>
      <c r="H110" s="447"/>
      <c r="I110" s="445"/>
      <c r="J110" s="266"/>
    </row>
    <row r="111" spans="1:10">
      <c r="A111" s="460"/>
      <c r="B111" s="37"/>
      <c r="C111" s="461"/>
      <c r="D111" s="442"/>
      <c r="E111" s="387"/>
      <c r="F111" s="464"/>
      <c r="G111" s="36"/>
      <c r="H111" s="447"/>
      <c r="I111" s="445"/>
      <c r="J111" s="266"/>
    </row>
    <row r="112" spans="1:10">
      <c r="A112" s="460"/>
      <c r="B112" s="37"/>
      <c r="C112" s="461"/>
      <c r="D112" s="442"/>
      <c r="E112" s="387" t="s">
        <v>828</v>
      </c>
      <c r="F112" s="789">
        <f>F106+F109+F110</f>
        <v>219.49361850000003</v>
      </c>
      <c r="G112" s="36"/>
      <c r="H112" s="447"/>
      <c r="I112" s="445"/>
      <c r="J112" s="266"/>
    </row>
    <row r="113" spans="1:10">
      <c r="A113" s="421"/>
      <c r="B113" s="434"/>
      <c r="C113" s="434"/>
      <c r="D113" s="422"/>
      <c r="E113" s="423"/>
      <c r="F113" s="424"/>
      <c r="G113" s="465"/>
      <c r="H113" s="786"/>
      <c r="I113" s="437"/>
      <c r="J113" s="266"/>
    </row>
    <row r="114" spans="1:10">
      <c r="A114" s="25">
        <f>MAX(A$1:A113)+1</f>
        <v>10</v>
      </c>
      <c r="B114" s="457"/>
      <c r="C114" s="26" t="s">
        <v>829</v>
      </c>
      <c r="D114" s="27"/>
      <c r="E114" s="28" t="s">
        <v>830</v>
      </c>
      <c r="F114" s="466"/>
      <c r="G114" s="30" t="s">
        <v>8</v>
      </c>
      <c r="H114" s="732">
        <v>231.47</v>
      </c>
      <c r="I114" s="507"/>
      <c r="J114" s="266">
        <f>I114*H114</f>
        <v>0</v>
      </c>
    </row>
    <row r="115" spans="1:10" ht="25.5">
      <c r="A115" s="460"/>
      <c r="B115" s="467"/>
      <c r="C115" s="39"/>
      <c r="D115" s="442" t="s">
        <v>831</v>
      </c>
      <c r="E115" s="34" t="s">
        <v>832</v>
      </c>
      <c r="F115" s="468"/>
      <c r="G115" s="36" t="s">
        <v>8</v>
      </c>
      <c r="H115" s="734">
        <v>231.47</v>
      </c>
      <c r="I115" s="527"/>
      <c r="J115" s="266"/>
    </row>
    <row r="116" spans="1:10" ht="25.5">
      <c r="A116" s="460"/>
      <c r="B116" s="467"/>
      <c r="C116" s="39"/>
      <c r="D116" s="442"/>
      <c r="E116" s="469" t="s">
        <v>833</v>
      </c>
      <c r="F116" s="468"/>
      <c r="G116" s="36"/>
      <c r="H116" s="447"/>
      <c r="I116" s="445"/>
      <c r="J116" s="266"/>
    </row>
    <row r="117" spans="1:10">
      <c r="A117" s="421"/>
      <c r="B117" s="422"/>
      <c r="C117" s="434"/>
      <c r="D117" s="422"/>
      <c r="E117" s="469" t="s">
        <v>834</v>
      </c>
      <c r="F117" s="424">
        <f>F97</f>
        <v>231.47412499999999</v>
      </c>
      <c r="G117" s="465"/>
      <c r="H117" s="786"/>
      <c r="I117" s="437"/>
      <c r="J117" s="266"/>
    </row>
    <row r="118" spans="1:10">
      <c r="A118" s="421"/>
      <c r="B118" s="422"/>
      <c r="C118" s="470"/>
      <c r="D118" s="471"/>
      <c r="E118" s="469"/>
      <c r="F118" s="435"/>
      <c r="G118" s="472"/>
      <c r="H118" s="786"/>
      <c r="I118" s="437"/>
      <c r="J118" s="266"/>
    </row>
    <row r="119" spans="1:10">
      <c r="A119" s="25">
        <f>MAX(A$1:A118)+1</f>
        <v>11</v>
      </c>
      <c r="B119" s="422"/>
      <c r="C119" s="26" t="s">
        <v>835</v>
      </c>
      <c r="D119" s="27"/>
      <c r="E119" s="28" t="s">
        <v>836</v>
      </c>
      <c r="F119" s="28"/>
      <c r="G119" s="30" t="s">
        <v>8</v>
      </c>
      <c r="H119" s="790">
        <v>831.63</v>
      </c>
      <c r="I119" s="507"/>
      <c r="J119" s="266">
        <f>I119*H119</f>
        <v>0</v>
      </c>
    </row>
    <row r="120" spans="1:10" ht="25.5">
      <c r="A120" s="473"/>
      <c r="B120" s="474"/>
      <c r="C120" s="39"/>
      <c r="D120" s="33" t="s">
        <v>837</v>
      </c>
      <c r="E120" s="34" t="s">
        <v>838</v>
      </c>
      <c r="F120" s="34"/>
      <c r="G120" s="36" t="s">
        <v>8</v>
      </c>
      <c r="H120" s="791">
        <v>831.63</v>
      </c>
      <c r="I120" s="527"/>
      <c r="J120" s="266"/>
    </row>
    <row r="121" spans="1:10">
      <c r="A121" s="473"/>
      <c r="B121" s="474"/>
      <c r="C121" s="474"/>
      <c r="D121" s="474"/>
      <c r="E121" s="387" t="s">
        <v>118</v>
      </c>
      <c r="F121" s="475">
        <f>F76</f>
        <v>831.62999999999988</v>
      </c>
      <c r="G121" s="476"/>
      <c r="H121" s="792"/>
      <c r="I121" s="437"/>
      <c r="J121" s="266"/>
    </row>
    <row r="122" spans="1:10">
      <c r="A122" s="473"/>
      <c r="B122" s="474"/>
      <c r="C122" s="474"/>
      <c r="D122" s="474"/>
      <c r="E122" s="387"/>
      <c r="F122" s="448"/>
      <c r="G122" s="476"/>
      <c r="H122" s="792"/>
      <c r="I122" s="437"/>
      <c r="J122" s="266"/>
    </row>
    <row r="123" spans="1:10">
      <c r="A123" s="473"/>
      <c r="B123" s="474"/>
      <c r="C123" s="474"/>
      <c r="D123" s="474"/>
      <c r="E123" s="477"/>
      <c r="F123" s="475"/>
      <c r="G123" s="478"/>
      <c r="H123" s="786"/>
      <c r="I123" s="437"/>
      <c r="J123" s="266"/>
    </row>
    <row r="124" spans="1:10">
      <c r="A124" s="25">
        <f>MAX(A$1:A123)+1</f>
        <v>12</v>
      </c>
      <c r="B124" s="474"/>
      <c r="C124" s="26" t="s">
        <v>127</v>
      </c>
      <c r="D124" s="27"/>
      <c r="E124" s="28" t="s">
        <v>839</v>
      </c>
      <c r="F124" s="479"/>
      <c r="G124" s="480" t="s">
        <v>8</v>
      </c>
      <c r="H124" s="790">
        <v>1063.0999999999999</v>
      </c>
      <c r="I124" s="507"/>
      <c r="J124" s="266">
        <f>I124*H124</f>
        <v>0</v>
      </c>
    </row>
    <row r="125" spans="1:10" ht="25.5">
      <c r="A125" s="473"/>
      <c r="B125" s="474"/>
      <c r="C125" s="39"/>
      <c r="D125" s="33" t="s">
        <v>129</v>
      </c>
      <c r="E125" s="34" t="s">
        <v>130</v>
      </c>
      <c r="F125" s="481"/>
      <c r="G125" s="440" t="s">
        <v>8</v>
      </c>
      <c r="H125" s="791">
        <v>1063.0999999999999</v>
      </c>
      <c r="I125" s="527"/>
      <c r="J125" s="266"/>
    </row>
    <row r="126" spans="1:10">
      <c r="A126" s="473"/>
      <c r="B126" s="474"/>
      <c r="C126" s="474"/>
      <c r="D126" s="474"/>
      <c r="E126" s="477"/>
      <c r="F126" s="435">
        <f>F117+F121</f>
        <v>1063.1041249999998</v>
      </c>
      <c r="G126" s="472"/>
      <c r="H126" s="786"/>
      <c r="I126" s="437"/>
      <c r="J126" s="266"/>
    </row>
    <row r="127" spans="1:10">
      <c r="A127" s="473"/>
      <c r="B127" s="474"/>
      <c r="C127" s="474"/>
      <c r="D127" s="474"/>
      <c r="E127" s="477"/>
      <c r="F127" s="424"/>
      <c r="G127" s="472"/>
      <c r="H127" s="786"/>
      <c r="I127" s="437"/>
      <c r="J127" s="266"/>
    </row>
    <row r="128" spans="1:10" ht="25.5">
      <c r="A128" s="25">
        <f>MAX(A$1:A127)+1</f>
        <v>13</v>
      </c>
      <c r="B128" s="474"/>
      <c r="C128" s="482" t="s">
        <v>840</v>
      </c>
      <c r="D128" s="471"/>
      <c r="E128" s="483" t="s">
        <v>841</v>
      </c>
      <c r="F128" s="452"/>
      <c r="G128" s="484" t="s">
        <v>842</v>
      </c>
      <c r="H128" s="790">
        <v>1288.3800000000001</v>
      </c>
      <c r="I128" s="507"/>
      <c r="J128" s="266">
        <f>I128*H128</f>
        <v>0</v>
      </c>
    </row>
    <row r="129" spans="1:10" ht="25.5">
      <c r="A129" s="421"/>
      <c r="B129" s="470"/>
      <c r="C129" s="474"/>
      <c r="D129" s="471" t="s">
        <v>843</v>
      </c>
      <c r="E129" s="486" t="s">
        <v>844</v>
      </c>
      <c r="F129" s="424"/>
      <c r="G129" s="472" t="s">
        <v>842</v>
      </c>
      <c r="H129" s="791">
        <v>1288.3800000000001</v>
      </c>
      <c r="I129" s="527"/>
      <c r="J129" s="266"/>
    </row>
    <row r="130" spans="1:10">
      <c r="A130" s="421"/>
      <c r="B130" s="470"/>
      <c r="C130" s="474"/>
      <c r="D130" s="471"/>
      <c r="E130" s="34" t="s">
        <v>797</v>
      </c>
      <c r="F130" s="424"/>
      <c r="G130" s="472"/>
      <c r="H130" s="786"/>
      <c r="I130" s="437"/>
      <c r="J130" s="266"/>
    </row>
    <row r="131" spans="1:10" ht="25.5">
      <c r="A131" s="421"/>
      <c r="B131" s="470"/>
      <c r="C131" s="474"/>
      <c r="D131" s="471"/>
      <c r="E131" s="423" t="s">
        <v>845</v>
      </c>
      <c r="F131" s="424">
        <f>2*((2.35+2.03)/2*103.09+(2.03+1.49)/2*81.03)</f>
        <v>736.75980000000004</v>
      </c>
      <c r="G131" s="472"/>
      <c r="H131" s="786"/>
      <c r="I131" s="437"/>
      <c r="J131" s="266"/>
    </row>
    <row r="132" spans="1:10">
      <c r="A132" s="421"/>
      <c r="B132" s="470"/>
      <c r="C132" s="474"/>
      <c r="D132" s="471"/>
      <c r="E132" s="745" t="s">
        <v>846</v>
      </c>
      <c r="F132" s="748">
        <f>2*1.7*122.59</f>
        <v>416.80599999999998</v>
      </c>
      <c r="G132" s="472"/>
      <c r="H132" s="786"/>
      <c r="I132" s="437"/>
      <c r="J132" s="266"/>
    </row>
    <row r="133" spans="1:10">
      <c r="A133" s="421"/>
      <c r="B133" s="470"/>
      <c r="C133" s="474"/>
      <c r="D133" s="471"/>
      <c r="E133" s="469" t="s">
        <v>115</v>
      </c>
      <c r="F133" s="424">
        <f>SUM(F131:F132)</f>
        <v>1153.5658000000001</v>
      </c>
      <c r="G133" s="472"/>
      <c r="H133" s="786"/>
      <c r="I133" s="437"/>
      <c r="J133" s="266"/>
    </row>
    <row r="134" spans="1:10">
      <c r="A134" s="421"/>
      <c r="B134" s="470"/>
      <c r="C134" s="474"/>
      <c r="D134" s="471"/>
      <c r="E134" s="469"/>
      <c r="F134" s="424"/>
      <c r="G134" s="472"/>
      <c r="H134" s="786"/>
      <c r="I134" s="437"/>
      <c r="J134" s="266"/>
    </row>
    <row r="135" spans="1:10">
      <c r="A135" s="421"/>
      <c r="B135" s="470"/>
      <c r="C135" s="474"/>
      <c r="D135" s="471"/>
      <c r="E135" s="34" t="s">
        <v>803</v>
      </c>
      <c r="F135" s="424"/>
      <c r="G135" s="472"/>
      <c r="H135" s="786"/>
      <c r="I135" s="437"/>
      <c r="J135" s="266"/>
    </row>
    <row r="136" spans="1:10">
      <c r="A136" s="421"/>
      <c r="B136" s="470"/>
      <c r="C136" s="474"/>
      <c r="D136" s="471"/>
      <c r="E136" s="423" t="s">
        <v>847</v>
      </c>
      <c r="F136" s="424">
        <f>2*((2.03+1.5)/2*18+(1.5+0.9)/2*14.3)</f>
        <v>97.86</v>
      </c>
      <c r="G136" s="472"/>
      <c r="H136" s="786"/>
      <c r="I136" s="437"/>
      <c r="J136" s="266"/>
    </row>
    <row r="137" spans="1:10">
      <c r="A137" s="421"/>
      <c r="B137" s="470"/>
      <c r="C137" s="474"/>
      <c r="D137" s="471"/>
      <c r="E137" s="745" t="s">
        <v>848</v>
      </c>
      <c r="F137" s="748">
        <f>2*1.7*10.87</f>
        <v>36.957999999999998</v>
      </c>
      <c r="G137" s="472"/>
      <c r="H137" s="786"/>
      <c r="I137" s="437"/>
      <c r="J137" s="266"/>
    </row>
    <row r="138" spans="1:10">
      <c r="A138" s="421"/>
      <c r="B138" s="470"/>
      <c r="C138" s="474"/>
      <c r="D138" s="471"/>
      <c r="E138" s="469" t="s">
        <v>115</v>
      </c>
      <c r="F138" s="424">
        <f>SUM(F136:F137)</f>
        <v>134.81799999999998</v>
      </c>
      <c r="G138" s="472"/>
      <c r="H138" s="786"/>
      <c r="I138" s="437"/>
      <c r="J138" s="266"/>
    </row>
    <row r="139" spans="1:10">
      <c r="A139" s="421"/>
      <c r="B139" s="470"/>
      <c r="C139" s="474"/>
      <c r="D139" s="471"/>
      <c r="E139" s="469"/>
      <c r="F139" s="424"/>
      <c r="G139" s="472"/>
      <c r="H139" s="786"/>
      <c r="I139" s="437"/>
      <c r="J139" s="266"/>
    </row>
    <row r="140" spans="1:10">
      <c r="A140" s="421"/>
      <c r="B140" s="470"/>
      <c r="C140" s="474"/>
      <c r="D140" s="471"/>
      <c r="E140" s="469" t="s">
        <v>849</v>
      </c>
      <c r="F140" s="753">
        <f>SUM(F138+F133)</f>
        <v>1288.3838000000001</v>
      </c>
      <c r="G140" s="472"/>
      <c r="H140" s="786"/>
      <c r="I140" s="437"/>
      <c r="J140" s="266"/>
    </row>
    <row r="141" spans="1:10">
      <c r="A141" s="421"/>
      <c r="B141" s="470"/>
      <c r="C141" s="474"/>
      <c r="D141" s="471"/>
      <c r="E141" s="469"/>
      <c r="F141" s="424"/>
      <c r="G141" s="472"/>
      <c r="H141" s="786"/>
      <c r="I141" s="437"/>
      <c r="J141" s="266"/>
    </row>
    <row r="142" spans="1:10">
      <c r="A142" s="25">
        <f>MAX(A$1:A141)+1</f>
        <v>14</v>
      </c>
      <c r="B142" s="489"/>
      <c r="C142" s="26" t="s">
        <v>850</v>
      </c>
      <c r="D142" s="27"/>
      <c r="E142" s="28" t="s">
        <v>851</v>
      </c>
      <c r="F142" s="29"/>
      <c r="G142" s="30" t="s">
        <v>7</v>
      </c>
      <c r="H142" s="790">
        <v>21.5</v>
      </c>
      <c r="I142" s="507"/>
      <c r="J142" s="266">
        <f>I142*H142</f>
        <v>0</v>
      </c>
    </row>
    <row r="143" spans="1:10" ht="25.5">
      <c r="A143" s="432"/>
      <c r="B143" s="754"/>
      <c r="C143" s="39"/>
      <c r="D143" s="33" t="s">
        <v>852</v>
      </c>
      <c r="E143" s="34" t="s">
        <v>853</v>
      </c>
      <c r="F143" s="35"/>
      <c r="G143" s="36" t="s">
        <v>7</v>
      </c>
      <c r="H143" s="791">
        <v>21.5</v>
      </c>
      <c r="I143" s="527"/>
      <c r="J143" s="266"/>
    </row>
    <row r="144" spans="1:10">
      <c r="A144" s="421"/>
      <c r="B144" s="470"/>
      <c r="C144" s="474"/>
      <c r="D144" s="471"/>
      <c r="E144" s="469" t="s">
        <v>854</v>
      </c>
      <c r="F144" s="424">
        <v>21.5</v>
      </c>
      <c r="G144" s="472"/>
      <c r="H144" s="786"/>
      <c r="I144" s="437"/>
      <c r="J144" s="266"/>
    </row>
    <row r="145" spans="1:10">
      <c r="A145" s="421"/>
      <c r="B145" s="470"/>
      <c r="C145" s="474"/>
      <c r="D145" s="471"/>
      <c r="E145" s="469" t="s">
        <v>855</v>
      </c>
      <c r="F145" s="424"/>
      <c r="G145" s="472"/>
      <c r="H145" s="786"/>
      <c r="I145" s="437"/>
      <c r="J145" s="266"/>
    </row>
    <row r="146" spans="1:10">
      <c r="A146" s="421"/>
      <c r="B146" s="470"/>
      <c r="C146" s="474"/>
      <c r="D146" s="471"/>
      <c r="E146" s="469"/>
      <c r="F146" s="424"/>
      <c r="G146" s="472"/>
      <c r="H146" s="786"/>
      <c r="I146" s="437"/>
      <c r="J146" s="266"/>
    </row>
    <row r="147" spans="1:10">
      <c r="A147" s="421"/>
      <c r="B147" s="470"/>
      <c r="C147" s="474"/>
      <c r="D147" s="471"/>
      <c r="E147" s="469"/>
      <c r="F147" s="424"/>
      <c r="G147" s="472"/>
      <c r="H147" s="786"/>
      <c r="I147" s="437"/>
      <c r="J147" s="266"/>
    </row>
    <row r="148" spans="1:10">
      <c r="A148" s="755"/>
      <c r="B148" s="280" t="s">
        <v>856</v>
      </c>
      <c r="C148" s="280"/>
      <c r="D148" s="282"/>
      <c r="E148" s="251" t="s">
        <v>956</v>
      </c>
      <c r="F148" s="459"/>
      <c r="G148" s="30"/>
      <c r="H148" s="793"/>
      <c r="I148" s="756"/>
      <c r="J148" s="266"/>
    </row>
    <row r="149" spans="1:10">
      <c r="A149" s="755"/>
      <c r="B149" s="500"/>
      <c r="C149" s="500"/>
      <c r="D149" s="282"/>
      <c r="E149" s="251"/>
      <c r="F149" s="459"/>
      <c r="G149" s="30"/>
      <c r="H149" s="793"/>
      <c r="I149" s="756"/>
      <c r="J149" s="266"/>
    </row>
    <row r="150" spans="1:10">
      <c r="A150" s="25">
        <f>MAX(A$1:A148)+1</f>
        <v>15</v>
      </c>
      <c r="B150" s="457"/>
      <c r="C150" s="757" t="s">
        <v>829</v>
      </c>
      <c r="D150" s="27"/>
      <c r="E150" s="28" t="s">
        <v>857</v>
      </c>
      <c r="F150" s="459"/>
      <c r="G150" s="30" t="s">
        <v>8</v>
      </c>
      <c r="H150" s="790">
        <v>15.44</v>
      </c>
      <c r="I150" s="507"/>
      <c r="J150" s="266">
        <f>I150*H150</f>
        <v>0</v>
      </c>
    </row>
    <row r="151" spans="1:10" ht="25.5">
      <c r="A151" s="758"/>
      <c r="B151" s="467"/>
      <c r="C151" s="461"/>
      <c r="D151" s="33" t="s">
        <v>831</v>
      </c>
      <c r="E151" s="34" t="s">
        <v>832</v>
      </c>
      <c r="F151" s="463"/>
      <c r="G151" s="36" t="s">
        <v>8</v>
      </c>
      <c r="H151" s="791">
        <v>15.44</v>
      </c>
      <c r="I151" s="527"/>
      <c r="J151" s="266"/>
    </row>
    <row r="152" spans="1:10">
      <c r="A152" s="733"/>
      <c r="B152" s="759"/>
      <c r="C152" s="760"/>
      <c r="D152" s="27"/>
      <c r="E152" s="387" t="s">
        <v>858</v>
      </c>
      <c r="F152" s="443">
        <f>F29</f>
        <v>15.436574999999999</v>
      </c>
      <c r="G152" s="30"/>
      <c r="H152" s="782"/>
      <c r="I152" s="445"/>
      <c r="J152" s="266"/>
    </row>
    <row r="153" spans="1:10">
      <c r="A153" s="733"/>
      <c r="B153" s="759"/>
      <c r="C153" s="760"/>
      <c r="D153" s="27"/>
      <c r="E153" s="28"/>
      <c r="F153" s="761"/>
      <c r="G153" s="30"/>
      <c r="H153" s="782"/>
      <c r="I153" s="445"/>
      <c r="J153" s="266"/>
    </row>
    <row r="154" spans="1:10">
      <c r="A154" s="25">
        <f>MAX(A$1:A153)+1</f>
        <v>16</v>
      </c>
      <c r="B154" s="457"/>
      <c r="C154" s="757" t="s">
        <v>127</v>
      </c>
      <c r="D154" s="27"/>
      <c r="E154" s="28" t="s">
        <v>839</v>
      </c>
      <c r="F154" s="761"/>
      <c r="G154" s="30" t="s">
        <v>8</v>
      </c>
      <c r="H154" s="790">
        <v>15.44</v>
      </c>
      <c r="I154" s="507"/>
      <c r="J154" s="266">
        <f>I154*H154</f>
        <v>0</v>
      </c>
    </row>
    <row r="155" spans="1:10" ht="25.5">
      <c r="A155" s="758"/>
      <c r="B155" s="467"/>
      <c r="C155" s="461"/>
      <c r="D155" s="33" t="s">
        <v>129</v>
      </c>
      <c r="E155" s="34" t="s">
        <v>130</v>
      </c>
      <c r="F155" s="762"/>
      <c r="G155" s="36" t="s">
        <v>8</v>
      </c>
      <c r="H155" s="791">
        <v>15.44</v>
      </c>
      <c r="I155" s="527"/>
      <c r="J155" s="266"/>
    </row>
    <row r="156" spans="1:10">
      <c r="A156" s="421"/>
      <c r="B156" s="422"/>
      <c r="C156" s="422"/>
      <c r="D156" s="434"/>
      <c r="E156" s="387" t="s">
        <v>859</v>
      </c>
      <c r="F156" s="443">
        <f>F152</f>
        <v>15.436574999999999</v>
      </c>
      <c r="G156" s="465"/>
      <c r="H156" s="786"/>
      <c r="I156" s="437"/>
      <c r="J156" s="266"/>
    </row>
    <row r="157" spans="1:10">
      <c r="A157" s="421"/>
      <c r="B157" s="422"/>
      <c r="C157" s="422"/>
      <c r="D157" s="434"/>
      <c r="E157" s="387"/>
      <c r="F157" s="762"/>
      <c r="G157" s="465"/>
      <c r="H157" s="786"/>
      <c r="I157" s="437"/>
      <c r="J157" s="266"/>
    </row>
    <row r="158" spans="1:10" ht="25.5">
      <c r="A158" s="25">
        <f>MAX(A$1:A157)+1</f>
        <v>17</v>
      </c>
      <c r="B158" s="457"/>
      <c r="C158" s="757" t="s">
        <v>295</v>
      </c>
      <c r="D158" s="27"/>
      <c r="E158" s="28" t="s">
        <v>296</v>
      </c>
      <c r="F158" s="761"/>
      <c r="G158" s="30" t="s">
        <v>2</v>
      </c>
      <c r="H158" s="790">
        <v>102.91</v>
      </c>
      <c r="I158" s="507"/>
      <c r="J158" s="266">
        <f>I158*H158</f>
        <v>0</v>
      </c>
    </row>
    <row r="159" spans="1:10" ht="25.5">
      <c r="A159" s="758"/>
      <c r="B159" s="467"/>
      <c r="C159" s="461"/>
      <c r="D159" s="33" t="s">
        <v>297</v>
      </c>
      <c r="E159" s="34" t="s">
        <v>298</v>
      </c>
      <c r="F159" s="762"/>
      <c r="G159" s="36" t="s">
        <v>2</v>
      </c>
      <c r="H159" s="791">
        <v>102.91</v>
      </c>
      <c r="I159" s="527"/>
      <c r="J159" s="266"/>
    </row>
    <row r="160" spans="1:10">
      <c r="A160" s="421"/>
      <c r="B160" s="422"/>
      <c r="C160" s="422"/>
      <c r="D160" s="434"/>
      <c r="E160" s="469"/>
      <c r="F160" s="744">
        <f>F156/0.15</f>
        <v>102.9105</v>
      </c>
      <c r="G160" s="465"/>
      <c r="H160" s="786"/>
      <c r="I160" s="437"/>
      <c r="J160" s="266"/>
    </row>
    <row r="161" spans="1:10">
      <c r="A161" s="421"/>
      <c r="B161" s="422"/>
      <c r="C161" s="422"/>
      <c r="D161" s="434"/>
      <c r="E161" s="387"/>
      <c r="F161" s="762"/>
      <c r="G161" s="465"/>
      <c r="H161" s="786"/>
      <c r="I161" s="437"/>
      <c r="J161" s="266"/>
    </row>
    <row r="162" spans="1:10" ht="25.5">
      <c r="A162" s="25">
        <f>MAX(A$1:A161)+1</f>
        <v>18</v>
      </c>
      <c r="B162" s="457"/>
      <c r="C162" s="757" t="s">
        <v>860</v>
      </c>
      <c r="D162" s="27"/>
      <c r="E162" s="28" t="s">
        <v>861</v>
      </c>
      <c r="F162" s="761"/>
      <c r="G162" s="30" t="s">
        <v>2</v>
      </c>
      <c r="H162" s="790">
        <v>102.91</v>
      </c>
      <c r="I162" s="507"/>
      <c r="J162" s="266">
        <f>I162*H162</f>
        <v>0</v>
      </c>
    </row>
    <row r="163" spans="1:10" ht="25.5">
      <c r="A163" s="758"/>
      <c r="B163" s="37"/>
      <c r="C163" s="39"/>
      <c r="D163" s="33" t="s">
        <v>862</v>
      </c>
      <c r="E163" s="34" t="s">
        <v>863</v>
      </c>
      <c r="F163" s="443"/>
      <c r="G163" s="36" t="s">
        <v>2</v>
      </c>
      <c r="H163" s="791">
        <v>102.91</v>
      </c>
      <c r="I163" s="527"/>
      <c r="J163" s="266"/>
    </row>
    <row r="164" spans="1:10">
      <c r="A164" s="421"/>
      <c r="B164" s="434"/>
      <c r="C164" s="434"/>
      <c r="D164" s="434"/>
      <c r="E164" s="469"/>
      <c r="F164" s="424"/>
      <c r="G164" s="465"/>
      <c r="H164" s="786"/>
      <c r="I164" s="437"/>
      <c r="J164" s="266"/>
    </row>
    <row r="165" spans="1:10">
      <c r="A165" s="763"/>
      <c r="B165" s="434"/>
      <c r="C165" s="434"/>
      <c r="D165" s="434"/>
      <c r="E165" s="469"/>
      <c r="F165" s="794"/>
      <c r="G165" s="465"/>
      <c r="H165" s="786"/>
      <c r="I165" s="437"/>
      <c r="J165" s="266"/>
    </row>
    <row r="166" spans="1:10">
      <c r="A166" s="764"/>
      <c r="B166" s="280" t="s">
        <v>131</v>
      </c>
      <c r="C166" s="280"/>
      <c r="D166" s="282"/>
      <c r="E166" s="251" t="s">
        <v>132</v>
      </c>
      <c r="F166" s="795"/>
      <c r="G166" s="285"/>
      <c r="H166" s="731"/>
      <c r="I166" s="437"/>
      <c r="J166" s="266"/>
    </row>
    <row r="167" spans="1:10">
      <c r="A167" s="421"/>
      <c r="B167" s="434"/>
      <c r="C167" s="434"/>
      <c r="D167" s="434"/>
      <c r="E167" s="469"/>
      <c r="F167" s="424"/>
      <c r="G167" s="465"/>
      <c r="H167" s="786"/>
      <c r="I167" s="437"/>
      <c r="J167" s="266"/>
    </row>
    <row r="168" spans="1:10" ht="25.5">
      <c r="A168" s="25">
        <f>MAX(A$1:A167)+1</f>
        <v>19</v>
      </c>
      <c r="B168" s="430"/>
      <c r="C168" s="26" t="s">
        <v>133</v>
      </c>
      <c r="D168" s="27"/>
      <c r="E168" s="28" t="s">
        <v>134</v>
      </c>
      <c r="F168" s="29"/>
      <c r="G168" s="30" t="s">
        <v>2</v>
      </c>
      <c r="H168" s="765">
        <v>0.72</v>
      </c>
      <c r="I168" s="507"/>
      <c r="J168" s="266">
        <f>I168*H168</f>
        <v>0</v>
      </c>
    </row>
    <row r="169" spans="1:10" ht="25.5">
      <c r="A169" s="432"/>
      <c r="B169" s="314"/>
      <c r="C169" s="39"/>
      <c r="D169" s="33" t="s">
        <v>135</v>
      </c>
      <c r="E169" s="34" t="s">
        <v>136</v>
      </c>
      <c r="F169" s="35"/>
      <c r="G169" s="36" t="s">
        <v>2</v>
      </c>
      <c r="H169" s="731">
        <v>0.72</v>
      </c>
      <c r="I169" s="527"/>
      <c r="J169" s="266"/>
    </row>
    <row r="170" spans="1:10">
      <c r="A170" s="421"/>
      <c r="B170" s="434"/>
      <c r="C170" s="434"/>
      <c r="D170" s="434"/>
      <c r="E170" s="387" t="s">
        <v>864</v>
      </c>
      <c r="F170" s="424"/>
      <c r="G170" s="465"/>
      <c r="H170" s="786"/>
      <c r="I170" s="437"/>
      <c r="J170" s="266"/>
    </row>
    <row r="171" spans="1:10">
      <c r="A171" s="421"/>
      <c r="B171" s="434"/>
      <c r="C171" s="434"/>
      <c r="D171" s="434"/>
      <c r="E171" s="469"/>
      <c r="F171" s="424"/>
      <c r="G171" s="465"/>
      <c r="H171" s="786"/>
      <c r="I171" s="437"/>
      <c r="J171" s="266"/>
    </row>
    <row r="172" spans="1:10">
      <c r="A172" s="763"/>
      <c r="B172" s="434"/>
      <c r="C172" s="434"/>
      <c r="D172" s="434"/>
      <c r="E172" s="469"/>
      <c r="F172" s="794"/>
      <c r="G172" s="465"/>
      <c r="H172" s="786"/>
      <c r="I172" s="437"/>
      <c r="J172" s="266"/>
    </row>
    <row r="173" spans="1:10" ht="25.5">
      <c r="A173" s="764"/>
      <c r="B173" s="280" t="s">
        <v>315</v>
      </c>
      <c r="C173" s="280"/>
      <c r="D173" s="282"/>
      <c r="E173" s="251" t="s">
        <v>316</v>
      </c>
      <c r="F173" s="795"/>
      <c r="G173" s="285"/>
      <c r="H173" s="731"/>
      <c r="I173" s="222"/>
      <c r="J173" s="266"/>
    </row>
    <row r="174" spans="1:10">
      <c r="A174" s="421"/>
      <c r="B174" s="729"/>
      <c r="C174" s="422"/>
      <c r="D174" s="434"/>
      <c r="E174" s="483"/>
      <c r="F174" s="452"/>
      <c r="G174" s="465"/>
      <c r="H174" s="786"/>
      <c r="I174" s="437"/>
      <c r="J174" s="266"/>
    </row>
    <row r="175" spans="1:10" ht="25.5">
      <c r="A175" s="25">
        <f>MAX(A$1:A174)+1</f>
        <v>20</v>
      </c>
      <c r="B175" s="430"/>
      <c r="C175" s="26" t="s">
        <v>865</v>
      </c>
      <c r="D175" s="27"/>
      <c r="E175" s="28" t="s">
        <v>866</v>
      </c>
      <c r="F175" s="29"/>
      <c r="G175" s="30" t="s">
        <v>8</v>
      </c>
      <c r="H175" s="732">
        <v>2.66</v>
      </c>
      <c r="I175" s="507"/>
      <c r="J175" s="266">
        <f>I175*H175</f>
        <v>0</v>
      </c>
    </row>
    <row r="176" spans="1:10" ht="25.5">
      <c r="A176" s="460"/>
      <c r="B176" s="467"/>
      <c r="C176" s="39"/>
      <c r="D176" s="389" t="s">
        <v>867</v>
      </c>
      <c r="E176" s="390" t="s">
        <v>868</v>
      </c>
      <c r="F176" s="390"/>
      <c r="G176" s="24" t="s">
        <v>8</v>
      </c>
      <c r="H176" s="734">
        <v>2.66</v>
      </c>
      <c r="I176" s="527"/>
      <c r="J176" s="266"/>
    </row>
    <row r="177" spans="1:10">
      <c r="A177" s="460"/>
      <c r="B177" s="383"/>
      <c r="C177" s="757"/>
      <c r="D177" s="27"/>
      <c r="E177" s="387" t="s">
        <v>869</v>
      </c>
      <c r="F177" s="766"/>
      <c r="G177" s="30"/>
      <c r="H177" s="447"/>
      <c r="I177" s="445"/>
      <c r="J177" s="266"/>
    </row>
    <row r="178" spans="1:10">
      <c r="A178" s="460"/>
      <c r="B178" s="457"/>
      <c r="C178" s="757"/>
      <c r="D178" s="27"/>
      <c r="E178" s="387" t="s">
        <v>870</v>
      </c>
      <c r="F178" s="796">
        <f>1.6*1.6*0.1*6</f>
        <v>1.5360000000000005</v>
      </c>
      <c r="G178" s="30"/>
      <c r="H178" s="447"/>
      <c r="I178" s="445"/>
      <c r="J178" s="266"/>
    </row>
    <row r="179" spans="1:10">
      <c r="A179" s="460"/>
      <c r="B179" s="457"/>
      <c r="C179" s="757"/>
      <c r="D179" s="27"/>
      <c r="E179" s="387" t="s">
        <v>871</v>
      </c>
      <c r="F179" s="796">
        <f>1.8*1.8*0.1+1.6*1.6*0.1</f>
        <v>0.58000000000000007</v>
      </c>
      <c r="G179" s="30"/>
      <c r="H179" s="447"/>
      <c r="I179" s="445"/>
      <c r="J179" s="266"/>
    </row>
    <row r="180" spans="1:10">
      <c r="A180" s="460"/>
      <c r="B180" s="457"/>
      <c r="C180" s="757"/>
      <c r="D180" s="27"/>
      <c r="E180" s="387"/>
      <c r="F180" s="796"/>
      <c r="G180" s="30"/>
      <c r="H180" s="447"/>
      <c r="I180" s="445"/>
      <c r="J180" s="266"/>
    </row>
    <row r="181" spans="1:10">
      <c r="A181" s="460"/>
      <c r="B181" s="383"/>
      <c r="C181" s="757"/>
      <c r="D181" s="27"/>
      <c r="E181" s="387" t="s">
        <v>872</v>
      </c>
      <c r="F181" s="766"/>
      <c r="G181" s="30"/>
      <c r="H181" s="447"/>
      <c r="I181" s="445"/>
      <c r="J181" s="266"/>
    </row>
    <row r="182" spans="1:10">
      <c r="A182" s="460"/>
      <c r="B182" s="457"/>
      <c r="C182" s="757"/>
      <c r="D182" s="27"/>
      <c r="E182" s="387" t="s">
        <v>873</v>
      </c>
      <c r="F182" s="796">
        <f>0.6*0.6*0.1*14</f>
        <v>0.504</v>
      </c>
      <c r="G182" s="30"/>
      <c r="H182" s="447"/>
      <c r="I182" s="445"/>
      <c r="J182" s="266"/>
    </row>
    <row r="183" spans="1:10">
      <c r="A183" s="460"/>
      <c r="B183" s="457"/>
      <c r="C183" s="757"/>
      <c r="D183" s="27"/>
      <c r="E183" s="387" t="s">
        <v>874</v>
      </c>
      <c r="F183" s="797">
        <f>0.6*0.6*0.1</f>
        <v>3.5999999999999997E-2</v>
      </c>
      <c r="G183" s="30"/>
      <c r="H183" s="447"/>
      <c r="I183" s="445"/>
      <c r="J183" s="266"/>
    </row>
    <row r="184" spans="1:10">
      <c r="A184" s="460"/>
      <c r="B184" s="457"/>
      <c r="C184" s="757"/>
      <c r="D184" s="27"/>
      <c r="E184" s="387"/>
      <c r="F184" s="796"/>
      <c r="G184" s="30"/>
      <c r="H184" s="447"/>
      <c r="I184" s="445"/>
      <c r="J184" s="266"/>
    </row>
    <row r="185" spans="1:10">
      <c r="A185" s="460"/>
      <c r="B185" s="457"/>
      <c r="C185" s="757"/>
      <c r="D185" s="27"/>
      <c r="E185" s="387" t="s">
        <v>875</v>
      </c>
      <c r="F185" s="798">
        <f>SUM(F178:F183)</f>
        <v>2.6560000000000006</v>
      </c>
      <c r="G185" s="30"/>
      <c r="H185" s="447"/>
      <c r="I185" s="445"/>
      <c r="J185" s="266"/>
    </row>
    <row r="186" spans="1:10">
      <c r="A186" s="460"/>
      <c r="B186" s="457"/>
      <c r="C186" s="757"/>
      <c r="D186" s="27"/>
      <c r="E186" s="387"/>
      <c r="F186" s="448"/>
      <c r="G186" s="30"/>
      <c r="H186" s="447"/>
      <c r="I186" s="445"/>
      <c r="J186" s="266"/>
    </row>
    <row r="187" spans="1:10" ht="25.5">
      <c r="A187" s="25">
        <f>MAX(A$1:A177)+1</f>
        <v>21</v>
      </c>
      <c r="B187" s="457"/>
      <c r="C187" s="26" t="s">
        <v>876</v>
      </c>
      <c r="D187" s="27"/>
      <c r="E187" s="28" t="s">
        <v>877</v>
      </c>
      <c r="F187" s="28"/>
      <c r="G187" s="30" t="s">
        <v>8</v>
      </c>
      <c r="H187" s="732">
        <v>3.95</v>
      </c>
      <c r="I187" s="507"/>
      <c r="J187" s="266">
        <f>I187*H187</f>
        <v>0</v>
      </c>
    </row>
    <row r="188" spans="1:10" ht="25.5">
      <c r="A188" s="432"/>
      <c r="B188" s="430"/>
      <c r="C188" s="27"/>
      <c r="D188" s="389" t="s">
        <v>878</v>
      </c>
      <c r="E188" s="390" t="s">
        <v>879</v>
      </c>
      <c r="F188" s="391"/>
      <c r="G188" s="24" t="s">
        <v>8</v>
      </c>
      <c r="H188" s="734">
        <v>3.95</v>
      </c>
      <c r="I188" s="527"/>
      <c r="J188" s="266"/>
    </row>
    <row r="189" spans="1:10">
      <c r="A189" s="460"/>
      <c r="B189" s="383"/>
      <c r="C189" s="757"/>
      <c r="D189" s="27"/>
      <c r="E189" s="387" t="s">
        <v>880</v>
      </c>
      <c r="F189" s="448">
        <f>7.6*2.6*0.2</f>
        <v>3.952</v>
      </c>
      <c r="G189" s="30"/>
      <c r="H189" s="447"/>
      <c r="I189" s="445"/>
      <c r="J189" s="266"/>
    </row>
    <row r="190" spans="1:10">
      <c r="A190" s="460"/>
      <c r="B190" s="457"/>
      <c r="C190" s="757"/>
      <c r="D190" s="27"/>
      <c r="E190" s="387"/>
      <c r="F190" s="466"/>
      <c r="G190" s="30"/>
      <c r="H190" s="447"/>
      <c r="I190" s="445"/>
      <c r="J190" s="266"/>
    </row>
    <row r="191" spans="1:10" ht="25.5">
      <c r="A191" s="25">
        <f>MAX(A$1:A190)+1</f>
        <v>22</v>
      </c>
      <c r="B191" s="457"/>
      <c r="C191" s="26" t="s">
        <v>881</v>
      </c>
      <c r="D191" s="27"/>
      <c r="E191" s="28" t="s">
        <v>882</v>
      </c>
      <c r="F191" s="28"/>
      <c r="G191" s="30" t="s">
        <v>2</v>
      </c>
      <c r="H191" s="732">
        <v>12.88</v>
      </c>
      <c r="I191" s="507"/>
      <c r="J191" s="266">
        <f>I191*H191</f>
        <v>0</v>
      </c>
    </row>
    <row r="192" spans="1:10" ht="25.5">
      <c r="A192" s="460"/>
      <c r="B192" s="467"/>
      <c r="C192" s="39"/>
      <c r="D192" s="33" t="s">
        <v>883</v>
      </c>
      <c r="E192" s="34" t="s">
        <v>884</v>
      </c>
      <c r="F192" s="34"/>
      <c r="G192" s="36" t="s">
        <v>2</v>
      </c>
      <c r="H192" s="734">
        <v>12.88</v>
      </c>
      <c r="I192" s="527"/>
      <c r="J192" s="266"/>
    </row>
    <row r="193" spans="1:10">
      <c r="A193" s="460"/>
      <c r="B193" s="467"/>
      <c r="C193" s="461"/>
      <c r="D193" s="33"/>
      <c r="E193" s="34" t="s">
        <v>797</v>
      </c>
      <c r="F193" s="34"/>
      <c r="G193" s="36"/>
      <c r="H193" s="799"/>
      <c r="I193" s="445"/>
      <c r="J193" s="266"/>
    </row>
    <row r="194" spans="1:10">
      <c r="A194" s="460"/>
      <c r="B194" s="383"/>
      <c r="C194" s="757"/>
      <c r="D194" s="27"/>
      <c r="E194" s="387" t="s">
        <v>869</v>
      </c>
      <c r="F194" s="448">
        <v>3.84</v>
      </c>
      <c r="G194" s="30"/>
      <c r="H194" s="447"/>
      <c r="I194" s="445"/>
      <c r="J194" s="266"/>
    </row>
    <row r="195" spans="1:10">
      <c r="A195" s="460"/>
      <c r="B195" s="383"/>
      <c r="C195" s="757"/>
      <c r="D195" s="27"/>
      <c r="E195" s="387" t="s">
        <v>885</v>
      </c>
      <c r="F195" s="448">
        <v>3.36</v>
      </c>
      <c r="G195" s="30"/>
      <c r="H195" s="447"/>
      <c r="I195" s="445"/>
      <c r="J195" s="266"/>
    </row>
    <row r="196" spans="1:10">
      <c r="A196" s="460"/>
      <c r="B196" s="383"/>
      <c r="C196" s="757"/>
      <c r="D196" s="27"/>
      <c r="E196" s="749" t="s">
        <v>886</v>
      </c>
      <c r="F196" s="767">
        <v>4.08</v>
      </c>
      <c r="G196" s="30"/>
      <c r="H196" s="447"/>
      <c r="I196" s="445"/>
      <c r="J196" s="266"/>
    </row>
    <row r="197" spans="1:10">
      <c r="A197" s="460"/>
      <c r="B197" s="383"/>
      <c r="C197" s="757"/>
      <c r="D197" s="27"/>
      <c r="E197" s="387" t="s">
        <v>115</v>
      </c>
      <c r="F197" s="448">
        <f>SUM(F194:F196)</f>
        <v>11.28</v>
      </c>
      <c r="G197" s="30"/>
      <c r="H197" s="447"/>
      <c r="I197" s="445"/>
      <c r="J197" s="266"/>
    </row>
    <row r="198" spans="1:10">
      <c r="A198" s="460"/>
      <c r="B198" s="383"/>
      <c r="C198" s="757"/>
      <c r="D198" s="27"/>
      <c r="E198" s="387"/>
      <c r="F198" s="448"/>
      <c r="G198" s="30"/>
      <c r="H198" s="447"/>
      <c r="I198" s="445"/>
      <c r="J198" s="266"/>
    </row>
    <row r="199" spans="1:10">
      <c r="A199" s="460"/>
      <c r="B199" s="467"/>
      <c r="C199" s="461"/>
      <c r="D199" s="33"/>
      <c r="E199" s="34" t="s">
        <v>803</v>
      </c>
      <c r="F199" s="34"/>
      <c r="G199" s="36"/>
      <c r="H199" s="799"/>
      <c r="I199" s="445"/>
      <c r="J199" s="266"/>
    </row>
    <row r="200" spans="1:10">
      <c r="A200" s="460"/>
      <c r="B200" s="383"/>
      <c r="C200" s="757"/>
      <c r="D200" s="27"/>
      <c r="E200" s="387" t="s">
        <v>869</v>
      </c>
      <c r="F200" s="448">
        <v>1.36</v>
      </c>
      <c r="G200" s="30"/>
      <c r="H200" s="447"/>
      <c r="I200" s="445"/>
      <c r="J200" s="266"/>
    </row>
    <row r="201" spans="1:10">
      <c r="A201" s="460"/>
      <c r="B201" s="383"/>
      <c r="C201" s="757"/>
      <c r="D201" s="27"/>
      <c r="E201" s="749" t="s">
        <v>885</v>
      </c>
      <c r="F201" s="767">
        <v>0.24</v>
      </c>
      <c r="G201" s="30"/>
      <c r="H201" s="447"/>
      <c r="I201" s="445"/>
      <c r="J201" s="266"/>
    </row>
    <row r="202" spans="1:10">
      <c r="A202" s="460"/>
      <c r="B202" s="383"/>
      <c r="C202" s="757"/>
      <c r="D202" s="27"/>
      <c r="E202" s="387" t="s">
        <v>115</v>
      </c>
      <c r="F202" s="448">
        <f>SUM(F200:F201)</f>
        <v>1.6</v>
      </c>
      <c r="G202" s="30"/>
      <c r="H202" s="447"/>
      <c r="I202" s="445"/>
      <c r="J202" s="266"/>
    </row>
    <row r="203" spans="1:10">
      <c r="A203" s="460"/>
      <c r="B203" s="383"/>
      <c r="C203" s="757"/>
      <c r="D203" s="27"/>
      <c r="E203" s="387"/>
      <c r="F203" s="448"/>
      <c r="G203" s="30"/>
      <c r="H203" s="447"/>
      <c r="I203" s="445"/>
      <c r="J203" s="266"/>
    </row>
    <row r="204" spans="1:10">
      <c r="A204" s="460"/>
      <c r="B204" s="383"/>
      <c r="C204" s="757"/>
      <c r="D204" s="27"/>
      <c r="E204" s="768" t="s">
        <v>990</v>
      </c>
      <c r="F204" s="800">
        <f>F197+F202</f>
        <v>12.879999999999999</v>
      </c>
      <c r="G204" s="30"/>
      <c r="H204" s="447"/>
      <c r="I204" s="445"/>
      <c r="J204" s="266"/>
    </row>
    <row r="205" spans="1:10">
      <c r="A205" s="460"/>
      <c r="B205" s="383"/>
      <c r="C205" s="757"/>
      <c r="D205" s="27"/>
      <c r="E205" s="387"/>
      <c r="F205" s="448"/>
      <c r="G205" s="30"/>
      <c r="H205" s="447"/>
      <c r="I205" s="445"/>
      <c r="J205" s="266"/>
    </row>
    <row r="206" spans="1:10" ht="25.5">
      <c r="A206" s="25">
        <f>MAX(A$1:A194)+1</f>
        <v>23</v>
      </c>
      <c r="B206" s="457"/>
      <c r="C206" s="26" t="s">
        <v>887</v>
      </c>
      <c r="D206" s="27"/>
      <c r="E206" s="28" t="s">
        <v>888</v>
      </c>
      <c r="F206" s="28"/>
      <c r="G206" s="30" t="s">
        <v>0</v>
      </c>
      <c r="H206" s="732">
        <v>0.02</v>
      </c>
      <c r="I206" s="507"/>
      <c r="J206" s="266">
        <f>I206*H206</f>
        <v>0</v>
      </c>
    </row>
    <row r="207" spans="1:10" ht="25.5">
      <c r="A207" s="441"/>
      <c r="B207" s="467"/>
      <c r="C207" s="39"/>
      <c r="D207" s="33" t="s">
        <v>889</v>
      </c>
      <c r="E207" s="34" t="s">
        <v>890</v>
      </c>
      <c r="F207" s="34"/>
      <c r="G207" s="36" t="s">
        <v>0</v>
      </c>
      <c r="H207" s="734">
        <v>0.02</v>
      </c>
      <c r="I207" s="527"/>
      <c r="J207" s="266"/>
    </row>
    <row r="208" spans="1:10">
      <c r="A208" s="460"/>
      <c r="B208" s="383"/>
      <c r="C208" s="757"/>
      <c r="D208" s="27"/>
      <c r="E208" s="387" t="s">
        <v>891</v>
      </c>
      <c r="F208" s="448">
        <v>0.02</v>
      </c>
      <c r="G208" s="30"/>
      <c r="H208" s="447"/>
      <c r="I208" s="445"/>
      <c r="J208" s="266"/>
    </row>
    <row r="209" spans="1:13">
      <c r="A209" s="460"/>
      <c r="B209" s="457"/>
      <c r="C209" s="757"/>
      <c r="D209" s="27"/>
      <c r="E209" s="387"/>
      <c r="F209" s="448"/>
      <c r="G209" s="30"/>
      <c r="H209" s="447"/>
      <c r="I209" s="445"/>
      <c r="J209" s="266"/>
    </row>
    <row r="210" spans="1:13">
      <c r="A210" s="460"/>
      <c r="B210" s="383"/>
      <c r="C210" s="757"/>
      <c r="D210" s="27"/>
      <c r="E210" s="387"/>
      <c r="F210" s="769"/>
      <c r="G210" s="30"/>
      <c r="H210" s="447"/>
      <c r="I210" s="445"/>
      <c r="J210" s="266"/>
    </row>
    <row r="211" spans="1:13">
      <c r="A211" s="25">
        <f>MAX(A$1:A209)+1</f>
        <v>24</v>
      </c>
      <c r="B211" s="430"/>
      <c r="C211" s="26" t="s">
        <v>892</v>
      </c>
      <c r="D211" s="27"/>
      <c r="E211" s="28" t="s">
        <v>893</v>
      </c>
      <c r="F211" s="769"/>
      <c r="G211" s="30" t="s">
        <v>7</v>
      </c>
      <c r="H211" s="732">
        <f>H212+H218+H223</f>
        <v>349.88</v>
      </c>
      <c r="I211" s="507"/>
      <c r="J211" s="266">
        <f>H211*I211</f>
        <v>0</v>
      </c>
    </row>
    <row r="212" spans="1:13">
      <c r="A212" s="432"/>
      <c r="B212" s="314"/>
      <c r="C212" s="39"/>
      <c r="D212" s="33" t="s">
        <v>894</v>
      </c>
      <c r="E212" s="34" t="s">
        <v>895</v>
      </c>
      <c r="F212" s="35"/>
      <c r="G212" s="36" t="s">
        <v>7</v>
      </c>
      <c r="H212" s="734">
        <v>133.46</v>
      </c>
      <c r="I212" s="527"/>
      <c r="J212" s="433"/>
      <c r="L212" s="4"/>
      <c r="M212" s="156"/>
    </row>
    <row r="213" spans="1:13">
      <c r="A213" s="25"/>
      <c r="B213" s="430"/>
      <c r="C213" s="26"/>
      <c r="D213" s="27"/>
      <c r="E213" s="387" t="s">
        <v>896</v>
      </c>
      <c r="F213" s="769"/>
      <c r="G213" s="30"/>
      <c r="H213" s="732"/>
      <c r="I213" s="222"/>
      <c r="J213" s="266"/>
    </row>
    <row r="214" spans="1:13">
      <c r="A214" s="25"/>
      <c r="B214" s="430"/>
      <c r="C214" s="26"/>
      <c r="D214" s="27"/>
      <c r="E214" s="34" t="s">
        <v>797</v>
      </c>
      <c r="F214" s="784">
        <v>122.59</v>
      </c>
      <c r="G214" s="30"/>
      <c r="H214" s="734"/>
      <c r="I214" s="222"/>
      <c r="J214" s="266"/>
    </row>
    <row r="215" spans="1:13">
      <c r="A215" s="25"/>
      <c r="B215" s="430"/>
      <c r="C215" s="26"/>
      <c r="D215" s="27"/>
      <c r="E215" s="770" t="s">
        <v>803</v>
      </c>
      <c r="F215" s="743">
        <v>10.87</v>
      </c>
      <c r="G215" s="30"/>
      <c r="H215" s="732"/>
      <c r="I215" s="222"/>
      <c r="J215" s="266"/>
    </row>
    <row r="216" spans="1:13">
      <c r="A216" s="25"/>
      <c r="B216" s="430"/>
      <c r="C216" s="26"/>
      <c r="D216" s="27"/>
      <c r="E216" s="34" t="s">
        <v>115</v>
      </c>
      <c r="F216" s="784">
        <f>SUM(F214:F215)</f>
        <v>133.46</v>
      </c>
      <c r="G216" s="30"/>
      <c r="H216" s="734"/>
      <c r="I216" s="222"/>
      <c r="J216" s="266"/>
    </row>
    <row r="217" spans="1:13">
      <c r="A217" s="25"/>
      <c r="B217" s="430"/>
      <c r="C217" s="26"/>
      <c r="D217" s="27"/>
      <c r="E217" s="28"/>
      <c r="F217" s="769"/>
      <c r="G217" s="30"/>
      <c r="H217" s="732"/>
      <c r="I217" s="222"/>
      <c r="J217" s="266"/>
    </row>
    <row r="218" spans="1:13">
      <c r="A218" s="432"/>
      <c r="B218" s="314"/>
      <c r="C218" s="39"/>
      <c r="D218" s="33" t="s">
        <v>897</v>
      </c>
      <c r="E218" s="34" t="s">
        <v>898</v>
      </c>
      <c r="F218" s="769"/>
      <c r="G218" s="36" t="s">
        <v>7</v>
      </c>
      <c r="H218" s="734">
        <v>113.33</v>
      </c>
      <c r="I218" s="527"/>
      <c r="J218" s="433"/>
    </row>
    <row r="219" spans="1:13">
      <c r="A219" s="432"/>
      <c r="B219" s="314"/>
      <c r="C219" s="39"/>
      <c r="D219" s="33"/>
      <c r="E219" s="34" t="s">
        <v>797</v>
      </c>
      <c r="F219" s="784">
        <v>81.03</v>
      </c>
      <c r="G219" s="36"/>
      <c r="H219" s="731"/>
      <c r="I219" s="222"/>
      <c r="J219" s="266"/>
    </row>
    <row r="220" spans="1:13">
      <c r="A220" s="432"/>
      <c r="B220" s="314"/>
      <c r="C220" s="39"/>
      <c r="D220" s="33"/>
      <c r="E220" s="770" t="s">
        <v>803</v>
      </c>
      <c r="F220" s="743">
        <v>32.299999999999997</v>
      </c>
      <c r="G220" s="36"/>
      <c r="H220" s="731"/>
      <c r="I220" s="222"/>
      <c r="J220" s="266"/>
    </row>
    <row r="221" spans="1:13">
      <c r="A221" s="432"/>
      <c r="B221" s="314"/>
      <c r="C221" s="39"/>
      <c r="D221" s="33"/>
      <c r="E221" s="34" t="s">
        <v>115</v>
      </c>
      <c r="F221" s="784">
        <f>SUM(F219:F220)</f>
        <v>113.33</v>
      </c>
      <c r="G221" s="36"/>
      <c r="H221" s="731"/>
      <c r="I221" s="222"/>
      <c r="J221" s="266"/>
    </row>
    <row r="222" spans="1:13">
      <c r="A222" s="432"/>
      <c r="B222" s="314"/>
      <c r="C222" s="39"/>
      <c r="D222" s="33"/>
      <c r="E222" s="34"/>
      <c r="F222" s="784"/>
      <c r="G222" s="36"/>
      <c r="H222" s="731"/>
      <c r="I222" s="222"/>
      <c r="J222" s="266"/>
    </row>
    <row r="223" spans="1:13">
      <c r="A223" s="432"/>
      <c r="B223" s="314"/>
      <c r="C223" s="39"/>
      <c r="D223" s="33" t="s">
        <v>899</v>
      </c>
      <c r="E223" s="34" t="s">
        <v>900</v>
      </c>
      <c r="F223" s="35"/>
      <c r="G223" s="36" t="s">
        <v>7</v>
      </c>
      <c r="H223" s="734">
        <v>103.09</v>
      </c>
      <c r="I223" s="527"/>
      <c r="J223" s="433"/>
    </row>
    <row r="224" spans="1:13">
      <c r="A224" s="432"/>
      <c r="B224" s="754"/>
      <c r="C224" s="801"/>
      <c r="D224" s="33"/>
      <c r="E224" s="34" t="s">
        <v>797</v>
      </c>
      <c r="F224" s="784">
        <v>103.09</v>
      </c>
      <c r="G224" s="36"/>
      <c r="H224" s="780"/>
      <c r="I224" s="222"/>
      <c r="J224" s="266"/>
    </row>
    <row r="225" spans="1:14">
      <c r="A225" s="432"/>
      <c r="B225" s="754"/>
      <c r="C225" s="801"/>
      <c r="D225" s="33"/>
      <c r="E225" s="34"/>
      <c r="F225" s="35"/>
      <c r="G225" s="36"/>
      <c r="H225" s="780"/>
      <c r="I225" s="222"/>
      <c r="J225" s="266"/>
    </row>
    <row r="226" spans="1:14">
      <c r="A226" s="25"/>
      <c r="B226" s="467"/>
      <c r="C226" s="264"/>
      <c r="D226" s="39"/>
      <c r="E226" s="28"/>
      <c r="F226" s="769"/>
      <c r="G226" s="30"/>
      <c r="H226" s="793"/>
      <c r="I226" s="445"/>
      <c r="J226" s="266"/>
    </row>
    <row r="227" spans="1:14">
      <c r="A227" s="25">
        <f>MAX(A$1:A223)+1</f>
        <v>25</v>
      </c>
      <c r="B227" s="474"/>
      <c r="C227" s="26" t="s">
        <v>901</v>
      </c>
      <c r="D227" s="33"/>
      <c r="E227" s="28" t="s">
        <v>902</v>
      </c>
      <c r="F227" s="769"/>
      <c r="G227" s="30" t="s">
        <v>1</v>
      </c>
      <c r="H227" s="732">
        <v>3</v>
      </c>
      <c r="I227" s="507"/>
      <c r="J227" s="266">
        <f>H227*I227</f>
        <v>0</v>
      </c>
    </row>
    <row r="228" spans="1:14" ht="25.5">
      <c r="A228" s="473"/>
      <c r="B228" s="474"/>
      <c r="C228" s="39"/>
      <c r="D228" s="33" t="s">
        <v>903</v>
      </c>
      <c r="E228" s="34" t="s">
        <v>904</v>
      </c>
      <c r="F228" s="769"/>
      <c r="G228" s="36" t="s">
        <v>1</v>
      </c>
      <c r="H228" s="734">
        <v>3</v>
      </c>
      <c r="I228" s="527"/>
      <c r="J228" s="266"/>
    </row>
    <row r="229" spans="1:14">
      <c r="A229" s="473"/>
      <c r="B229" s="474"/>
      <c r="C229" s="474"/>
      <c r="D229" s="471"/>
      <c r="E229" s="469"/>
      <c r="F229" s="769"/>
      <c r="G229" s="478"/>
      <c r="H229" s="802"/>
      <c r="I229" s="437"/>
      <c r="J229" s="266"/>
    </row>
    <row r="230" spans="1:14">
      <c r="A230" s="473"/>
      <c r="B230" s="474"/>
      <c r="C230" s="474"/>
      <c r="D230" s="471"/>
      <c r="E230" s="469" t="s">
        <v>905</v>
      </c>
      <c r="F230" s="771">
        <v>3</v>
      </c>
      <c r="G230" s="478"/>
      <c r="H230" s="802"/>
      <c r="I230" s="437"/>
      <c r="J230" s="266"/>
    </row>
    <row r="231" spans="1:14">
      <c r="A231" s="473"/>
      <c r="B231" s="474"/>
      <c r="C231" s="474"/>
      <c r="D231" s="471"/>
      <c r="E231" s="469" t="s">
        <v>906</v>
      </c>
      <c r="F231" s="769">
        <v>4</v>
      </c>
      <c r="G231" s="478"/>
      <c r="H231" s="802"/>
      <c r="I231" s="437"/>
      <c r="J231" s="266"/>
    </row>
    <row r="232" spans="1:14">
      <c r="A232" s="473"/>
      <c r="B232" s="474"/>
      <c r="C232" s="474"/>
      <c r="D232" s="471"/>
      <c r="E232" s="469" t="s">
        <v>907</v>
      </c>
      <c r="F232" s="769">
        <v>3</v>
      </c>
      <c r="G232" s="478"/>
      <c r="H232" s="802"/>
      <c r="I232" s="437"/>
      <c r="J232" s="266"/>
    </row>
    <row r="233" spans="1:14">
      <c r="A233" s="473"/>
      <c r="B233" s="474"/>
      <c r="C233" s="474"/>
      <c r="D233" s="471"/>
      <c r="E233" s="469" t="s">
        <v>908</v>
      </c>
      <c r="F233" s="769">
        <v>3</v>
      </c>
      <c r="G233" s="478"/>
      <c r="H233" s="802"/>
      <c r="I233" s="437"/>
      <c r="J233" s="266"/>
    </row>
    <row r="234" spans="1:14">
      <c r="A234" s="473"/>
      <c r="B234" s="474"/>
      <c r="C234" s="474"/>
      <c r="D234" s="471"/>
      <c r="E234" s="423" t="s">
        <v>909</v>
      </c>
      <c r="F234" s="769">
        <v>3</v>
      </c>
      <c r="G234" s="478"/>
      <c r="H234" s="802"/>
      <c r="I234" s="437"/>
      <c r="J234" s="266"/>
    </row>
    <row r="235" spans="1:14">
      <c r="A235" s="473"/>
      <c r="B235" s="474"/>
      <c r="C235" s="474"/>
      <c r="D235" s="471"/>
      <c r="E235" s="469"/>
      <c r="F235" s="769"/>
      <c r="G235" s="478"/>
      <c r="H235" s="802"/>
      <c r="I235" s="437"/>
      <c r="J235" s="266"/>
    </row>
    <row r="236" spans="1:14">
      <c r="A236" s="25"/>
      <c r="B236" s="467"/>
      <c r="C236" s="264"/>
      <c r="D236" s="39"/>
      <c r="E236" s="28"/>
      <c r="F236" s="803"/>
      <c r="G236" s="30"/>
      <c r="H236" s="772"/>
      <c r="I236" s="445"/>
      <c r="J236" s="266"/>
    </row>
    <row r="237" spans="1:14" ht="25.5">
      <c r="A237" s="25">
        <f>MAX(A$1:A235)+1</f>
        <v>26</v>
      </c>
      <c r="B237" s="457"/>
      <c r="C237" s="26" t="s">
        <v>910</v>
      </c>
      <c r="D237" s="27"/>
      <c r="E237" s="28" t="s">
        <v>911</v>
      </c>
      <c r="F237" s="28"/>
      <c r="G237" s="30" t="s">
        <v>1</v>
      </c>
      <c r="H237" s="732">
        <v>8</v>
      </c>
      <c r="I237" s="507"/>
      <c r="J237" s="266">
        <f>H237*I237</f>
        <v>0</v>
      </c>
    </row>
    <row r="238" spans="1:14" ht="25.5">
      <c r="A238" s="460"/>
      <c r="B238" s="467"/>
      <c r="C238" s="39"/>
      <c r="D238" s="33" t="s">
        <v>912</v>
      </c>
      <c r="E238" s="34" t="s">
        <v>913</v>
      </c>
      <c r="F238" s="34"/>
      <c r="G238" s="36" t="s">
        <v>1</v>
      </c>
      <c r="H238" s="734">
        <v>7</v>
      </c>
      <c r="I238" s="527"/>
      <c r="J238" s="433"/>
      <c r="L238" s="4"/>
      <c r="N238" s="157"/>
    </row>
    <row r="239" spans="1:14">
      <c r="A239" s="25"/>
      <c r="B239" s="467"/>
      <c r="C239" s="264"/>
      <c r="D239" s="39"/>
      <c r="E239" s="387" t="s">
        <v>914</v>
      </c>
      <c r="F239" s="448">
        <v>7</v>
      </c>
      <c r="G239" s="30"/>
      <c r="H239" s="772"/>
      <c r="I239" s="437"/>
      <c r="J239" s="433"/>
    </row>
    <row r="240" spans="1:14">
      <c r="A240" s="25"/>
      <c r="B240" s="467"/>
      <c r="C240" s="264"/>
      <c r="D240" s="39"/>
      <c r="E240" s="387"/>
      <c r="F240" s="448"/>
      <c r="G240" s="30"/>
      <c r="H240" s="772"/>
      <c r="I240" s="437"/>
      <c r="J240" s="433"/>
    </row>
    <row r="241" spans="1:10" ht="25.5">
      <c r="A241" s="432"/>
      <c r="B241" s="314"/>
      <c r="C241" s="39"/>
      <c r="D241" s="33" t="s">
        <v>915</v>
      </c>
      <c r="E241" s="34" t="s">
        <v>916</v>
      </c>
      <c r="F241" s="35"/>
      <c r="G241" s="36" t="s">
        <v>1</v>
      </c>
      <c r="H241" s="734">
        <v>1</v>
      </c>
      <c r="I241" s="527"/>
      <c r="J241" s="433"/>
    </row>
    <row r="242" spans="1:10">
      <c r="A242" s="432"/>
      <c r="B242" s="754"/>
      <c r="C242" s="801"/>
      <c r="D242" s="33"/>
      <c r="E242" s="387" t="s">
        <v>917</v>
      </c>
      <c r="F242" s="448">
        <v>1</v>
      </c>
      <c r="G242" s="36"/>
      <c r="H242" s="731"/>
      <c r="I242" s="222"/>
      <c r="J242" s="266"/>
    </row>
    <row r="243" spans="1:10">
      <c r="A243" s="25"/>
      <c r="B243" s="467"/>
      <c r="C243" s="264"/>
      <c r="D243" s="39"/>
      <c r="E243" s="387"/>
      <c r="F243" s="448"/>
      <c r="G243" s="30"/>
      <c r="H243" s="772"/>
      <c r="I243" s="445"/>
      <c r="J243" s="266"/>
    </row>
    <row r="244" spans="1:10">
      <c r="A244" s="25"/>
      <c r="B244" s="467"/>
      <c r="C244" s="264"/>
      <c r="D244" s="39"/>
      <c r="E244" s="387"/>
      <c r="F244" s="448"/>
      <c r="G244" s="30"/>
      <c r="H244" s="772"/>
      <c r="I244" s="445"/>
      <c r="J244" s="266"/>
    </row>
    <row r="245" spans="1:10">
      <c r="A245" s="25"/>
      <c r="B245" s="467"/>
      <c r="C245" s="264"/>
      <c r="D245" s="39"/>
      <c r="E245" s="387"/>
      <c r="F245" s="448"/>
      <c r="G245" s="30"/>
      <c r="H245" s="772"/>
      <c r="I245" s="445"/>
      <c r="J245" s="266"/>
    </row>
    <row r="246" spans="1:10">
      <c r="A246" s="25">
        <f>MAX(A$1:A243)+1</f>
        <v>27</v>
      </c>
      <c r="B246" s="457"/>
      <c r="C246" s="26" t="s">
        <v>918</v>
      </c>
      <c r="D246" s="27"/>
      <c r="E246" s="28" t="s">
        <v>919</v>
      </c>
      <c r="F246" s="28"/>
      <c r="G246" s="30" t="s">
        <v>1</v>
      </c>
      <c r="H246" s="732">
        <v>1</v>
      </c>
      <c r="I246" s="507"/>
      <c r="J246" s="266">
        <f>H246*I246</f>
        <v>0</v>
      </c>
    </row>
    <row r="247" spans="1:10" ht="25.5">
      <c r="A247" s="441"/>
      <c r="B247" s="467"/>
      <c r="C247" s="39"/>
      <c r="D247" s="33" t="s">
        <v>920</v>
      </c>
      <c r="E247" s="34" t="s">
        <v>921</v>
      </c>
      <c r="F247" s="34"/>
      <c r="G247" s="36" t="s">
        <v>1</v>
      </c>
      <c r="H247" s="734">
        <v>1</v>
      </c>
      <c r="I247" s="527"/>
      <c r="J247" s="266"/>
    </row>
    <row r="248" spans="1:10">
      <c r="A248" s="441"/>
      <c r="B248" s="467"/>
      <c r="C248" s="801"/>
      <c r="D248" s="33"/>
      <c r="E248" s="387" t="s">
        <v>922</v>
      </c>
      <c r="F248" s="448">
        <v>1</v>
      </c>
      <c r="G248" s="36"/>
      <c r="H248" s="773"/>
      <c r="I248" s="774"/>
      <c r="J248" s="266"/>
    </row>
    <row r="249" spans="1:10">
      <c r="A249" s="441"/>
      <c r="B249" s="467"/>
      <c r="C249" s="801"/>
      <c r="D249" s="33"/>
      <c r="E249" s="387"/>
      <c r="F249" s="448"/>
      <c r="G249" s="36"/>
      <c r="H249" s="773"/>
      <c r="I249" s="445"/>
      <c r="J249" s="266"/>
    </row>
    <row r="250" spans="1:10">
      <c r="A250" s="25"/>
      <c r="B250" s="467"/>
      <c r="C250" s="264"/>
      <c r="D250" s="39"/>
      <c r="E250" s="387"/>
      <c r="F250" s="448"/>
      <c r="G250" s="30"/>
      <c r="H250" s="772"/>
      <c r="I250" s="445"/>
      <c r="J250" s="266"/>
    </row>
    <row r="251" spans="1:10">
      <c r="A251" s="25">
        <f>MAX(A$1:A250)+1</f>
        <v>28</v>
      </c>
      <c r="B251" s="457"/>
      <c r="C251" s="26" t="s">
        <v>923</v>
      </c>
      <c r="D251" s="27"/>
      <c r="E251" s="28" t="s">
        <v>924</v>
      </c>
      <c r="F251" s="28"/>
      <c r="G251" s="30" t="s">
        <v>7</v>
      </c>
      <c r="H251" s="732">
        <v>216.42</v>
      </c>
      <c r="I251" s="779"/>
      <c r="J251" s="266">
        <f>H251*I251</f>
        <v>0</v>
      </c>
    </row>
    <row r="252" spans="1:10">
      <c r="A252" s="460"/>
      <c r="B252" s="467"/>
      <c r="C252" s="39"/>
      <c r="D252" s="33" t="s">
        <v>925</v>
      </c>
      <c r="E252" s="34" t="s">
        <v>926</v>
      </c>
      <c r="F252" s="34"/>
      <c r="G252" s="36" t="s">
        <v>7</v>
      </c>
      <c r="H252" s="734">
        <v>216.42</v>
      </c>
      <c r="I252" s="775"/>
      <c r="J252" s="266"/>
    </row>
    <row r="253" spans="1:10" ht="25.5">
      <c r="A253" s="25"/>
      <c r="B253" s="467"/>
      <c r="C253" s="264"/>
      <c r="D253" s="39"/>
      <c r="E253" s="387" t="s">
        <v>927</v>
      </c>
      <c r="F253" s="448">
        <f>F224+F221</f>
        <v>216.42000000000002</v>
      </c>
      <c r="G253" s="30"/>
      <c r="H253" s="772"/>
      <c r="I253" s="445"/>
      <c r="J253" s="266"/>
    </row>
    <row r="254" spans="1:10">
      <c r="A254" s="25"/>
      <c r="B254" s="467"/>
      <c r="C254" s="264"/>
      <c r="D254" s="39"/>
      <c r="E254" s="28"/>
      <c r="F254" s="803"/>
      <c r="G254" s="30"/>
      <c r="H254" s="772"/>
      <c r="I254" s="445"/>
      <c r="J254" s="266"/>
    </row>
    <row r="255" spans="1:10">
      <c r="A255" s="25">
        <f>MAX(A$1:A254)+1</f>
        <v>29</v>
      </c>
      <c r="B255" s="457"/>
      <c r="C255" s="26" t="s">
        <v>327</v>
      </c>
      <c r="D255" s="27"/>
      <c r="E255" s="28" t="s">
        <v>328</v>
      </c>
      <c r="F255" s="28"/>
      <c r="G255" s="30" t="s">
        <v>1</v>
      </c>
      <c r="H255" s="732">
        <v>11</v>
      </c>
      <c r="I255" s="779"/>
      <c r="J255" s="266">
        <f>H255*I255</f>
        <v>0</v>
      </c>
    </row>
    <row r="256" spans="1:10">
      <c r="A256" s="460"/>
      <c r="B256" s="467"/>
      <c r="C256" s="39"/>
      <c r="D256" s="33" t="s">
        <v>928</v>
      </c>
      <c r="E256" s="34" t="s">
        <v>929</v>
      </c>
      <c r="F256" s="34"/>
      <c r="G256" s="36" t="s">
        <v>1</v>
      </c>
      <c r="H256" s="734">
        <v>11</v>
      </c>
      <c r="I256" s="775"/>
      <c r="J256" s="266"/>
    </row>
    <row r="257" spans="1:10">
      <c r="A257" s="460"/>
      <c r="B257" s="467"/>
      <c r="C257" s="39"/>
      <c r="D257" s="33"/>
      <c r="E257" s="387" t="s">
        <v>930</v>
      </c>
      <c r="F257" s="448">
        <f>F239+F242</f>
        <v>8</v>
      </c>
      <c r="G257" s="36"/>
      <c r="H257" s="773"/>
      <c r="I257" s="445"/>
      <c r="J257" s="266"/>
    </row>
    <row r="258" spans="1:10">
      <c r="A258" s="460"/>
      <c r="B258" s="467"/>
      <c r="C258" s="39"/>
      <c r="D258" s="33"/>
      <c r="E258" s="749" t="s">
        <v>931</v>
      </c>
      <c r="F258" s="767">
        <v>3</v>
      </c>
      <c r="G258" s="36"/>
      <c r="H258" s="773"/>
      <c r="I258" s="445"/>
      <c r="J258" s="266"/>
    </row>
    <row r="259" spans="1:10">
      <c r="A259" s="460"/>
      <c r="B259" s="467"/>
      <c r="C259" s="39"/>
      <c r="D259" s="442"/>
      <c r="E259" s="387" t="s">
        <v>115</v>
      </c>
      <c r="F259" s="448">
        <f>SUM(F257:F258)</f>
        <v>11</v>
      </c>
      <c r="G259" s="36"/>
      <c r="H259" s="773"/>
      <c r="I259" s="445"/>
      <c r="J259" s="266"/>
    </row>
    <row r="260" spans="1:10">
      <c r="A260" s="460"/>
      <c r="B260" s="467"/>
      <c r="C260" s="39"/>
      <c r="D260" s="442"/>
      <c r="E260" s="387"/>
      <c r="F260" s="387"/>
      <c r="G260" s="36"/>
      <c r="H260" s="773"/>
      <c r="I260" s="445"/>
      <c r="J260" s="266"/>
    </row>
    <row r="261" spans="1:10">
      <c r="A261" s="460"/>
      <c r="B261" s="467"/>
      <c r="C261" s="39"/>
      <c r="D261" s="442"/>
      <c r="E261" s="387"/>
      <c r="F261" s="387"/>
      <c r="G261" s="36"/>
      <c r="H261" s="773"/>
      <c r="I261" s="445"/>
      <c r="J261" s="266"/>
    </row>
    <row r="262" spans="1:10">
      <c r="A262" s="25"/>
      <c r="B262" s="467"/>
      <c r="C262" s="26"/>
      <c r="D262" s="461"/>
      <c r="E262" s="387"/>
      <c r="F262" s="448"/>
      <c r="G262" s="30"/>
      <c r="H262" s="772"/>
      <c r="I262" s="445"/>
      <c r="J262" s="266"/>
    </row>
    <row r="263" spans="1:10" ht="25.5">
      <c r="A263" s="25">
        <f>MAX(A$1:A262)+1</f>
        <v>30</v>
      </c>
      <c r="B263" s="383"/>
      <c r="C263" s="26" t="s">
        <v>932</v>
      </c>
      <c r="D263" s="27"/>
      <c r="E263" s="28" t="s">
        <v>933</v>
      </c>
      <c r="F263" s="459"/>
      <c r="G263" s="30" t="s">
        <v>8</v>
      </c>
      <c r="H263" s="732">
        <v>48.36</v>
      </c>
      <c r="I263" s="779"/>
      <c r="J263" s="266">
        <f>I263*H263</f>
        <v>0</v>
      </c>
    </row>
    <row r="264" spans="1:10">
      <c r="A264" s="25"/>
      <c r="B264" s="383"/>
      <c r="C264" s="26"/>
      <c r="D264" s="27"/>
      <c r="E264" s="34" t="s">
        <v>797</v>
      </c>
      <c r="F264" s="459"/>
      <c r="G264" s="30"/>
      <c r="H264" s="804"/>
      <c r="I264" s="445"/>
      <c r="J264" s="266"/>
    </row>
    <row r="265" spans="1:10">
      <c r="A265" s="25"/>
      <c r="B265" s="37"/>
      <c r="C265" s="26"/>
      <c r="D265" s="39"/>
      <c r="E265" s="387" t="s">
        <v>934</v>
      </c>
      <c r="F265" s="443">
        <f>0.15*1.1*81.03+0.15*1.25*110.29</f>
        <v>34.049325000000003</v>
      </c>
      <c r="G265" s="30"/>
      <c r="H265" s="793"/>
      <c r="I265" s="445"/>
      <c r="J265" s="266"/>
    </row>
    <row r="266" spans="1:10">
      <c r="A266" s="25"/>
      <c r="B266" s="37"/>
      <c r="C266" s="26"/>
      <c r="D266" s="39"/>
      <c r="E266" s="387" t="s">
        <v>935</v>
      </c>
      <c r="F266" s="443">
        <f>0.1*0.6*89.37</f>
        <v>5.3621999999999996</v>
      </c>
      <c r="G266" s="30"/>
      <c r="H266" s="793"/>
      <c r="I266" s="445"/>
      <c r="J266" s="266"/>
    </row>
    <row r="267" spans="1:10">
      <c r="A267" s="421"/>
      <c r="B267" s="434"/>
      <c r="C267" s="434"/>
      <c r="D267" s="434"/>
      <c r="E267" s="745" t="s">
        <v>936</v>
      </c>
      <c r="F267" s="746">
        <f>7.6*2.6*0.15</f>
        <v>2.9639999999999995</v>
      </c>
      <c r="G267" s="465"/>
      <c r="H267" s="786"/>
      <c r="I267" s="437"/>
      <c r="J267" s="266"/>
    </row>
    <row r="268" spans="1:10">
      <c r="A268" s="421"/>
      <c r="B268" s="434"/>
      <c r="C268" s="434"/>
      <c r="D268" s="434"/>
      <c r="E268" s="469" t="s">
        <v>115</v>
      </c>
      <c r="F268" s="435">
        <f>SUM(F265:F267)</f>
        <v>42.375525000000003</v>
      </c>
      <c r="G268" s="465"/>
      <c r="H268" s="786"/>
      <c r="I268" s="437"/>
      <c r="J268" s="266"/>
    </row>
    <row r="269" spans="1:10">
      <c r="A269" s="421"/>
      <c r="B269" s="434"/>
      <c r="C269" s="434"/>
      <c r="D269" s="434"/>
      <c r="E269" s="469"/>
      <c r="F269" s="435"/>
      <c r="G269" s="465"/>
      <c r="H269" s="786"/>
      <c r="I269" s="437"/>
      <c r="J269" s="266"/>
    </row>
    <row r="270" spans="1:10">
      <c r="A270" s="421"/>
      <c r="B270" s="434"/>
      <c r="C270" s="434"/>
      <c r="D270" s="434"/>
      <c r="E270" s="34" t="s">
        <v>803</v>
      </c>
      <c r="F270" s="435"/>
      <c r="G270" s="465"/>
      <c r="H270" s="786"/>
      <c r="I270" s="437"/>
      <c r="J270" s="266"/>
    </row>
    <row r="271" spans="1:10">
      <c r="A271" s="421"/>
      <c r="B271" s="434"/>
      <c r="C271" s="434"/>
      <c r="D271" s="434"/>
      <c r="E271" s="387" t="s">
        <v>937</v>
      </c>
      <c r="F271" s="435">
        <f>0.15*1.1*32.3</f>
        <v>5.3294999999999995</v>
      </c>
      <c r="G271" s="465"/>
      <c r="H271" s="786"/>
      <c r="I271" s="437"/>
      <c r="J271" s="266"/>
    </row>
    <row r="272" spans="1:10">
      <c r="A272" s="421"/>
      <c r="B272" s="434"/>
      <c r="C272" s="434"/>
      <c r="D272" s="434"/>
      <c r="E272" s="749" t="s">
        <v>938</v>
      </c>
      <c r="F272" s="746">
        <f>0.1*0.6*10.87</f>
        <v>0.65219999999999989</v>
      </c>
      <c r="G272" s="465"/>
      <c r="H272" s="786"/>
      <c r="I272" s="437"/>
      <c r="J272" s="266"/>
    </row>
    <row r="273" spans="1:10">
      <c r="A273" s="421"/>
      <c r="B273" s="434"/>
      <c r="C273" s="434"/>
      <c r="D273" s="434"/>
      <c r="E273" s="469" t="s">
        <v>115</v>
      </c>
      <c r="F273" s="435">
        <f>SUM(F270:F272)</f>
        <v>5.9816999999999991</v>
      </c>
      <c r="G273" s="465"/>
      <c r="H273" s="786"/>
      <c r="I273" s="437"/>
      <c r="J273" s="266"/>
    </row>
    <row r="274" spans="1:10">
      <c r="A274" s="421"/>
      <c r="B274" s="422"/>
      <c r="C274" s="422"/>
      <c r="D274" s="422"/>
      <c r="E274" s="469"/>
      <c r="F274" s="435"/>
      <c r="G274" s="425"/>
      <c r="H274" s="786"/>
      <c r="I274" s="437"/>
      <c r="J274" s="266"/>
    </row>
    <row r="275" spans="1:10">
      <c r="A275" s="421"/>
      <c r="B275" s="422"/>
      <c r="C275" s="422"/>
      <c r="D275" s="422"/>
      <c r="E275" s="469" t="s">
        <v>939</v>
      </c>
      <c r="F275" s="435">
        <f>F273+F268</f>
        <v>48.357225</v>
      </c>
      <c r="G275" s="425"/>
      <c r="H275" s="786"/>
      <c r="I275" s="437"/>
      <c r="J275" s="266"/>
    </row>
    <row r="276" spans="1:10">
      <c r="A276" s="421"/>
      <c r="B276" s="422"/>
      <c r="C276" s="422"/>
      <c r="D276" s="422"/>
      <c r="E276" s="469"/>
      <c r="F276" s="435"/>
      <c r="G276" s="425"/>
      <c r="H276" s="786"/>
      <c r="I276" s="437"/>
      <c r="J276" s="266"/>
    </row>
    <row r="277" spans="1:10">
      <c r="A277" s="441"/>
      <c r="B277" s="467"/>
      <c r="C277" s="449"/>
      <c r="D277" s="442"/>
      <c r="E277" s="34"/>
      <c r="F277" s="424"/>
      <c r="G277" s="440"/>
      <c r="H277" s="447"/>
      <c r="I277" s="445"/>
      <c r="J277" s="266"/>
    </row>
    <row r="278" spans="1:10" ht="25.5">
      <c r="A278" s="764"/>
      <c r="B278" s="280" t="s">
        <v>147</v>
      </c>
      <c r="C278" s="280"/>
      <c r="D278" s="282"/>
      <c r="E278" s="251" t="s">
        <v>148</v>
      </c>
      <c r="F278" s="795"/>
      <c r="G278" s="285"/>
      <c r="H278" s="731"/>
      <c r="I278" s="222"/>
      <c r="J278" s="266"/>
    </row>
    <row r="279" spans="1:10">
      <c r="A279" s="764"/>
      <c r="B279" s="280"/>
      <c r="C279" s="280"/>
      <c r="D279" s="282"/>
      <c r="E279" s="251"/>
      <c r="F279" s="795"/>
      <c r="G279" s="285"/>
      <c r="H279" s="731"/>
      <c r="I279" s="222"/>
      <c r="J279" s="266"/>
    </row>
    <row r="280" spans="1:10" ht="25.5">
      <c r="A280" s="25">
        <f>MAX(A$1:A277)+1</f>
        <v>31</v>
      </c>
      <c r="B280" s="314"/>
      <c r="C280" s="26" t="s">
        <v>940</v>
      </c>
      <c r="D280" s="27"/>
      <c r="E280" s="28" t="s">
        <v>941</v>
      </c>
      <c r="F280" s="29"/>
      <c r="G280" s="30" t="s">
        <v>1</v>
      </c>
      <c r="H280" s="732">
        <v>1</v>
      </c>
      <c r="I280" s="779"/>
      <c r="J280" s="266">
        <f>H280*I280</f>
        <v>0</v>
      </c>
    </row>
    <row r="281" spans="1:10" ht="25.5">
      <c r="A281" s="432"/>
      <c r="B281" s="754"/>
      <c r="C281" s="39"/>
      <c r="D281" s="389" t="s">
        <v>942</v>
      </c>
      <c r="E281" s="390" t="s">
        <v>943</v>
      </c>
      <c r="F281" s="424">
        <v>1</v>
      </c>
      <c r="G281" s="776" t="s">
        <v>1</v>
      </c>
      <c r="H281" s="734">
        <v>1</v>
      </c>
      <c r="I281" s="775"/>
      <c r="J281" s="266"/>
    </row>
    <row r="282" spans="1:10">
      <c r="A282" s="499"/>
      <c r="B282" s="500"/>
      <c r="C282" s="500"/>
      <c r="D282" s="501"/>
      <c r="E282" s="387" t="s">
        <v>944</v>
      </c>
      <c r="F282" s="424"/>
      <c r="G282" s="503"/>
      <c r="H282" s="780"/>
      <c r="I282" s="222"/>
      <c r="J282" s="266"/>
    </row>
    <row r="283" spans="1:10">
      <c r="A283" s="499"/>
      <c r="B283" s="500"/>
      <c r="C283" s="500"/>
      <c r="D283" s="501"/>
      <c r="E283" s="387" t="s">
        <v>945</v>
      </c>
      <c r="F283" s="502"/>
      <c r="G283" s="503"/>
      <c r="H283" s="780"/>
      <c r="I283" s="222"/>
      <c r="J283" s="266"/>
    </row>
    <row r="284" spans="1:10">
      <c r="A284" s="499"/>
      <c r="B284" s="500"/>
      <c r="C284" s="500"/>
      <c r="D284" s="501"/>
      <c r="E284" s="387" t="s">
        <v>946</v>
      </c>
      <c r="F284" s="502"/>
      <c r="G284" s="503"/>
      <c r="H284" s="780"/>
      <c r="I284" s="222"/>
      <c r="J284" s="266"/>
    </row>
    <row r="285" spans="1:10">
      <c r="A285" s="499"/>
      <c r="B285" s="500"/>
      <c r="C285" s="500"/>
      <c r="D285" s="501"/>
      <c r="E285" s="387" t="s">
        <v>947</v>
      </c>
      <c r="F285" s="502"/>
      <c r="G285" s="503"/>
      <c r="H285" s="780"/>
      <c r="I285" s="222"/>
      <c r="J285" s="266"/>
    </row>
    <row r="286" spans="1:10">
      <c r="A286" s="499"/>
      <c r="B286" s="500"/>
      <c r="C286" s="500"/>
      <c r="D286" s="501"/>
      <c r="E286" s="387" t="s">
        <v>948</v>
      </c>
      <c r="F286" s="502"/>
      <c r="G286" s="503"/>
      <c r="H286" s="780"/>
      <c r="I286" s="222"/>
      <c r="J286" s="266"/>
    </row>
    <row r="287" spans="1:10">
      <c r="A287" s="499"/>
      <c r="B287" s="500"/>
      <c r="C287" s="500"/>
      <c r="D287" s="501"/>
      <c r="E287" s="387"/>
      <c r="F287" s="502"/>
      <c r="G287" s="503"/>
      <c r="H287" s="780"/>
      <c r="I287" s="222"/>
      <c r="J287" s="266"/>
    </row>
    <row r="288" spans="1:10">
      <c r="A288" s="139"/>
      <c r="B288" s="280" t="s">
        <v>9</v>
      </c>
      <c r="C288" s="280"/>
      <c r="D288" s="282"/>
      <c r="E288" s="251" t="s">
        <v>10</v>
      </c>
      <c r="F288" s="805"/>
      <c r="G288" s="127"/>
      <c r="H288" s="777"/>
      <c r="I288" s="778"/>
      <c r="J288" s="266"/>
    </row>
    <row r="289" spans="1:10">
      <c r="A289" s="142"/>
      <c r="B289" s="143"/>
      <c r="C289" s="115"/>
      <c r="D289" s="140"/>
      <c r="E289" s="116"/>
      <c r="F289" s="144"/>
      <c r="G289" s="145"/>
      <c r="H289" s="777"/>
      <c r="I289" s="778"/>
      <c r="J289" s="266"/>
    </row>
    <row r="290" spans="1:10" ht="25.5">
      <c r="A290" s="142">
        <f>MAX(A$1:A289)+1</f>
        <v>32</v>
      </c>
      <c r="B290" s="146"/>
      <c r="C290" s="147" t="s">
        <v>949</v>
      </c>
      <c r="D290" s="141"/>
      <c r="E290" s="116" t="s">
        <v>950</v>
      </c>
      <c r="F290" s="144"/>
      <c r="G290" s="148" t="s">
        <v>7</v>
      </c>
      <c r="H290" s="732">
        <v>216.42</v>
      </c>
      <c r="I290" s="779"/>
      <c r="J290" s="266">
        <f>I290*H290</f>
        <v>0</v>
      </c>
    </row>
    <row r="291" spans="1:10" ht="25.5">
      <c r="A291" s="139"/>
      <c r="B291" s="149"/>
      <c r="C291" s="150"/>
      <c r="D291" s="151" t="s">
        <v>951</v>
      </c>
      <c r="E291" s="126" t="s">
        <v>952</v>
      </c>
      <c r="F291" s="152"/>
      <c r="G291" s="153" t="s">
        <v>7</v>
      </c>
      <c r="H291" s="734">
        <v>216.42</v>
      </c>
      <c r="I291" s="775"/>
      <c r="J291" s="266"/>
    </row>
    <row r="292" spans="1:10">
      <c r="A292" s="139"/>
      <c r="B292" s="149"/>
      <c r="C292" s="171"/>
      <c r="D292" s="151"/>
      <c r="E292" s="387" t="s">
        <v>991</v>
      </c>
      <c r="F292" s="424">
        <f>113.33+103.09</f>
        <v>216.42000000000002</v>
      </c>
      <c r="G292" s="153"/>
      <c r="H292" s="787"/>
      <c r="I292" s="775"/>
      <c r="J292" s="266"/>
    </row>
    <row r="293" spans="1:10">
      <c r="A293" s="499"/>
      <c r="B293" s="500"/>
      <c r="C293" s="500"/>
      <c r="D293" s="501"/>
      <c r="E293" s="387"/>
      <c r="F293" s="502"/>
      <c r="G293" s="503"/>
      <c r="H293" s="780"/>
      <c r="I293" s="222"/>
      <c r="J293" s="266"/>
    </row>
    <row r="294" spans="1:10">
      <c r="A294" s="142">
        <f>MAX(A$1:A293)+1</f>
        <v>33</v>
      </c>
      <c r="B294" s="489"/>
      <c r="C294" s="26" t="s">
        <v>157</v>
      </c>
      <c r="D294" s="27"/>
      <c r="E294" s="28" t="s">
        <v>158</v>
      </c>
      <c r="F294" s="29"/>
      <c r="G294" s="30" t="s">
        <v>2</v>
      </c>
      <c r="H294" s="732">
        <v>30</v>
      </c>
      <c r="I294" s="508"/>
      <c r="J294" s="266">
        <f>H294*I294</f>
        <v>0</v>
      </c>
    </row>
    <row r="295" spans="1:10">
      <c r="A295" s="432"/>
      <c r="B295" s="754"/>
      <c r="C295" s="39"/>
      <c r="D295" s="33" t="s">
        <v>159</v>
      </c>
      <c r="E295" s="34" t="s">
        <v>160</v>
      </c>
      <c r="F295" s="35"/>
      <c r="G295" s="36" t="s">
        <v>2</v>
      </c>
      <c r="H295" s="734"/>
      <c r="I295" s="222"/>
      <c r="J295" s="266"/>
    </row>
    <row r="296" spans="1:10">
      <c r="A296" s="499"/>
      <c r="B296" s="500"/>
      <c r="C296" s="500"/>
      <c r="D296" s="501"/>
      <c r="E296" s="387" t="s">
        <v>953</v>
      </c>
      <c r="F296" s="424">
        <v>30</v>
      </c>
      <c r="G296" s="503"/>
      <c r="H296" s="780"/>
      <c r="I296" s="222"/>
      <c r="J296" s="266"/>
    </row>
    <row r="297" spans="1:10">
      <c r="A297" s="499"/>
      <c r="B297" s="500"/>
      <c r="C297" s="500"/>
      <c r="D297" s="501"/>
      <c r="E297" s="387"/>
      <c r="F297" s="502"/>
      <c r="G297" s="503"/>
      <c r="H297" s="780"/>
      <c r="I297" s="222"/>
      <c r="J297" s="266"/>
    </row>
    <row r="298" spans="1:10">
      <c r="A298" s="499"/>
      <c r="B298" s="500"/>
      <c r="C298" s="500"/>
      <c r="D298" s="501"/>
      <c r="E298" s="387"/>
      <c r="F298" s="502"/>
      <c r="G298" s="503"/>
      <c r="H298" s="780"/>
      <c r="I298" s="222"/>
      <c r="J298" s="266"/>
    </row>
    <row r="299" spans="1:10" ht="13.5" thickBot="1">
      <c r="A299" s="45"/>
      <c r="B299" s="46"/>
      <c r="C299" s="47"/>
      <c r="D299" s="48"/>
      <c r="E299" s="49"/>
      <c r="F299" s="50"/>
      <c r="G299" s="51"/>
      <c r="H299" s="193"/>
      <c r="I299" s="209"/>
      <c r="J299" s="65"/>
    </row>
    <row r="300" spans="1:10" ht="13.5" thickBot="1">
      <c r="A300" s="66"/>
      <c r="B300" s="67"/>
      <c r="C300" s="67"/>
      <c r="D300" s="67"/>
      <c r="E300" s="67" t="s">
        <v>954</v>
      </c>
      <c r="F300" s="68"/>
      <c r="G300" s="67"/>
      <c r="H300" s="68"/>
      <c r="I300" s="68"/>
      <c r="J300" s="380">
        <f>SUM(J5:J299)</f>
        <v>0</v>
      </c>
    </row>
  </sheetData>
  <sheetProtection algorithmName="SHA-512" hashValue="vdszWOvsBwkCgZldtH4FaVQV61pc1ruiKoS29qhLUefQGkzeX5Ph/fXxQ8FVg6UspHaulqazGV9llRjT5pF/rg==" saltValue="8DI3rHwjdQpoTEPGKoCqP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- KRUHOVÝ OBJAZD NA KRIŽOVATKE ULICE J.KOLLÁRA A CESTY 2460&amp;RO. Výkaz výmer a rozpočet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D708-6960-4F4A-A069-E2DBBCA3E4BC}">
  <dimension ref="A1:J19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4" customWidth="1"/>
    <col min="10" max="10" width="14.85546875" style="4" customWidth="1"/>
    <col min="11" max="16384" width="9.140625" style="7"/>
  </cols>
  <sheetData>
    <row r="1" spans="1:10">
      <c r="A1" s="1" t="s">
        <v>13</v>
      </c>
      <c r="B1" s="1"/>
      <c r="C1" s="2"/>
      <c r="D1" s="3"/>
      <c r="E1" s="54" t="s">
        <v>745</v>
      </c>
      <c r="G1" s="5"/>
      <c r="H1" s="55"/>
      <c r="I1" s="55"/>
      <c r="J1" s="55"/>
    </row>
    <row r="2" spans="1:10" ht="13.5" thickBot="1">
      <c r="A2" s="8" t="s">
        <v>14</v>
      </c>
      <c r="B2" s="1"/>
      <c r="C2" s="2"/>
      <c r="D2" s="3"/>
      <c r="E2" s="9">
        <v>2214</v>
      </c>
      <c r="G2" s="10"/>
      <c r="H2" s="56"/>
      <c r="I2" s="56"/>
      <c r="J2" s="56"/>
    </row>
    <row r="3" spans="1:10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36" t="s">
        <v>18</v>
      </c>
      <c r="I3" s="840" t="s">
        <v>163</v>
      </c>
      <c r="J3" s="840" t="s">
        <v>164</v>
      </c>
    </row>
    <row r="4" spans="1:10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37"/>
      <c r="I4" s="841"/>
      <c r="J4" s="841"/>
    </row>
    <row r="5" spans="1:10">
      <c r="A5" s="15"/>
      <c r="B5" s="16"/>
      <c r="C5" s="16"/>
      <c r="D5" s="17"/>
      <c r="E5" s="18"/>
      <c r="F5" s="19"/>
      <c r="G5" s="20"/>
      <c r="H5" s="61"/>
      <c r="I5" s="211"/>
      <c r="J5" s="61"/>
    </row>
    <row r="6" spans="1:10">
      <c r="A6" s="64"/>
      <c r="B6" s="5"/>
      <c r="C6" s="63"/>
      <c r="D6" s="33"/>
      <c r="E6" s="34"/>
      <c r="F6" s="35"/>
      <c r="G6" s="36"/>
      <c r="H6" s="62"/>
      <c r="I6" s="212"/>
      <c r="J6" s="62"/>
    </row>
    <row r="7" spans="1:10">
      <c r="A7" s="64"/>
      <c r="B7" s="216" t="s">
        <v>741</v>
      </c>
      <c r="C7" s="217"/>
      <c r="D7" s="218"/>
      <c r="E7" s="219" t="s">
        <v>742</v>
      </c>
      <c r="F7" s="35"/>
      <c r="G7" s="36"/>
      <c r="H7" s="62"/>
      <c r="I7" s="212"/>
      <c r="J7" s="62"/>
    </row>
    <row r="8" spans="1:10">
      <c r="A8" s="64"/>
      <c r="B8" s="5"/>
      <c r="C8" s="63"/>
      <c r="D8" s="33"/>
      <c r="E8" s="34"/>
      <c r="F8" s="35"/>
      <c r="G8" s="36"/>
      <c r="H8" s="62"/>
      <c r="I8" s="212"/>
      <c r="J8" s="62"/>
    </row>
    <row r="9" spans="1:10">
      <c r="A9" s="119">
        <v>1</v>
      </c>
      <c r="B9" s="120"/>
      <c r="C9" s="121">
        <v>91090201</v>
      </c>
      <c r="D9" s="122"/>
      <c r="E9" s="116" t="s">
        <v>743</v>
      </c>
      <c r="F9" s="129"/>
      <c r="G9" s="123" t="s">
        <v>116</v>
      </c>
      <c r="H9" s="124">
        <v>1</v>
      </c>
      <c r="I9" s="806"/>
      <c r="J9" s="59">
        <f t="shared" ref="J9" si="0">I9*H9</f>
        <v>0</v>
      </c>
    </row>
    <row r="10" spans="1:10">
      <c r="A10" s="119"/>
      <c r="B10" s="120"/>
      <c r="C10" s="130"/>
      <c r="D10" s="125">
        <v>9109020101</v>
      </c>
      <c r="E10" s="126" t="s">
        <v>744</v>
      </c>
      <c r="F10" s="131"/>
      <c r="G10" s="127" t="s">
        <v>116</v>
      </c>
      <c r="H10" s="128">
        <v>1</v>
      </c>
      <c r="I10" s="200"/>
      <c r="J10" s="58"/>
    </row>
    <row r="11" spans="1:10">
      <c r="A11" s="119"/>
      <c r="B11" s="120"/>
      <c r="C11" s="130"/>
      <c r="D11" s="125"/>
      <c r="E11" s="126"/>
      <c r="F11" s="132"/>
      <c r="G11" s="127"/>
      <c r="H11" s="128"/>
      <c r="I11" s="200"/>
      <c r="J11" s="58"/>
    </row>
    <row r="12" spans="1:10">
      <c r="A12" s="25"/>
      <c r="B12" s="5"/>
      <c r="C12" s="26"/>
      <c r="D12" s="27"/>
      <c r="E12" s="28"/>
      <c r="F12" s="29"/>
      <c r="G12" s="30"/>
      <c r="H12" s="59"/>
      <c r="I12" s="213"/>
      <c r="J12" s="59"/>
    </row>
    <row r="13" spans="1:10">
      <c r="A13" s="25"/>
      <c r="B13" s="5"/>
      <c r="C13" s="38"/>
      <c r="D13" s="39"/>
      <c r="E13" s="34"/>
      <c r="F13" s="35"/>
      <c r="G13" s="36"/>
      <c r="H13" s="58"/>
      <c r="I13" s="200"/>
      <c r="J13" s="58"/>
    </row>
    <row r="14" spans="1:10" ht="13.5" thickBot="1">
      <c r="A14" s="45"/>
      <c r="B14" s="46"/>
      <c r="C14" s="47"/>
      <c r="D14" s="48"/>
      <c r="E14" s="49"/>
      <c r="F14" s="50"/>
      <c r="G14" s="51"/>
      <c r="H14" s="65"/>
      <c r="I14" s="214"/>
      <c r="J14" s="65"/>
    </row>
    <row r="15" spans="1:10" ht="13.5" thickBot="1">
      <c r="A15" s="66"/>
      <c r="B15" s="67"/>
      <c r="C15" s="67"/>
      <c r="D15" s="67"/>
      <c r="E15" s="67" t="s">
        <v>746</v>
      </c>
      <c r="F15" s="68"/>
      <c r="G15" s="67"/>
      <c r="H15" s="68"/>
      <c r="I15" s="68"/>
      <c r="J15" s="380">
        <f>SUM(J5:J14)</f>
        <v>0</v>
      </c>
    </row>
    <row r="19" spans="2:5">
      <c r="B19" s="117"/>
      <c r="C19" s="117"/>
      <c r="D19" s="118"/>
      <c r="E19" s="116"/>
    </row>
  </sheetData>
  <sheetProtection algorithmName="SHA-512" hashValue="UsWjXO2jeiEPYqlFeFF6c9yyqcID92L9VPBP3lyk0xx89ko4uAMuKXzrcovKgsUSNeX+IOCOY0qWTmhw0kAwMA==" saltValue="BRwTo5t+0Bo3YIG1/AZoAA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 : ZVOLEN - KRUHOVÝ OBJAZD NA KRIŽOVATKE ULICE  J: KOLLÁRA A CESTY 2460&amp;RO. Výkaz výmer a rozpočet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198E-D4A9-4EF1-BCBA-F44997771220}">
  <dimension ref="A1:L77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4" customWidth="1"/>
    <col min="10" max="10" width="14.85546875" style="4" customWidth="1"/>
    <col min="11" max="16384" width="9.140625" style="7"/>
  </cols>
  <sheetData>
    <row r="1" spans="1:12">
      <c r="A1" s="1" t="s">
        <v>13</v>
      </c>
      <c r="B1" s="1"/>
      <c r="C1" s="2"/>
      <c r="D1" s="3"/>
      <c r="E1" s="54" t="s">
        <v>747</v>
      </c>
      <c r="G1" s="5"/>
      <c r="H1" s="55"/>
      <c r="I1" s="55"/>
      <c r="J1" s="55"/>
    </row>
    <row r="2" spans="1:12" ht="13.5" thickBot="1">
      <c r="A2" s="8" t="s">
        <v>14</v>
      </c>
      <c r="B2" s="1"/>
      <c r="C2" s="2"/>
      <c r="D2" s="3"/>
      <c r="E2" s="9">
        <v>2111</v>
      </c>
      <c r="G2" s="10"/>
      <c r="H2" s="56"/>
      <c r="I2" s="56"/>
      <c r="J2" s="56"/>
    </row>
    <row r="3" spans="1:12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36" t="s">
        <v>18</v>
      </c>
      <c r="I3" s="840" t="s">
        <v>163</v>
      </c>
      <c r="J3" s="840" t="s">
        <v>164</v>
      </c>
    </row>
    <row r="4" spans="1:12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37"/>
      <c r="I4" s="841"/>
      <c r="J4" s="841"/>
    </row>
    <row r="5" spans="1:12">
      <c r="A5" s="15"/>
      <c r="B5" s="16"/>
      <c r="C5" s="16"/>
      <c r="D5" s="17"/>
      <c r="E5" s="18"/>
      <c r="F5" s="19"/>
      <c r="G5" s="20"/>
      <c r="H5" s="61"/>
      <c r="I5" s="211"/>
      <c r="J5" s="61"/>
    </row>
    <row r="6" spans="1:12">
      <c r="A6" s="64"/>
      <c r="B6" s="5"/>
      <c r="C6" s="63"/>
      <c r="D6" s="33"/>
      <c r="E6" s="34"/>
      <c r="F6" s="35"/>
      <c r="G6" s="36"/>
      <c r="H6" s="62"/>
      <c r="I6" s="212"/>
      <c r="J6" s="62"/>
    </row>
    <row r="7" spans="1:12">
      <c r="A7" s="64"/>
      <c r="B7" s="216" t="s">
        <v>71</v>
      </c>
      <c r="C7" s="217"/>
      <c r="D7" s="218"/>
      <c r="E7" s="219" t="s">
        <v>72</v>
      </c>
      <c r="F7" s="35"/>
      <c r="G7" s="36"/>
      <c r="H7" s="62"/>
      <c r="I7" s="212"/>
      <c r="J7" s="62"/>
    </row>
    <row r="8" spans="1:12">
      <c r="A8" s="64"/>
      <c r="B8" s="216"/>
      <c r="C8" s="217"/>
      <c r="D8" s="218"/>
      <c r="E8" s="219"/>
      <c r="F8" s="35"/>
      <c r="G8" s="36"/>
      <c r="H8" s="62"/>
      <c r="I8" s="212"/>
      <c r="J8" s="62"/>
    </row>
    <row r="9" spans="1:12" ht="25.5">
      <c r="A9" s="227">
        <f>MAX(A$1:A8)+1</f>
        <v>1</v>
      </c>
      <c r="B9" s="133"/>
      <c r="C9" s="26" t="s">
        <v>751</v>
      </c>
      <c r="D9" s="27"/>
      <c r="E9" s="28" t="s">
        <v>752</v>
      </c>
      <c r="F9" s="29"/>
      <c r="G9" s="30" t="s">
        <v>2</v>
      </c>
      <c r="H9" s="98">
        <v>2740</v>
      </c>
      <c r="I9" s="806"/>
      <c r="J9" s="59">
        <f t="shared" ref="J9" si="0">I9*H9</f>
        <v>0</v>
      </c>
      <c r="L9" s="4"/>
    </row>
    <row r="10" spans="1:12" ht="25.5">
      <c r="A10" s="134"/>
      <c r="B10" s="133"/>
      <c r="C10" s="135"/>
      <c r="D10" s="33" t="s">
        <v>753</v>
      </c>
      <c r="E10" s="34" t="s">
        <v>754</v>
      </c>
      <c r="F10" s="35"/>
      <c r="G10" s="36" t="s">
        <v>2</v>
      </c>
      <c r="H10" s="104">
        <v>2740</v>
      </c>
      <c r="I10" s="200"/>
      <c r="J10" s="58"/>
    </row>
    <row r="11" spans="1:12">
      <c r="A11" s="134"/>
      <c r="B11" s="133"/>
      <c r="C11" s="135"/>
      <c r="D11" s="33"/>
      <c r="E11" s="316" t="s">
        <v>755</v>
      </c>
      <c r="F11" s="35"/>
      <c r="G11" s="36"/>
      <c r="H11" s="104"/>
      <c r="I11" s="200"/>
      <c r="J11" s="58"/>
    </row>
    <row r="12" spans="1:12">
      <c r="A12" s="134"/>
      <c r="B12" s="133"/>
      <c r="C12" s="135"/>
      <c r="D12" s="33"/>
      <c r="E12" s="316" t="s">
        <v>756</v>
      </c>
      <c r="F12" s="293"/>
      <c r="G12" s="36"/>
      <c r="H12" s="104"/>
      <c r="I12" s="200"/>
      <c r="J12" s="58"/>
    </row>
    <row r="13" spans="1:12">
      <c r="A13" s="134"/>
      <c r="B13" s="133"/>
      <c r="C13" s="135"/>
      <c r="D13" s="33"/>
      <c r="E13" s="237" t="s">
        <v>264</v>
      </c>
      <c r="F13" s="238">
        <v>578</v>
      </c>
      <c r="G13" s="36"/>
      <c r="H13" s="104"/>
      <c r="I13" s="200"/>
      <c r="J13" s="58"/>
    </row>
    <row r="14" spans="1:12">
      <c r="A14" s="134"/>
      <c r="B14" s="133"/>
      <c r="C14" s="135"/>
      <c r="D14" s="33"/>
      <c r="E14" s="316" t="s">
        <v>759</v>
      </c>
      <c r="F14" s="289"/>
      <c r="G14" s="36"/>
      <c r="H14" s="104"/>
      <c r="I14" s="200"/>
      <c r="J14" s="58"/>
    </row>
    <row r="15" spans="1:12">
      <c r="A15" s="134"/>
      <c r="B15" s="133"/>
      <c r="C15" s="135"/>
      <c r="D15" s="33"/>
      <c r="E15" s="237" t="s">
        <v>265</v>
      </c>
      <c r="F15" s="238">
        <v>122</v>
      </c>
      <c r="G15" s="36"/>
      <c r="H15" s="104"/>
      <c r="I15" s="200"/>
      <c r="J15" s="58"/>
    </row>
    <row r="16" spans="1:12">
      <c r="A16" s="134"/>
      <c r="B16" s="133"/>
      <c r="C16" s="135"/>
      <c r="D16" s="33"/>
      <c r="E16" s="237" t="s">
        <v>266</v>
      </c>
      <c r="F16" s="319">
        <v>144</v>
      </c>
      <c r="G16" s="36"/>
      <c r="H16" s="104"/>
      <c r="I16" s="200"/>
      <c r="J16" s="58"/>
    </row>
    <row r="17" spans="1:10">
      <c r="A17" s="134"/>
      <c r="B17" s="133"/>
      <c r="C17" s="135"/>
      <c r="D17" s="33"/>
      <c r="E17" s="320"/>
      <c r="F17" s="238">
        <f>SUM(F15:F16)</f>
        <v>266</v>
      </c>
      <c r="G17" s="36"/>
      <c r="H17" s="104"/>
      <c r="I17" s="200"/>
      <c r="J17" s="58"/>
    </row>
    <row r="18" spans="1:10">
      <c r="A18" s="134"/>
      <c r="B18" s="133"/>
      <c r="C18" s="135"/>
      <c r="D18" s="33"/>
      <c r="E18" s="316" t="s">
        <v>757</v>
      </c>
      <c r="F18" s="35"/>
      <c r="G18" s="36"/>
      <c r="H18" s="104"/>
      <c r="I18" s="200"/>
      <c r="J18" s="58"/>
    </row>
    <row r="19" spans="1:10">
      <c r="A19" s="134"/>
      <c r="B19" s="133"/>
      <c r="C19" s="135"/>
      <c r="D19" s="33"/>
      <c r="E19" s="258" t="s">
        <v>299</v>
      </c>
      <c r="F19" s="35"/>
      <c r="G19" s="36"/>
      <c r="H19" s="104"/>
      <c r="I19" s="200"/>
      <c r="J19" s="58"/>
    </row>
    <row r="20" spans="1:10">
      <c r="A20" s="134"/>
      <c r="B20" s="133"/>
      <c r="C20" s="135"/>
      <c r="D20" s="33"/>
      <c r="E20" s="195" t="s">
        <v>264</v>
      </c>
      <c r="F20" s="270">
        <v>458</v>
      </c>
      <c r="G20" s="36"/>
      <c r="H20" s="104"/>
      <c r="I20" s="200"/>
      <c r="J20" s="58"/>
    </row>
    <row r="21" spans="1:10">
      <c r="A21" s="134"/>
      <c r="B21" s="133"/>
      <c r="C21" s="135"/>
      <c r="D21" s="33"/>
      <c r="E21" s="195" t="s">
        <v>589</v>
      </c>
      <c r="F21" s="270">
        <v>269</v>
      </c>
      <c r="G21" s="36"/>
      <c r="H21" s="104"/>
      <c r="I21" s="200"/>
      <c r="J21" s="58"/>
    </row>
    <row r="22" spans="1:10">
      <c r="A22" s="134"/>
      <c r="B22" s="133"/>
      <c r="C22" s="135"/>
      <c r="D22" s="33"/>
      <c r="E22" s="195" t="s">
        <v>265</v>
      </c>
      <c r="F22" s="270">
        <v>196</v>
      </c>
      <c r="G22" s="36"/>
      <c r="H22" s="104"/>
      <c r="I22" s="200"/>
      <c r="J22" s="58"/>
    </row>
    <row r="23" spans="1:10">
      <c r="A23" s="134"/>
      <c r="B23" s="133"/>
      <c r="C23" s="135"/>
      <c r="D23" s="33"/>
      <c r="E23" s="195" t="s">
        <v>578</v>
      </c>
      <c r="F23" s="270">
        <v>71</v>
      </c>
      <c r="G23" s="36"/>
      <c r="H23" s="104"/>
      <c r="I23" s="200"/>
      <c r="J23" s="58"/>
    </row>
    <row r="24" spans="1:10">
      <c r="A24" s="134"/>
      <c r="B24" s="133"/>
      <c r="C24" s="135"/>
      <c r="D24" s="33"/>
      <c r="E24" s="195" t="s">
        <v>580</v>
      </c>
      <c r="F24" s="270">
        <v>0</v>
      </c>
      <c r="G24" s="36"/>
      <c r="H24" s="104"/>
      <c r="I24" s="200"/>
      <c r="J24" s="58"/>
    </row>
    <row r="25" spans="1:10">
      <c r="A25" s="134"/>
      <c r="B25" s="133"/>
      <c r="C25" s="135"/>
      <c r="D25" s="33"/>
      <c r="E25" s="195" t="s">
        <v>266</v>
      </c>
      <c r="F25" s="304">
        <v>258</v>
      </c>
      <c r="G25" s="36"/>
      <c r="H25" s="104"/>
      <c r="I25" s="200"/>
      <c r="J25" s="58"/>
    </row>
    <row r="26" spans="1:10">
      <c r="A26" s="134"/>
      <c r="B26" s="133"/>
      <c r="C26" s="135"/>
      <c r="D26" s="33"/>
      <c r="E26" s="305"/>
      <c r="F26" s="270">
        <f>SUM(F20:F25)</f>
        <v>1252</v>
      </c>
      <c r="G26" s="36"/>
      <c r="H26" s="104"/>
      <c r="I26" s="200"/>
      <c r="J26" s="58"/>
    </row>
    <row r="27" spans="1:10">
      <c r="A27" s="134"/>
      <c r="B27" s="133"/>
      <c r="C27" s="135"/>
      <c r="D27" s="33"/>
      <c r="E27" s="258" t="s">
        <v>627</v>
      </c>
      <c r="F27" s="255"/>
      <c r="G27" s="36"/>
      <c r="H27" s="104"/>
      <c r="I27" s="200"/>
      <c r="J27" s="58"/>
    </row>
    <row r="28" spans="1:10">
      <c r="A28" s="134"/>
      <c r="B28" s="133"/>
      <c r="C28" s="135"/>
      <c r="D28" s="33"/>
      <c r="E28" s="195" t="s">
        <v>265</v>
      </c>
      <c r="F28" s="270">
        <v>231</v>
      </c>
      <c r="G28" s="36"/>
      <c r="H28" s="104"/>
      <c r="I28" s="200"/>
      <c r="J28" s="58"/>
    </row>
    <row r="29" spans="1:10">
      <c r="A29" s="134"/>
      <c r="B29" s="133"/>
      <c r="C29" s="135"/>
      <c r="D29" s="33"/>
      <c r="E29" s="195" t="s">
        <v>578</v>
      </c>
      <c r="F29" s="270">
        <v>139</v>
      </c>
      <c r="G29" s="36"/>
      <c r="H29" s="104"/>
      <c r="I29" s="200"/>
      <c r="J29" s="58"/>
    </row>
    <row r="30" spans="1:10">
      <c r="A30" s="134"/>
      <c r="B30" s="133"/>
      <c r="C30" s="135"/>
      <c r="D30" s="33"/>
      <c r="E30" s="195" t="s">
        <v>580</v>
      </c>
      <c r="F30" s="270">
        <v>86</v>
      </c>
      <c r="G30" s="36"/>
      <c r="H30" s="104"/>
      <c r="I30" s="200"/>
      <c r="J30" s="58"/>
    </row>
    <row r="31" spans="1:10">
      <c r="A31" s="134"/>
      <c r="B31" s="133"/>
      <c r="C31" s="135"/>
      <c r="D31" s="33"/>
      <c r="E31" s="195" t="s">
        <v>266</v>
      </c>
      <c r="F31" s="304">
        <v>188</v>
      </c>
      <c r="G31" s="36"/>
      <c r="H31" s="104"/>
      <c r="I31" s="200"/>
      <c r="J31" s="58"/>
    </row>
    <row r="32" spans="1:10">
      <c r="A32" s="134"/>
      <c r="B32" s="133"/>
      <c r="C32" s="135"/>
      <c r="D32" s="33"/>
      <c r="E32" s="305"/>
      <c r="F32" s="270">
        <f>SUM(F28:F31)</f>
        <v>644</v>
      </c>
      <c r="G32" s="36"/>
      <c r="H32" s="104"/>
      <c r="I32" s="200"/>
      <c r="J32" s="58"/>
    </row>
    <row r="33" spans="1:10">
      <c r="A33" s="134"/>
      <c r="B33" s="133"/>
      <c r="C33" s="135"/>
      <c r="D33" s="33"/>
      <c r="E33" s="34"/>
      <c r="F33" s="35"/>
      <c r="G33" s="36"/>
      <c r="H33" s="104"/>
      <c r="I33" s="200"/>
      <c r="J33" s="58"/>
    </row>
    <row r="34" spans="1:10">
      <c r="A34" s="134"/>
      <c r="B34" s="133"/>
      <c r="C34" s="135"/>
      <c r="D34" s="33"/>
      <c r="E34" s="768" t="s">
        <v>760</v>
      </c>
      <c r="F34" s="331">
        <f>F13+F17+F26+F32</f>
        <v>2740</v>
      </c>
      <c r="G34" s="36"/>
      <c r="H34" s="104"/>
      <c r="I34" s="200"/>
      <c r="J34" s="58"/>
    </row>
    <row r="35" spans="1:10">
      <c r="A35" s="134"/>
      <c r="B35" s="133"/>
      <c r="C35" s="135"/>
      <c r="D35" s="33"/>
      <c r="E35" s="34"/>
      <c r="F35" s="35"/>
      <c r="G35" s="36"/>
      <c r="H35" s="104"/>
      <c r="I35" s="200"/>
      <c r="J35" s="58"/>
    </row>
    <row r="36" spans="1:10">
      <c r="A36" s="119"/>
      <c r="B36" s="120"/>
      <c r="C36" s="130"/>
      <c r="D36" s="125"/>
      <c r="E36" s="126"/>
      <c r="F36" s="132"/>
      <c r="G36" s="127"/>
      <c r="H36" s="128"/>
      <c r="I36" s="200"/>
      <c r="J36" s="58"/>
    </row>
    <row r="37" spans="1:10" ht="25.5">
      <c r="A37" s="106">
        <v>2</v>
      </c>
      <c r="B37" s="120"/>
      <c r="C37" s="26" t="s">
        <v>305</v>
      </c>
      <c r="D37" s="27"/>
      <c r="E37" s="28" t="s">
        <v>306</v>
      </c>
      <c r="F37" s="29"/>
      <c r="G37" s="30" t="s">
        <v>2</v>
      </c>
      <c r="H37" s="98">
        <v>2740</v>
      </c>
      <c r="I37" s="806"/>
      <c r="J37" s="59">
        <f t="shared" ref="J37" si="1">I37*H37</f>
        <v>0</v>
      </c>
    </row>
    <row r="38" spans="1:10" ht="25.5">
      <c r="A38" s="119"/>
      <c r="B38" s="120"/>
      <c r="C38" s="130"/>
      <c r="D38" s="33" t="s">
        <v>307</v>
      </c>
      <c r="E38" s="34" t="s">
        <v>308</v>
      </c>
      <c r="F38" s="35"/>
      <c r="G38" s="36" t="s">
        <v>2</v>
      </c>
      <c r="H38" s="104">
        <v>2740</v>
      </c>
      <c r="I38" s="200"/>
      <c r="J38" s="58"/>
    </row>
    <row r="39" spans="1:10">
      <c r="A39" s="119"/>
      <c r="B39" s="120"/>
      <c r="C39" s="130"/>
      <c r="D39" s="125"/>
      <c r="E39" s="126"/>
      <c r="F39" s="132"/>
      <c r="G39" s="127"/>
      <c r="H39" s="128"/>
      <c r="I39" s="200"/>
      <c r="J39" s="58"/>
    </row>
    <row r="40" spans="1:10" ht="25.5">
      <c r="A40" s="106">
        <v>3</v>
      </c>
      <c r="B40" s="120"/>
      <c r="C40" s="26" t="s">
        <v>310</v>
      </c>
      <c r="D40" s="27"/>
      <c r="E40" s="28" t="s">
        <v>311</v>
      </c>
      <c r="F40" s="29"/>
      <c r="G40" s="30" t="s">
        <v>2</v>
      </c>
      <c r="H40" s="98">
        <v>2740</v>
      </c>
      <c r="I40" s="806"/>
      <c r="J40" s="59">
        <f t="shared" ref="J40" si="2">I40*H40</f>
        <v>0</v>
      </c>
    </row>
    <row r="41" spans="1:10" ht="25.5">
      <c r="A41" s="119"/>
      <c r="B41" s="120"/>
      <c r="C41" s="130"/>
      <c r="D41" s="33" t="s">
        <v>312</v>
      </c>
      <c r="E41" s="34" t="s">
        <v>313</v>
      </c>
      <c r="F41" s="35"/>
      <c r="G41" s="36" t="s">
        <v>2</v>
      </c>
      <c r="H41" s="104">
        <v>2740</v>
      </c>
      <c r="I41" s="200"/>
      <c r="J41" s="58"/>
    </row>
    <row r="42" spans="1:10">
      <c r="A42" s="119"/>
      <c r="B42" s="120"/>
      <c r="C42" s="130"/>
      <c r="D42" s="125"/>
      <c r="E42" s="126"/>
      <c r="F42" s="132"/>
      <c r="G42" s="127"/>
      <c r="H42" s="128"/>
      <c r="I42" s="200"/>
      <c r="J42" s="58"/>
    </row>
    <row r="43" spans="1:10" ht="25.5">
      <c r="A43" s="106">
        <v>4</v>
      </c>
      <c r="B43" s="133"/>
      <c r="C43" s="93" t="s">
        <v>65</v>
      </c>
      <c r="D43" s="94"/>
      <c r="E43" s="95" t="s">
        <v>66</v>
      </c>
      <c r="F43" s="96"/>
      <c r="G43" s="97" t="s">
        <v>2</v>
      </c>
      <c r="H43" s="98">
        <f>H44+H60</f>
        <v>2740</v>
      </c>
      <c r="I43" s="806"/>
      <c r="J43" s="59">
        <f>H43*I43</f>
        <v>0</v>
      </c>
    </row>
    <row r="44" spans="1:10" ht="25.5">
      <c r="A44" s="134"/>
      <c r="B44" s="133"/>
      <c r="C44" s="135"/>
      <c r="D44" s="100" t="s">
        <v>749</v>
      </c>
      <c r="E44" s="101" t="s">
        <v>750</v>
      </c>
      <c r="F44" s="102"/>
      <c r="G44" s="103" t="s">
        <v>2</v>
      </c>
      <c r="H44" s="104">
        <v>1830</v>
      </c>
      <c r="I44" s="215"/>
      <c r="J44" s="58"/>
    </row>
    <row r="45" spans="1:10">
      <c r="A45" s="134"/>
      <c r="B45" s="133"/>
      <c r="C45" s="135"/>
      <c r="D45" s="100"/>
      <c r="E45" s="108" t="s">
        <v>761</v>
      </c>
      <c r="F45" s="109"/>
      <c r="G45" s="103"/>
      <c r="H45" s="136"/>
      <c r="I45" s="200"/>
      <c r="J45" s="58"/>
    </row>
    <row r="46" spans="1:10">
      <c r="A46" s="134"/>
      <c r="B46" s="133"/>
      <c r="C46" s="135"/>
      <c r="D46" s="100"/>
      <c r="E46" s="316" t="s">
        <v>755</v>
      </c>
      <c r="F46" s="35"/>
      <c r="G46" s="103"/>
      <c r="H46" s="136"/>
      <c r="I46" s="200"/>
      <c r="J46" s="58"/>
    </row>
    <row r="47" spans="1:10">
      <c r="A47" s="134"/>
      <c r="B47" s="133"/>
      <c r="C47" s="135"/>
      <c r="D47" s="100"/>
      <c r="E47" s="316" t="s">
        <v>756</v>
      </c>
      <c r="F47" s="293"/>
      <c r="G47" s="103"/>
      <c r="H47" s="136"/>
      <c r="I47" s="200"/>
      <c r="J47" s="58"/>
    </row>
    <row r="48" spans="1:10">
      <c r="A48" s="134"/>
      <c r="B48" s="133"/>
      <c r="C48" s="135"/>
      <c r="D48" s="100"/>
      <c r="E48" s="237" t="s">
        <v>264</v>
      </c>
      <c r="F48" s="238">
        <v>578</v>
      </c>
      <c r="G48" s="103"/>
      <c r="H48" s="136"/>
      <c r="I48" s="200"/>
      <c r="J48" s="58"/>
    </row>
    <row r="49" spans="1:10">
      <c r="A49" s="134"/>
      <c r="B49" s="133"/>
      <c r="C49" s="135"/>
      <c r="D49" s="100"/>
      <c r="E49" s="316" t="s">
        <v>757</v>
      </c>
      <c r="F49" s="35"/>
      <c r="G49" s="103"/>
      <c r="H49" s="136"/>
      <c r="I49" s="200"/>
      <c r="J49" s="58"/>
    </row>
    <row r="50" spans="1:10">
      <c r="A50" s="134"/>
      <c r="B50" s="133"/>
      <c r="C50" s="135"/>
      <c r="D50" s="100"/>
      <c r="E50" s="258" t="s">
        <v>299</v>
      </c>
      <c r="F50" s="35"/>
      <c r="G50" s="103"/>
      <c r="H50" s="136"/>
      <c r="I50" s="200"/>
      <c r="J50" s="58"/>
    </row>
    <row r="51" spans="1:10">
      <c r="A51" s="134"/>
      <c r="B51" s="133"/>
      <c r="C51" s="135"/>
      <c r="D51" s="100"/>
      <c r="E51" s="195" t="s">
        <v>264</v>
      </c>
      <c r="F51" s="270">
        <v>458</v>
      </c>
      <c r="G51" s="103"/>
      <c r="H51" s="136"/>
      <c r="I51" s="200"/>
      <c r="J51" s="58"/>
    </row>
    <row r="52" spans="1:10">
      <c r="A52" s="134"/>
      <c r="B52" s="133"/>
      <c r="C52" s="135"/>
      <c r="D52" s="100"/>
      <c r="E52" s="195" t="s">
        <v>589</v>
      </c>
      <c r="F52" s="270">
        <v>269</v>
      </c>
      <c r="G52" s="103"/>
      <c r="H52" s="136"/>
      <c r="I52" s="200"/>
      <c r="J52" s="58"/>
    </row>
    <row r="53" spans="1:10">
      <c r="A53" s="134"/>
      <c r="B53" s="133"/>
      <c r="C53" s="135"/>
      <c r="D53" s="100"/>
      <c r="E53" s="195" t="s">
        <v>265</v>
      </c>
      <c r="F53" s="270">
        <v>196</v>
      </c>
      <c r="G53" s="103"/>
      <c r="H53" s="136"/>
      <c r="I53" s="200"/>
      <c r="J53" s="58"/>
    </row>
    <row r="54" spans="1:10">
      <c r="A54" s="134"/>
      <c r="B54" s="133"/>
      <c r="C54" s="135"/>
      <c r="D54" s="100"/>
      <c r="E54" s="195" t="s">
        <v>578</v>
      </c>
      <c r="F54" s="270">
        <v>71</v>
      </c>
      <c r="G54" s="103"/>
      <c r="H54" s="136"/>
      <c r="I54" s="200"/>
      <c r="J54" s="58"/>
    </row>
    <row r="55" spans="1:10">
      <c r="A55" s="134"/>
      <c r="B55" s="133"/>
      <c r="C55" s="135"/>
      <c r="D55" s="100"/>
      <c r="E55" s="195" t="s">
        <v>580</v>
      </c>
      <c r="F55" s="270">
        <v>0</v>
      </c>
      <c r="G55" s="103"/>
      <c r="H55" s="136"/>
      <c r="I55" s="200"/>
      <c r="J55" s="58"/>
    </row>
    <row r="56" spans="1:10">
      <c r="A56" s="134"/>
      <c r="B56" s="133"/>
      <c r="C56" s="135"/>
      <c r="D56" s="100"/>
      <c r="E56" s="195" t="s">
        <v>266</v>
      </c>
      <c r="F56" s="304">
        <v>258</v>
      </c>
      <c r="G56" s="103"/>
      <c r="H56" s="136"/>
      <c r="I56" s="200"/>
      <c r="J56" s="58"/>
    </row>
    <row r="57" spans="1:10">
      <c r="A57" s="134"/>
      <c r="B57" s="133"/>
      <c r="C57" s="135"/>
      <c r="D57" s="100"/>
      <c r="E57" s="305"/>
      <c r="F57" s="270">
        <f>SUM(F51:F56)</f>
        <v>1252</v>
      </c>
      <c r="G57" s="103"/>
      <c r="H57" s="136"/>
      <c r="I57" s="200"/>
      <c r="J57" s="58"/>
    </row>
    <row r="58" spans="1:10">
      <c r="A58" s="134"/>
      <c r="B58" s="133"/>
      <c r="C58" s="135"/>
      <c r="D58" s="100"/>
      <c r="E58" s="137" t="s">
        <v>762</v>
      </c>
      <c r="F58" s="138">
        <f>F48+F57</f>
        <v>1830</v>
      </c>
      <c r="G58" s="103"/>
      <c r="H58" s="136"/>
      <c r="I58" s="200"/>
      <c r="J58" s="58"/>
    </row>
    <row r="59" spans="1:10">
      <c r="A59" s="134"/>
      <c r="B59" s="133"/>
      <c r="C59" s="135"/>
      <c r="D59" s="100"/>
      <c r="E59" s="108"/>
      <c r="F59" s="109"/>
      <c r="G59" s="103"/>
      <c r="H59" s="136"/>
      <c r="I59" s="200"/>
      <c r="J59" s="58"/>
    </row>
    <row r="60" spans="1:10" ht="25.5">
      <c r="A60" s="134"/>
      <c r="B60" s="133"/>
      <c r="C60" s="135"/>
      <c r="D60" s="100" t="s">
        <v>67</v>
      </c>
      <c r="E60" s="101" t="s">
        <v>68</v>
      </c>
      <c r="F60" s="102"/>
      <c r="G60" s="103" t="s">
        <v>2</v>
      </c>
      <c r="H60" s="104">
        <v>910</v>
      </c>
      <c r="I60" s="215"/>
      <c r="J60" s="58"/>
    </row>
    <row r="61" spans="1:10">
      <c r="A61" s="119"/>
      <c r="B61" s="126"/>
      <c r="C61" s="130"/>
      <c r="D61" s="125"/>
      <c r="E61" s="108" t="s">
        <v>761</v>
      </c>
      <c r="F61" s="132"/>
      <c r="G61" s="127"/>
      <c r="H61" s="128"/>
      <c r="I61" s="200"/>
      <c r="J61" s="58"/>
    </row>
    <row r="62" spans="1:10">
      <c r="A62" s="119"/>
      <c r="B62" s="126"/>
      <c r="C62" s="130"/>
      <c r="D62" s="125"/>
      <c r="E62" s="316" t="s">
        <v>755</v>
      </c>
      <c r="F62" s="132"/>
      <c r="G62" s="127"/>
      <c r="H62" s="128"/>
      <c r="I62" s="200"/>
      <c r="J62" s="58"/>
    </row>
    <row r="63" spans="1:10">
      <c r="A63" s="119"/>
      <c r="B63" s="126"/>
      <c r="C63" s="130"/>
      <c r="D63" s="125"/>
      <c r="E63" s="316" t="s">
        <v>759</v>
      </c>
      <c r="F63" s="289"/>
      <c r="G63" s="127"/>
      <c r="H63" s="128"/>
      <c r="I63" s="200"/>
      <c r="J63" s="58"/>
    </row>
    <row r="64" spans="1:10">
      <c r="A64" s="119"/>
      <c r="B64" s="126"/>
      <c r="C64" s="130"/>
      <c r="D64" s="125"/>
      <c r="E64" s="237" t="s">
        <v>265</v>
      </c>
      <c r="F64" s="238">
        <v>122</v>
      </c>
      <c r="G64" s="127"/>
      <c r="H64" s="128"/>
      <c r="I64" s="200"/>
      <c r="J64" s="58"/>
    </row>
    <row r="65" spans="1:10">
      <c r="A65" s="119"/>
      <c r="B65" s="126"/>
      <c r="C65" s="130"/>
      <c r="D65" s="125"/>
      <c r="E65" s="237" t="s">
        <v>266</v>
      </c>
      <c r="F65" s="319">
        <v>144</v>
      </c>
      <c r="G65" s="127"/>
      <c r="H65" s="128"/>
      <c r="I65" s="200"/>
      <c r="J65" s="58"/>
    </row>
    <row r="66" spans="1:10">
      <c r="A66" s="119"/>
      <c r="B66" s="126"/>
      <c r="C66" s="130"/>
      <c r="D66" s="125"/>
      <c r="E66" s="320"/>
      <c r="F66" s="238">
        <f>SUM(F64:F65)</f>
        <v>266</v>
      </c>
      <c r="G66" s="127"/>
      <c r="H66" s="128"/>
      <c r="I66" s="200"/>
      <c r="J66" s="58"/>
    </row>
    <row r="67" spans="1:10">
      <c r="A67" s="119"/>
      <c r="B67" s="126"/>
      <c r="C67" s="130"/>
      <c r="D67" s="125"/>
      <c r="E67" s="316" t="s">
        <v>757</v>
      </c>
      <c r="F67" s="132"/>
      <c r="G67" s="127"/>
      <c r="H67" s="128"/>
      <c r="I67" s="200"/>
      <c r="J67" s="58"/>
    </row>
    <row r="68" spans="1:10">
      <c r="A68" s="119"/>
      <c r="B68" s="126"/>
      <c r="C68" s="130"/>
      <c r="D68" s="125"/>
      <c r="E68" s="258" t="s">
        <v>627</v>
      </c>
      <c r="F68" s="255"/>
      <c r="G68" s="127"/>
      <c r="H68" s="128"/>
      <c r="I68" s="200"/>
      <c r="J68" s="58"/>
    </row>
    <row r="69" spans="1:10">
      <c r="A69" s="119"/>
      <c r="B69" s="126"/>
      <c r="C69" s="130"/>
      <c r="D69" s="125"/>
      <c r="E69" s="195" t="s">
        <v>265</v>
      </c>
      <c r="F69" s="270">
        <v>231</v>
      </c>
      <c r="G69" s="127"/>
      <c r="H69" s="128"/>
      <c r="I69" s="200"/>
      <c r="J69" s="58"/>
    </row>
    <row r="70" spans="1:10">
      <c r="A70" s="119"/>
      <c r="B70" s="126"/>
      <c r="C70" s="130"/>
      <c r="D70" s="125"/>
      <c r="E70" s="195" t="s">
        <v>578</v>
      </c>
      <c r="F70" s="270">
        <v>139</v>
      </c>
      <c r="G70" s="127"/>
      <c r="H70" s="128"/>
      <c r="I70" s="200"/>
      <c r="J70" s="58"/>
    </row>
    <row r="71" spans="1:10">
      <c r="A71" s="119"/>
      <c r="B71" s="126"/>
      <c r="C71" s="130"/>
      <c r="D71" s="125"/>
      <c r="E71" s="195" t="s">
        <v>580</v>
      </c>
      <c r="F71" s="270">
        <v>86</v>
      </c>
      <c r="G71" s="127"/>
      <c r="H71" s="128"/>
      <c r="I71" s="200"/>
      <c r="J71" s="58"/>
    </row>
    <row r="72" spans="1:10">
      <c r="A72" s="119"/>
      <c r="B72" s="126"/>
      <c r="C72" s="130"/>
      <c r="D72" s="125"/>
      <c r="E72" s="195" t="s">
        <v>266</v>
      </c>
      <c r="F72" s="304">
        <v>188</v>
      </c>
      <c r="G72" s="127"/>
      <c r="H72" s="128"/>
      <c r="I72" s="200"/>
      <c r="J72" s="58"/>
    </row>
    <row r="73" spans="1:10">
      <c r="A73" s="119"/>
      <c r="B73" s="126"/>
      <c r="C73" s="130"/>
      <c r="D73" s="125"/>
      <c r="E73" s="305"/>
      <c r="F73" s="270">
        <f>SUM(F69:F72)</f>
        <v>644</v>
      </c>
      <c r="G73" s="127"/>
      <c r="H73" s="128"/>
      <c r="I73" s="200"/>
      <c r="J73" s="58"/>
    </row>
    <row r="74" spans="1:10">
      <c r="A74" s="25"/>
      <c r="B74" s="5"/>
      <c r="C74" s="26"/>
      <c r="D74" s="27"/>
      <c r="E74" s="137" t="s">
        <v>762</v>
      </c>
      <c r="F74" s="138">
        <f>F66+F73</f>
        <v>910</v>
      </c>
      <c r="G74" s="30"/>
      <c r="H74" s="59"/>
      <c r="I74" s="213"/>
      <c r="J74" s="59"/>
    </row>
    <row r="75" spans="1:10">
      <c r="A75" s="25"/>
      <c r="B75" s="5"/>
      <c r="C75" s="38"/>
      <c r="D75" s="39"/>
      <c r="E75" s="34"/>
      <c r="F75" s="35"/>
      <c r="G75" s="36"/>
      <c r="H75" s="58"/>
      <c r="I75" s="200"/>
      <c r="J75" s="58"/>
    </row>
    <row r="76" spans="1:10" ht="13.5" thickBot="1">
      <c r="A76" s="45"/>
      <c r="B76" s="46"/>
      <c r="C76" s="47"/>
      <c r="D76" s="48"/>
      <c r="E76" s="49"/>
      <c r="F76" s="50"/>
      <c r="G76" s="51"/>
      <c r="H76" s="65"/>
      <c r="I76" s="214"/>
      <c r="J76" s="65"/>
    </row>
    <row r="77" spans="1:10" ht="13.5" thickBot="1">
      <c r="A77" s="66"/>
      <c r="B77" s="67"/>
      <c r="C77" s="67"/>
      <c r="D77" s="67"/>
      <c r="E77" s="67" t="s">
        <v>748</v>
      </c>
      <c r="F77" s="68"/>
      <c r="G77" s="67"/>
      <c r="H77" s="68"/>
      <c r="I77" s="68"/>
      <c r="J77" s="380">
        <f>SUM(J5:J76)</f>
        <v>0</v>
      </c>
    </row>
  </sheetData>
  <sheetProtection algorithmName="SHA-512" hashValue="47qzr9lhSGARwf6SzNz2lVq/cBMeXt63W0Lm7iGAy3j6nT+J1E9EdhmCs+rRoCBK7eNSwGOzNE1MdiwuXUppTw==" saltValue="uU7WPoWkC/FmdO3RW/te2A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 : ZVOLEN-KRUHOVÝ OBJAZD NA KRIŽOVATKE ULICE J. KOLLÁRA A CESTY 2460&amp;RO.Výkaz výmer a rozpočet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0872-D027-4910-8967-F2112F28ADB2}">
  <sheetPr>
    <pageSetUpPr fitToPage="1"/>
  </sheetPr>
  <dimension ref="B1:E14"/>
  <sheetViews>
    <sheetView showGridLines="0" workbookViewId="0">
      <pane xSplit="1" ySplit="3" topLeftCell="B4" activePane="bottomRight" state="frozen"/>
      <selection activeCell="E41" sqref="E41"/>
      <selection pane="topRight" activeCell="E41" sqref="E41"/>
      <selection pane="bottomLeft" activeCell="E41" sqref="E41"/>
      <selection pane="bottomRight" activeCell="B1" sqref="B1:E1"/>
    </sheetView>
  </sheetViews>
  <sheetFormatPr defaultRowHeight="15"/>
  <cols>
    <col min="1" max="1" width="2.28515625" style="79" customWidth="1"/>
    <col min="2" max="2" width="15.28515625" style="79" bestFit="1" customWidth="1"/>
    <col min="3" max="3" width="16.85546875" style="79" hidden="1" customWidth="1"/>
    <col min="4" max="4" width="52.5703125" style="79" bestFit="1" customWidth="1"/>
    <col min="5" max="5" width="17.28515625" style="79" customWidth="1"/>
    <col min="6" max="16384" width="9.140625" style="79"/>
  </cols>
  <sheetData>
    <row r="1" spans="2:5">
      <c r="B1" s="825" t="s">
        <v>177</v>
      </c>
      <c r="C1" s="825"/>
      <c r="D1" s="825"/>
      <c r="E1" s="825"/>
    </row>
    <row r="2" spans="2:5" ht="15.75" thickBot="1"/>
    <row r="3" spans="2:5" ht="15.75" thickBot="1">
      <c r="B3" s="82" t="s">
        <v>171</v>
      </c>
      <c r="C3" s="83" t="s">
        <v>172</v>
      </c>
      <c r="D3" s="84" t="s">
        <v>173</v>
      </c>
      <c r="E3" s="85" t="s">
        <v>176</v>
      </c>
    </row>
    <row r="4" spans="2:5">
      <c r="B4" s="86" t="s">
        <v>178</v>
      </c>
      <c r="C4" s="87"/>
      <c r="D4" s="87" t="s">
        <v>190</v>
      </c>
      <c r="E4" s="377">
        <f>'01.1'!J629</f>
        <v>0</v>
      </c>
    </row>
    <row r="5" spans="2:5" ht="24.75">
      <c r="B5" s="81"/>
      <c r="C5" s="88"/>
      <c r="D5" s="92" t="s">
        <v>191</v>
      </c>
      <c r="E5" s="377">
        <f>'01.2'!J727</f>
        <v>0</v>
      </c>
    </row>
    <row r="6" spans="2:5">
      <c r="B6" s="81"/>
      <c r="C6" s="88"/>
      <c r="D6" s="88" t="s">
        <v>192</v>
      </c>
      <c r="E6" s="377">
        <f>'01.3'!J77</f>
        <v>0</v>
      </c>
    </row>
    <row r="7" spans="2:5">
      <c r="B7" s="81"/>
      <c r="C7" s="88"/>
      <c r="D7" s="88" t="s">
        <v>193</v>
      </c>
      <c r="E7" s="377">
        <f>'01.4'!J77</f>
        <v>0</v>
      </c>
    </row>
    <row r="8" spans="2:5">
      <c r="B8" s="81" t="s">
        <v>179</v>
      </c>
      <c r="C8" s="88"/>
      <c r="D8" s="88" t="s">
        <v>180</v>
      </c>
      <c r="E8" s="377">
        <f>'02'!J159</f>
        <v>0</v>
      </c>
    </row>
    <row r="9" spans="2:5">
      <c r="B9" s="81" t="s">
        <v>181</v>
      </c>
      <c r="C9" s="88"/>
      <c r="D9" s="88" t="s">
        <v>182</v>
      </c>
      <c r="E9" s="377">
        <f>'03'!J83</f>
        <v>0</v>
      </c>
    </row>
    <row r="10" spans="2:5">
      <c r="B10" s="81" t="s">
        <v>183</v>
      </c>
      <c r="C10" s="89" t="s">
        <v>174</v>
      </c>
      <c r="D10" s="88" t="s">
        <v>184</v>
      </c>
      <c r="E10" s="377">
        <f>'04'!J67</f>
        <v>0</v>
      </c>
    </row>
    <row r="11" spans="2:5">
      <c r="B11" s="86" t="s">
        <v>185</v>
      </c>
      <c r="C11" s="87" t="s">
        <v>174</v>
      </c>
      <c r="D11" s="88" t="s">
        <v>186</v>
      </c>
      <c r="E11" s="378">
        <f>'05'!J300</f>
        <v>0</v>
      </c>
    </row>
    <row r="12" spans="2:5">
      <c r="B12" s="86" t="s">
        <v>187</v>
      </c>
      <c r="C12" s="87" t="s">
        <v>174</v>
      </c>
      <c r="D12" s="87" t="s">
        <v>194</v>
      </c>
      <c r="E12" s="378">
        <f>'06'!$J$15</f>
        <v>0</v>
      </c>
    </row>
    <row r="13" spans="2:5" ht="15.75" thickBot="1">
      <c r="B13" s="90" t="s">
        <v>188</v>
      </c>
      <c r="C13" s="91" t="s">
        <v>174</v>
      </c>
      <c r="D13" s="91" t="s">
        <v>189</v>
      </c>
      <c r="E13" s="379">
        <f>'07'!J77</f>
        <v>0</v>
      </c>
    </row>
    <row r="14" spans="2:5" ht="15.75" thickBot="1">
      <c r="B14" s="822" t="s">
        <v>175</v>
      </c>
      <c r="C14" s="823"/>
      <c r="D14" s="824"/>
      <c r="E14" s="80">
        <f>SUM(E4:E13)</f>
        <v>0</v>
      </c>
    </row>
  </sheetData>
  <sheetProtection algorithmName="SHA-512" hashValue="F5BHdwcJePtEFcHxBh5hNJEwcjNIs78myS7y2i4lqH+xeriDw0Wh95qv4mvwIgtxqW0Q/7Wru6alBtRh9BMnxg==" saltValue="DwRjzAGKgh72rwa0nm4qIg==" spinCount="100000" sheet="1" objects="1" scenarios="1"/>
  <mergeCells count="2">
    <mergeCell ref="B14:D14"/>
    <mergeCell ref="B1:E1"/>
  </mergeCells>
  <printOptions horizontalCentered="1"/>
  <pageMargins left="0.39370078740157483" right="0.39370078740157483" top="0.98425196850393704" bottom="0.59055118110236227" header="0.59055118110236227" footer="0.27559055118110237"/>
  <pageSetup paperSize="9" fitToHeight="0" orientation="landscape" r:id="rId1"/>
  <headerFooter>
    <oddHeader>&amp;LNÁZOV STAVBY: ZVOLEN_KRUHOVÝ OBJAZD NA KRIŽOVATKE ULICE J. KOLLÁRA A CESTY 2460&amp;RO.Výkaz výmer a rozpočet
Rekapitulácia objektov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ACD9-D917-4A94-B53B-A74C8547C2FF}">
  <dimension ref="A1:O629"/>
  <sheetViews>
    <sheetView showGridLines="0" zoomScaleNormal="100" workbookViewId="0">
      <pane ySplit="5" topLeftCell="A6" activePane="bottomLeft" state="frozen"/>
      <selection activeCell="E32" sqref="E32"/>
      <selection pane="bottomLeft"/>
    </sheetView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10.85546875" style="4" customWidth="1"/>
    <col min="7" max="7" width="5.7109375" style="7" customWidth="1"/>
    <col min="8" max="9" width="10.140625" style="53" customWidth="1"/>
    <col min="10" max="10" width="14.85546875" style="53" customWidth="1"/>
    <col min="11" max="16384" width="9.140625" style="7"/>
  </cols>
  <sheetData>
    <row r="1" spans="1:11">
      <c r="A1" s="1" t="s">
        <v>13</v>
      </c>
      <c r="B1" s="1"/>
      <c r="C1" s="2"/>
      <c r="D1" s="3"/>
      <c r="E1" s="54" t="s">
        <v>195</v>
      </c>
      <c r="G1" s="5"/>
      <c r="H1" s="6"/>
      <c r="I1" s="6"/>
      <c r="J1" s="6"/>
    </row>
    <row r="2" spans="1:11">
      <c r="A2" s="1"/>
      <c r="B2" s="1"/>
      <c r="C2" s="2"/>
      <c r="D2" s="3"/>
      <c r="E2" s="54" t="s">
        <v>196</v>
      </c>
      <c r="G2" s="5"/>
      <c r="H2" s="6"/>
      <c r="I2" s="6"/>
      <c r="J2" s="6"/>
    </row>
    <row r="3" spans="1:11" ht="13.5" thickBot="1">
      <c r="A3" s="8" t="s">
        <v>14</v>
      </c>
      <c r="B3" s="1"/>
      <c r="C3" s="2"/>
      <c r="D3" s="3"/>
      <c r="E3" s="9">
        <v>2111</v>
      </c>
      <c r="G3" s="10"/>
      <c r="H3" s="11"/>
      <c r="I3" s="11"/>
      <c r="J3" s="11"/>
    </row>
    <row r="4" spans="1:11">
      <c r="A4" s="828" t="s">
        <v>15</v>
      </c>
      <c r="B4" s="829"/>
      <c r="C4" s="829"/>
      <c r="D4" s="12"/>
      <c r="E4" s="830" t="s">
        <v>16</v>
      </c>
      <c r="F4" s="831"/>
      <c r="G4" s="834" t="s">
        <v>17</v>
      </c>
      <c r="H4" s="836" t="s">
        <v>18</v>
      </c>
      <c r="I4" s="826" t="s">
        <v>163</v>
      </c>
      <c r="J4" s="826" t="s">
        <v>164</v>
      </c>
    </row>
    <row r="5" spans="1:11" ht="13.5" thickBot="1">
      <c r="A5" s="13" t="s">
        <v>19</v>
      </c>
      <c r="B5" s="14" t="s">
        <v>22</v>
      </c>
      <c r="C5" s="14" t="s">
        <v>20</v>
      </c>
      <c r="D5" s="14" t="s">
        <v>21</v>
      </c>
      <c r="E5" s="832"/>
      <c r="F5" s="833"/>
      <c r="G5" s="835"/>
      <c r="H5" s="837"/>
      <c r="I5" s="827"/>
      <c r="J5" s="827"/>
    </row>
    <row r="6" spans="1:11">
      <c r="A6" s="15"/>
      <c r="B6" s="16"/>
      <c r="C6" s="16"/>
      <c r="D6" s="17"/>
      <c r="E6" s="18"/>
      <c r="F6" s="19"/>
      <c r="G6" s="20"/>
      <c r="H6" s="21"/>
      <c r="I6" s="196"/>
      <c r="J6" s="112"/>
    </row>
    <row r="7" spans="1:11" s="224" customFormat="1">
      <c r="A7" s="22"/>
      <c r="B7" s="216" t="s">
        <v>107</v>
      </c>
      <c r="C7" s="217"/>
      <c r="D7" s="218"/>
      <c r="E7" s="219" t="s">
        <v>108</v>
      </c>
      <c r="F7" s="220"/>
      <c r="G7" s="221"/>
      <c r="H7" s="181"/>
      <c r="I7" s="222"/>
      <c r="J7" s="223"/>
    </row>
    <row r="8" spans="1:11" s="224" customFormat="1">
      <c r="A8" s="22"/>
      <c r="B8" s="23"/>
      <c r="C8" s="23"/>
      <c r="D8" s="24"/>
      <c r="E8" s="179"/>
      <c r="F8" s="180"/>
      <c r="G8" s="155"/>
      <c r="H8" s="181"/>
      <c r="I8" s="225"/>
      <c r="J8" s="226"/>
    </row>
    <row r="9" spans="1:11" s="224" customFormat="1" ht="25.5">
      <c r="A9" s="227">
        <f>MAX(A$1:A8)+1</f>
        <v>1</v>
      </c>
      <c r="B9" s="228"/>
      <c r="C9" s="26" t="s">
        <v>113</v>
      </c>
      <c r="D9" s="27"/>
      <c r="E9" s="28" t="s">
        <v>114</v>
      </c>
      <c r="F9" s="29"/>
      <c r="G9" s="30" t="s">
        <v>0</v>
      </c>
      <c r="H9" s="229">
        <v>1691.79</v>
      </c>
      <c r="I9" s="376"/>
      <c r="J9" s="226">
        <f>H9*I9</f>
        <v>0</v>
      </c>
      <c r="K9" s="230"/>
    </row>
    <row r="10" spans="1:11" s="224" customFormat="1">
      <c r="A10" s="231"/>
      <c r="B10" s="228"/>
      <c r="C10" s="228"/>
      <c r="D10" s="232"/>
      <c r="E10" s="195" t="s">
        <v>197</v>
      </c>
      <c r="F10" s="233">
        <f>3.85*0.44</f>
        <v>1.694</v>
      </c>
      <c r="G10" s="234"/>
      <c r="H10" s="235"/>
      <c r="I10" s="225"/>
      <c r="J10" s="226"/>
    </row>
    <row r="11" spans="1:11" s="224" customFormat="1">
      <c r="A11" s="231"/>
      <c r="B11" s="228"/>
      <c r="C11" s="228"/>
      <c r="D11" s="232"/>
      <c r="E11" s="195" t="s">
        <v>198</v>
      </c>
      <c r="F11" s="233">
        <f>1110*0.45</f>
        <v>499.5</v>
      </c>
      <c r="G11" s="234"/>
      <c r="H11" s="235"/>
      <c r="I11" s="222"/>
      <c r="J11" s="223"/>
    </row>
    <row r="12" spans="1:11" s="224" customFormat="1">
      <c r="A12" s="231"/>
      <c r="B12" s="228"/>
      <c r="C12" s="228"/>
      <c r="D12" s="232"/>
      <c r="E12" s="195" t="s">
        <v>199</v>
      </c>
      <c r="F12" s="233">
        <f>327*0.22</f>
        <v>71.94</v>
      </c>
      <c r="G12" s="234"/>
      <c r="H12" s="235"/>
      <c r="I12" s="225"/>
      <c r="J12" s="226"/>
    </row>
    <row r="13" spans="1:11" s="224" customFormat="1">
      <c r="A13" s="231"/>
      <c r="B13" s="228"/>
      <c r="C13" s="228"/>
      <c r="D13" s="232"/>
      <c r="E13" s="195" t="s">
        <v>200</v>
      </c>
      <c r="F13" s="233">
        <f>568*0.45</f>
        <v>255.6</v>
      </c>
      <c r="G13" s="234"/>
      <c r="H13" s="235"/>
      <c r="I13" s="222"/>
      <c r="J13" s="223"/>
    </row>
    <row r="14" spans="1:11" s="224" customFormat="1">
      <c r="A14" s="231"/>
      <c r="B14" s="228"/>
      <c r="C14" s="228"/>
      <c r="D14" s="232"/>
      <c r="E14" s="195" t="s">
        <v>201</v>
      </c>
      <c r="F14" s="233">
        <f>238*0.145</f>
        <v>34.51</v>
      </c>
      <c r="G14" s="234"/>
      <c r="H14" s="235"/>
      <c r="I14" s="225"/>
      <c r="J14" s="226"/>
    </row>
    <row r="15" spans="1:11" s="224" customFormat="1">
      <c r="A15" s="231"/>
      <c r="B15" s="228"/>
      <c r="C15" s="228"/>
      <c r="D15" s="232"/>
      <c r="E15" s="195" t="s">
        <v>202</v>
      </c>
      <c r="F15" s="236">
        <f>6524*0.127</f>
        <v>828.548</v>
      </c>
      <c r="G15" s="234"/>
      <c r="H15" s="235"/>
      <c r="I15" s="222"/>
      <c r="J15" s="223"/>
    </row>
    <row r="16" spans="1:11" s="224" customFormat="1">
      <c r="A16" s="231"/>
      <c r="B16" s="228"/>
      <c r="C16" s="228"/>
      <c r="D16" s="232"/>
      <c r="E16" s="237"/>
      <c r="F16" s="238">
        <f>SUM(F10:F15)</f>
        <v>1691.7919999999999</v>
      </c>
      <c r="G16" s="234"/>
      <c r="H16" s="235"/>
      <c r="I16" s="225"/>
      <c r="J16" s="226"/>
    </row>
    <row r="17" spans="1:13" s="224" customFormat="1">
      <c r="A17" s="231"/>
      <c r="B17" s="228"/>
      <c r="C17" s="228"/>
      <c r="D17" s="232"/>
      <c r="E17" s="237"/>
      <c r="F17" s="238"/>
      <c r="G17" s="234"/>
      <c r="H17" s="235"/>
      <c r="I17" s="222"/>
      <c r="J17" s="223"/>
    </row>
    <row r="18" spans="1:13" s="224" customFormat="1">
      <c r="A18" s="227">
        <f>MAX(A$1:A9)+1</f>
        <v>2</v>
      </c>
      <c r="B18" s="228"/>
      <c r="C18" s="239" t="s">
        <v>109</v>
      </c>
      <c r="D18" s="240"/>
      <c r="E18" s="241" t="s">
        <v>110</v>
      </c>
      <c r="F18" s="242"/>
      <c r="G18" s="243" t="s">
        <v>8</v>
      </c>
      <c r="H18" s="229">
        <v>4</v>
      </c>
      <c r="I18" s="376"/>
      <c r="J18" s="226">
        <f>H18*I18</f>
        <v>0</v>
      </c>
    </row>
    <row r="19" spans="1:13" s="224" customFormat="1">
      <c r="A19" s="231"/>
      <c r="B19" s="228"/>
      <c r="C19" s="228"/>
      <c r="D19" s="232"/>
      <c r="E19" s="237" t="s">
        <v>203</v>
      </c>
      <c r="F19" s="238">
        <v>4</v>
      </c>
      <c r="G19" s="234"/>
      <c r="H19" s="235"/>
      <c r="I19" s="222"/>
      <c r="J19" s="223"/>
    </row>
    <row r="20" spans="1:13" s="224" customFormat="1">
      <c r="A20" s="231"/>
      <c r="B20" s="228"/>
      <c r="C20" s="228"/>
      <c r="D20" s="232"/>
      <c r="E20" s="237"/>
      <c r="F20" s="238"/>
      <c r="G20" s="234"/>
      <c r="H20" s="235"/>
      <c r="I20" s="225"/>
      <c r="J20" s="226"/>
    </row>
    <row r="21" spans="1:13" s="224" customFormat="1">
      <c r="A21" s="227">
        <f>MAX(A$1:A20)+1</f>
        <v>3</v>
      </c>
      <c r="B21" s="228"/>
      <c r="C21" s="239" t="s">
        <v>111</v>
      </c>
      <c r="D21" s="240"/>
      <c r="E21" s="241" t="s">
        <v>112</v>
      </c>
      <c r="F21" s="242"/>
      <c r="G21" s="243" t="s">
        <v>8</v>
      </c>
      <c r="H21" s="229">
        <v>710.32</v>
      </c>
      <c r="I21" s="376"/>
      <c r="J21" s="226">
        <f>H21*I21</f>
        <v>0</v>
      </c>
      <c r="K21" s="230"/>
    </row>
    <row r="22" spans="1:13" s="224" customFormat="1">
      <c r="A22" s="227"/>
      <c r="B22" s="228"/>
      <c r="C22" s="239"/>
      <c r="D22" s="240"/>
      <c r="E22" s="237" t="s">
        <v>118</v>
      </c>
      <c r="F22" s="244"/>
      <c r="G22" s="243"/>
      <c r="H22" s="229"/>
      <c r="I22" s="225"/>
      <c r="J22" s="226"/>
      <c r="K22" s="245"/>
      <c r="L22" s="245"/>
      <c r="M22" s="245"/>
    </row>
    <row r="23" spans="1:13" s="224" customFormat="1" ht="25.5">
      <c r="A23" s="231"/>
      <c r="B23" s="228"/>
      <c r="C23" s="228"/>
      <c r="D23" s="232"/>
      <c r="E23" s="237" t="s">
        <v>204</v>
      </c>
      <c r="F23" s="244">
        <f>1417+44.4+104+36.3+12.22-877-26.6</f>
        <v>710.32</v>
      </c>
      <c r="G23" s="234"/>
      <c r="H23" s="235"/>
      <c r="I23" s="222"/>
      <c r="J23" s="223"/>
    </row>
    <row r="24" spans="1:13" s="224" customFormat="1">
      <c r="A24" s="246"/>
      <c r="B24" s="184"/>
      <c r="C24" s="184"/>
      <c r="D24" s="185"/>
      <c r="E24" s="247"/>
      <c r="F24" s="248"/>
      <c r="G24" s="188"/>
      <c r="H24" s="189"/>
      <c r="I24" s="225"/>
      <c r="J24" s="226"/>
    </row>
    <row r="25" spans="1:13" s="224" customFormat="1">
      <c r="A25" s="22"/>
      <c r="B25" s="23"/>
      <c r="C25" s="23"/>
      <c r="D25" s="24"/>
      <c r="E25" s="179"/>
      <c r="F25" s="180"/>
      <c r="G25" s="155"/>
      <c r="H25" s="181"/>
      <c r="I25" s="222"/>
      <c r="J25" s="223"/>
    </row>
    <row r="26" spans="1:13" s="224" customFormat="1" ht="15.75">
      <c r="A26" s="22"/>
      <c r="B26" s="216" t="s">
        <v>23</v>
      </c>
      <c r="C26" s="249"/>
      <c r="D26" s="250"/>
      <c r="E26" s="251" t="s">
        <v>24</v>
      </c>
      <c r="F26" s="252"/>
      <c r="G26" s="253"/>
      <c r="H26" s="181"/>
      <c r="I26" s="225"/>
      <c r="J26" s="226"/>
    </row>
    <row r="27" spans="1:13" s="224" customFormat="1">
      <c r="A27" s="246"/>
      <c r="B27" s="184"/>
      <c r="C27" s="184"/>
      <c r="D27" s="185"/>
      <c r="E27" s="186"/>
      <c r="F27" s="187"/>
      <c r="G27" s="188"/>
      <c r="H27" s="189"/>
      <c r="I27" s="225"/>
      <c r="J27" s="226"/>
    </row>
    <row r="28" spans="1:13" s="224" customFormat="1" ht="25.5">
      <c r="A28" s="25">
        <f>MAX(A$1:A27)+1</f>
        <v>4</v>
      </c>
      <c r="B28" s="23"/>
      <c r="C28" s="26" t="s">
        <v>205</v>
      </c>
      <c r="D28" s="27"/>
      <c r="E28" s="28" t="s">
        <v>206</v>
      </c>
      <c r="F28" s="254"/>
      <c r="G28" s="30" t="s">
        <v>2</v>
      </c>
      <c r="H28" s="59">
        <f>H29</f>
        <v>3.85</v>
      </c>
      <c r="I28" s="376"/>
      <c r="J28" s="226">
        <f>H28*I28</f>
        <v>0</v>
      </c>
    </row>
    <row r="29" spans="1:13" s="224" customFormat="1" ht="38.25">
      <c r="A29" s="25"/>
      <c r="B29" s="23"/>
      <c r="C29" s="26"/>
      <c r="D29" s="33" t="s">
        <v>207</v>
      </c>
      <c r="E29" s="34" t="s">
        <v>208</v>
      </c>
      <c r="F29" s="255"/>
      <c r="G29" s="36" t="s">
        <v>2</v>
      </c>
      <c r="H29" s="58">
        <v>3.85</v>
      </c>
      <c r="I29" s="225"/>
      <c r="J29" s="226"/>
    </row>
    <row r="30" spans="1:13" s="224" customFormat="1" ht="25.5">
      <c r="A30" s="25"/>
      <c r="B30" s="23"/>
      <c r="C30" s="26"/>
      <c r="D30" s="27"/>
      <c r="E30" s="195" t="s">
        <v>209</v>
      </c>
      <c r="F30" s="233">
        <f>7*0.55</f>
        <v>3.8500000000000005</v>
      </c>
      <c r="G30" s="30"/>
      <c r="H30" s="181"/>
      <c r="I30" s="222"/>
      <c r="J30" s="223"/>
    </row>
    <row r="31" spans="1:13" s="224" customFormat="1">
      <c r="A31" s="246"/>
      <c r="B31" s="184"/>
      <c r="C31" s="184"/>
      <c r="D31" s="185"/>
      <c r="E31" s="186"/>
      <c r="F31" s="187"/>
      <c r="G31" s="188"/>
      <c r="H31" s="189"/>
      <c r="I31" s="225"/>
      <c r="J31" s="226"/>
    </row>
    <row r="32" spans="1:13" s="224" customFormat="1" ht="25.5">
      <c r="A32" s="25">
        <f>MAX(A$1:A31)+1</f>
        <v>5</v>
      </c>
      <c r="B32" s="23"/>
      <c r="C32" s="26" t="s">
        <v>210</v>
      </c>
      <c r="D32" s="27"/>
      <c r="E32" s="28" t="s">
        <v>211</v>
      </c>
      <c r="F32" s="29"/>
      <c r="G32" s="30" t="s">
        <v>2</v>
      </c>
      <c r="H32" s="59">
        <f>H33</f>
        <v>1110</v>
      </c>
      <c r="I32" s="376"/>
      <c r="J32" s="226">
        <f>H32*I32</f>
        <v>0</v>
      </c>
    </row>
    <row r="33" spans="1:10" s="224" customFormat="1" ht="25.5">
      <c r="A33" s="256"/>
      <c r="B33" s="184"/>
      <c r="C33" s="257"/>
      <c r="D33" s="33" t="s">
        <v>212</v>
      </c>
      <c r="E33" s="34" t="s">
        <v>213</v>
      </c>
      <c r="F33" s="35"/>
      <c r="G33" s="36" t="s">
        <v>2</v>
      </c>
      <c r="H33" s="58">
        <v>1110</v>
      </c>
      <c r="I33" s="225"/>
      <c r="J33" s="226"/>
    </row>
    <row r="34" spans="1:10" s="224" customFormat="1">
      <c r="A34" s="256"/>
      <c r="B34" s="184"/>
      <c r="C34" s="257"/>
      <c r="D34" s="27"/>
      <c r="E34" s="258" t="s">
        <v>214</v>
      </c>
      <c r="F34" s="233"/>
      <c r="G34" s="30"/>
      <c r="H34" s="181"/>
      <c r="I34" s="222"/>
      <c r="J34" s="223"/>
    </row>
    <row r="35" spans="1:10" s="224" customFormat="1">
      <c r="A35" s="256"/>
      <c r="B35" s="184"/>
      <c r="C35" s="257"/>
      <c r="D35" s="27"/>
      <c r="E35" s="195" t="s">
        <v>215</v>
      </c>
      <c r="F35" s="233">
        <v>1110</v>
      </c>
      <c r="G35" s="30"/>
      <c r="H35" s="181"/>
      <c r="I35" s="225"/>
      <c r="J35" s="226"/>
    </row>
    <row r="36" spans="1:10" s="224" customFormat="1">
      <c r="A36" s="256"/>
      <c r="B36" s="184"/>
      <c r="C36" s="257"/>
      <c r="D36" s="259"/>
      <c r="E36" s="247"/>
      <c r="F36" s="260"/>
      <c r="G36" s="261"/>
      <c r="H36" s="189"/>
      <c r="I36" s="222"/>
      <c r="J36" s="223"/>
    </row>
    <row r="37" spans="1:10" s="224" customFormat="1" ht="25.5">
      <c r="A37" s="25">
        <f>MAX(A$1:A36)+1</f>
        <v>6</v>
      </c>
      <c r="B37" s="23"/>
      <c r="C37" s="26" t="s">
        <v>25</v>
      </c>
      <c r="D37" s="27"/>
      <c r="E37" s="28" t="s">
        <v>26</v>
      </c>
      <c r="F37" s="29"/>
      <c r="G37" s="30" t="s">
        <v>2</v>
      </c>
      <c r="H37" s="59">
        <f>H38</f>
        <v>327</v>
      </c>
      <c r="I37" s="376"/>
      <c r="J37" s="226">
        <f>H37*I37</f>
        <v>0</v>
      </c>
    </row>
    <row r="38" spans="1:10" s="224" customFormat="1" ht="25.5">
      <c r="A38" s="25"/>
      <c r="B38" s="23"/>
      <c r="C38" s="39"/>
      <c r="D38" s="33" t="s">
        <v>216</v>
      </c>
      <c r="E38" s="34" t="s">
        <v>217</v>
      </c>
      <c r="F38" s="35"/>
      <c r="G38" s="36" t="s">
        <v>2</v>
      </c>
      <c r="H38" s="58">
        <v>327</v>
      </c>
      <c r="I38" s="225"/>
      <c r="J38" s="226"/>
    </row>
    <row r="39" spans="1:10" s="224" customFormat="1" ht="25.5">
      <c r="A39" s="25"/>
      <c r="B39" s="23"/>
      <c r="C39" s="26"/>
      <c r="D39" s="27"/>
      <c r="E39" s="258" t="s">
        <v>218</v>
      </c>
      <c r="F39" s="255"/>
      <c r="G39" s="30"/>
      <c r="H39" s="181"/>
      <c r="I39" s="222"/>
      <c r="J39" s="223"/>
    </row>
    <row r="40" spans="1:10" s="224" customFormat="1">
      <c r="A40" s="25"/>
      <c r="B40" s="23"/>
      <c r="C40" s="26"/>
      <c r="D40" s="27"/>
      <c r="E40" s="195" t="s">
        <v>219</v>
      </c>
      <c r="F40" s="233">
        <v>131</v>
      </c>
      <c r="G40" s="30"/>
      <c r="H40" s="181"/>
      <c r="I40" s="225"/>
      <c r="J40" s="226"/>
    </row>
    <row r="41" spans="1:10" s="224" customFormat="1">
      <c r="A41" s="25"/>
      <c r="B41" s="23"/>
      <c r="C41" s="26"/>
      <c r="D41" s="27"/>
      <c r="E41" s="195" t="s">
        <v>220</v>
      </c>
      <c r="F41" s="236">
        <v>196</v>
      </c>
      <c r="G41" s="30"/>
      <c r="H41" s="181"/>
      <c r="I41" s="222"/>
      <c r="J41" s="223"/>
    </row>
    <row r="42" spans="1:10" s="224" customFormat="1">
      <c r="A42" s="25"/>
      <c r="B42" s="23"/>
      <c r="C42" s="26"/>
      <c r="D42" s="27"/>
      <c r="E42" s="195"/>
      <c r="F42" s="233">
        <f>SUM(F40:F41)</f>
        <v>327</v>
      </c>
      <c r="G42" s="30"/>
      <c r="H42" s="181"/>
      <c r="I42" s="225"/>
      <c r="J42" s="226"/>
    </row>
    <row r="43" spans="1:10" s="224" customFormat="1">
      <c r="A43" s="246"/>
      <c r="B43" s="184"/>
      <c r="C43" s="184"/>
      <c r="D43" s="185"/>
      <c r="E43" s="186"/>
      <c r="F43" s="187"/>
      <c r="G43" s="188"/>
      <c r="H43" s="189"/>
      <c r="I43" s="222"/>
      <c r="J43" s="223"/>
    </row>
    <row r="44" spans="1:10" s="224" customFormat="1" ht="25.5">
      <c r="A44" s="25">
        <f>MAX(A$1:A43)+1</f>
        <v>7</v>
      </c>
      <c r="B44" s="23"/>
      <c r="C44" s="26" t="s">
        <v>221</v>
      </c>
      <c r="D44" s="27"/>
      <c r="E44" s="28" t="s">
        <v>222</v>
      </c>
      <c r="F44" s="254"/>
      <c r="G44" s="30" t="s">
        <v>2</v>
      </c>
      <c r="H44" s="59">
        <f>H45</f>
        <v>568</v>
      </c>
      <c r="I44" s="376"/>
      <c r="J44" s="226">
        <f>H44*I44</f>
        <v>0</v>
      </c>
    </row>
    <row r="45" spans="1:10" s="224" customFormat="1" ht="25.5">
      <c r="A45" s="22"/>
      <c r="B45" s="23"/>
      <c r="C45" s="23"/>
      <c r="D45" s="33" t="s">
        <v>223</v>
      </c>
      <c r="E45" s="34" t="s">
        <v>224</v>
      </c>
      <c r="F45" s="35"/>
      <c r="G45" s="36" t="s">
        <v>2</v>
      </c>
      <c r="H45" s="58">
        <v>568</v>
      </c>
      <c r="I45" s="222"/>
      <c r="J45" s="223"/>
    </row>
    <row r="46" spans="1:10" s="224" customFormat="1">
      <c r="A46" s="22"/>
      <c r="B46" s="23"/>
      <c r="C46" s="23"/>
      <c r="D46" s="33"/>
      <c r="E46" s="195" t="s">
        <v>214</v>
      </c>
      <c r="F46" s="233"/>
      <c r="G46" s="36"/>
      <c r="H46" s="181"/>
      <c r="I46" s="225"/>
      <c r="J46" s="226"/>
    </row>
    <row r="47" spans="1:10" s="224" customFormat="1">
      <c r="A47" s="22"/>
      <c r="B47" s="23"/>
      <c r="C47" s="23"/>
      <c r="D47" s="33"/>
      <c r="E47" s="195" t="s">
        <v>225</v>
      </c>
      <c r="F47" s="233">
        <v>307</v>
      </c>
      <c r="G47" s="36"/>
      <c r="H47" s="181"/>
      <c r="I47" s="222"/>
      <c r="J47" s="223"/>
    </row>
    <row r="48" spans="1:10" s="224" customFormat="1">
      <c r="A48" s="246"/>
      <c r="B48" s="184"/>
      <c r="C48" s="184"/>
      <c r="D48" s="262"/>
      <c r="E48" s="195" t="s">
        <v>226</v>
      </c>
      <c r="F48" s="236">
        <v>261</v>
      </c>
      <c r="G48" s="263"/>
      <c r="H48" s="189"/>
      <c r="I48" s="225"/>
      <c r="J48" s="226"/>
    </row>
    <row r="49" spans="1:14" s="224" customFormat="1">
      <c r="A49" s="246"/>
      <c r="B49" s="184"/>
      <c r="C49" s="184"/>
      <c r="D49" s="262"/>
      <c r="E49" s="195"/>
      <c r="F49" s="233">
        <f>SUM(F47:F48)</f>
        <v>568</v>
      </c>
      <c r="G49" s="263"/>
      <c r="H49" s="189"/>
      <c r="I49" s="222"/>
      <c r="J49" s="223"/>
    </row>
    <row r="50" spans="1:14" s="224" customFormat="1">
      <c r="A50" s="246"/>
      <c r="B50" s="184"/>
      <c r="C50" s="184"/>
      <c r="D50" s="262"/>
      <c r="E50" s="195"/>
      <c r="F50" s="233"/>
      <c r="G50" s="263"/>
      <c r="H50" s="189"/>
      <c r="I50" s="225"/>
      <c r="J50" s="226"/>
    </row>
    <row r="51" spans="1:14" s="224" customFormat="1" ht="38.25">
      <c r="A51" s="25">
        <f>MAX(A$1:A49)+1</f>
        <v>8</v>
      </c>
      <c r="B51" s="23"/>
      <c r="C51" s="26" t="s">
        <v>227</v>
      </c>
      <c r="D51" s="27"/>
      <c r="E51" s="28" t="s">
        <v>228</v>
      </c>
      <c r="F51" s="254"/>
      <c r="G51" s="30" t="s">
        <v>7</v>
      </c>
      <c r="H51" s="59">
        <f>H52</f>
        <v>238</v>
      </c>
      <c r="I51" s="376"/>
      <c r="J51" s="226">
        <f>H51*I51</f>
        <v>0</v>
      </c>
    </row>
    <row r="52" spans="1:14" s="224" customFormat="1" ht="25.5">
      <c r="A52" s="22"/>
      <c r="B52" s="23"/>
      <c r="C52" s="39"/>
      <c r="D52" s="33" t="s">
        <v>229</v>
      </c>
      <c r="E52" s="34" t="s">
        <v>230</v>
      </c>
      <c r="F52" s="255"/>
      <c r="G52" s="36" t="s">
        <v>7</v>
      </c>
      <c r="H52" s="58">
        <v>238</v>
      </c>
      <c r="I52" s="225"/>
      <c r="J52" s="226"/>
    </row>
    <row r="53" spans="1:14" s="224" customFormat="1">
      <c r="A53" s="22"/>
      <c r="B53" s="23"/>
      <c r="C53" s="39"/>
      <c r="D53" s="33"/>
      <c r="E53" s="258" t="s">
        <v>231</v>
      </c>
      <c r="F53" s="233"/>
      <c r="G53" s="36"/>
      <c r="H53" s="181"/>
      <c r="I53" s="222"/>
      <c r="J53" s="223"/>
    </row>
    <row r="54" spans="1:14" s="224" customFormat="1">
      <c r="A54" s="22"/>
      <c r="B54" s="23"/>
      <c r="C54" s="39"/>
      <c r="D54" s="33"/>
      <c r="E54" s="195" t="s">
        <v>232</v>
      </c>
      <c r="F54" s="233">
        <v>122</v>
      </c>
      <c r="G54" s="36"/>
      <c r="H54" s="181"/>
      <c r="I54" s="225"/>
      <c r="J54" s="226"/>
    </row>
    <row r="55" spans="1:14" s="224" customFormat="1">
      <c r="A55" s="22"/>
      <c r="B55" s="23"/>
      <c r="C55" s="39"/>
      <c r="D55" s="33"/>
      <c r="E55" s="195" t="s">
        <v>233</v>
      </c>
      <c r="F55" s="233">
        <v>9</v>
      </c>
      <c r="G55" s="36"/>
      <c r="H55" s="181"/>
      <c r="I55" s="222"/>
      <c r="J55" s="223"/>
    </row>
    <row r="56" spans="1:14" s="224" customFormat="1">
      <c r="A56" s="22"/>
      <c r="B56" s="23"/>
      <c r="C56" s="39"/>
      <c r="D56" s="33"/>
      <c r="E56" s="195" t="s">
        <v>234</v>
      </c>
      <c r="F56" s="236">
        <v>107</v>
      </c>
      <c r="G56" s="36"/>
      <c r="H56" s="181"/>
      <c r="I56" s="225"/>
      <c r="J56" s="226"/>
    </row>
    <row r="57" spans="1:14" s="224" customFormat="1">
      <c r="A57" s="22"/>
      <c r="B57" s="23"/>
      <c r="C57" s="39"/>
      <c r="D57" s="33"/>
      <c r="E57" s="195"/>
      <c r="F57" s="233">
        <f>SUM(F54:F56)</f>
        <v>238</v>
      </c>
      <c r="G57" s="36"/>
      <c r="H57" s="181"/>
      <c r="I57" s="222"/>
      <c r="J57" s="223"/>
    </row>
    <row r="58" spans="1:14" s="224" customFormat="1">
      <c r="A58" s="246"/>
      <c r="B58" s="184"/>
      <c r="C58" s="184"/>
      <c r="D58" s="185"/>
      <c r="E58" s="186"/>
      <c r="F58" s="187"/>
      <c r="G58" s="188"/>
      <c r="H58" s="189"/>
      <c r="I58" s="225"/>
      <c r="J58" s="226"/>
    </row>
    <row r="59" spans="1:14" s="224" customFormat="1" ht="25.5">
      <c r="A59" s="25">
        <f>MAX(A$1:A57)+1</f>
        <v>9</v>
      </c>
      <c r="B59" s="184"/>
      <c r="C59" s="264" t="s">
        <v>235</v>
      </c>
      <c r="D59" s="27"/>
      <c r="E59" s="28" t="s">
        <v>236</v>
      </c>
      <c r="F59" s="265"/>
      <c r="G59" s="30" t="s">
        <v>1</v>
      </c>
      <c r="H59" s="266">
        <v>23</v>
      </c>
      <c r="I59" s="376"/>
      <c r="J59" s="226">
        <f>H59*I59</f>
        <v>0</v>
      </c>
      <c r="K59" s="267"/>
      <c r="L59" s="267"/>
      <c r="M59" s="267"/>
      <c r="N59" s="267"/>
    </row>
    <row r="60" spans="1:14" s="224" customFormat="1">
      <c r="A60" s="246"/>
      <c r="B60" s="184"/>
      <c r="C60" s="39"/>
      <c r="D60" s="33"/>
      <c r="E60" s="268" t="s">
        <v>237</v>
      </c>
      <c r="F60" s="187"/>
      <c r="G60" s="36"/>
      <c r="H60" s="269"/>
      <c r="I60" s="225"/>
      <c r="J60" s="226"/>
    </row>
    <row r="61" spans="1:14" s="224" customFormat="1">
      <c r="A61" s="246"/>
      <c r="B61" s="184"/>
      <c r="C61" s="39"/>
      <c r="D61" s="33"/>
      <c r="E61" s="268" t="s">
        <v>238</v>
      </c>
      <c r="F61" s="270">
        <v>23</v>
      </c>
      <c r="G61" s="36"/>
      <c r="H61" s="269"/>
      <c r="I61" s="222"/>
      <c r="J61" s="223"/>
    </row>
    <row r="62" spans="1:14" s="224" customFormat="1">
      <c r="A62" s="246"/>
      <c r="B62" s="184"/>
      <c r="C62" s="184"/>
      <c r="D62" s="185"/>
      <c r="E62" s="186"/>
      <c r="F62" s="187"/>
      <c r="G62" s="188"/>
      <c r="H62" s="189"/>
      <c r="I62" s="225"/>
      <c r="J62" s="226"/>
    </row>
    <row r="63" spans="1:14" s="224" customFormat="1">
      <c r="A63" s="25">
        <f>MAX(A$1:A61)+1</f>
        <v>10</v>
      </c>
      <c r="B63" s="23"/>
      <c r="C63" s="26" t="s">
        <v>27</v>
      </c>
      <c r="D63" s="27"/>
      <c r="E63" s="28" t="s">
        <v>28</v>
      </c>
      <c r="F63" s="254"/>
      <c r="G63" s="30" t="s">
        <v>0</v>
      </c>
      <c r="H63" s="59">
        <f>H64</f>
        <v>1693.68</v>
      </c>
      <c r="I63" s="376"/>
      <c r="J63" s="226">
        <f>H63*I63</f>
        <v>0</v>
      </c>
      <c r="K63" s="230"/>
    </row>
    <row r="64" spans="1:14" s="224" customFormat="1">
      <c r="A64" s="22"/>
      <c r="B64" s="23"/>
      <c r="C64" s="39"/>
      <c r="D64" s="33" t="s">
        <v>29</v>
      </c>
      <c r="E64" s="34" t="s">
        <v>30</v>
      </c>
      <c r="F64" s="255"/>
      <c r="G64" s="36" t="s">
        <v>0</v>
      </c>
      <c r="H64" s="58">
        <v>1693.68</v>
      </c>
      <c r="I64" s="225"/>
      <c r="J64" s="226"/>
    </row>
    <row r="65" spans="1:11" s="224" customFormat="1">
      <c r="A65" s="22"/>
      <c r="B65" s="23"/>
      <c r="C65" s="39"/>
      <c r="D65" s="33"/>
      <c r="E65" s="195" t="s">
        <v>197</v>
      </c>
      <c r="F65" s="233">
        <f>3.85*0.44</f>
        <v>1.694</v>
      </c>
      <c r="G65" s="36"/>
      <c r="H65" s="271"/>
      <c r="I65" s="222"/>
      <c r="J65" s="223"/>
    </row>
    <row r="66" spans="1:11" s="224" customFormat="1">
      <c r="A66" s="246"/>
      <c r="B66" s="184"/>
      <c r="C66" s="272"/>
      <c r="D66" s="262"/>
      <c r="E66" s="195" t="s">
        <v>198</v>
      </c>
      <c r="F66" s="233">
        <f>1110*0.45</f>
        <v>499.5</v>
      </c>
      <c r="G66" s="263"/>
      <c r="H66" s="271"/>
      <c r="I66" s="222"/>
      <c r="J66" s="226"/>
    </row>
    <row r="67" spans="1:11" s="224" customFormat="1">
      <c r="A67" s="246"/>
      <c r="B67" s="184"/>
      <c r="C67" s="272"/>
      <c r="D67" s="262"/>
      <c r="E67" s="195" t="s">
        <v>199</v>
      </c>
      <c r="F67" s="233">
        <f>327*0.22</f>
        <v>71.94</v>
      </c>
      <c r="G67" s="263"/>
      <c r="H67" s="271"/>
      <c r="I67" s="222"/>
      <c r="J67" s="223"/>
    </row>
    <row r="68" spans="1:11" s="224" customFormat="1">
      <c r="A68" s="246"/>
      <c r="B68" s="184"/>
      <c r="C68" s="272"/>
      <c r="D68" s="262"/>
      <c r="E68" s="195" t="s">
        <v>200</v>
      </c>
      <c r="F68" s="233">
        <f>568*0.45</f>
        <v>255.6</v>
      </c>
      <c r="G68" s="263"/>
      <c r="H68" s="271"/>
      <c r="I68" s="222"/>
      <c r="J68" s="226"/>
    </row>
    <row r="69" spans="1:11" s="224" customFormat="1">
      <c r="A69" s="246"/>
      <c r="B69" s="184"/>
      <c r="C69" s="272"/>
      <c r="D69" s="262"/>
      <c r="E69" s="195" t="s">
        <v>201</v>
      </c>
      <c r="F69" s="233">
        <f>238*0.145</f>
        <v>34.51</v>
      </c>
      <c r="G69" s="263"/>
      <c r="H69" s="271"/>
      <c r="I69" s="222"/>
      <c r="J69" s="223"/>
    </row>
    <row r="70" spans="1:11" s="224" customFormat="1">
      <c r="A70" s="246"/>
      <c r="B70" s="184"/>
      <c r="C70" s="272"/>
      <c r="D70" s="262"/>
      <c r="E70" s="195" t="s">
        <v>202</v>
      </c>
      <c r="F70" s="233">
        <f>6524*0.127</f>
        <v>828.548</v>
      </c>
      <c r="G70" s="263"/>
      <c r="H70" s="271"/>
      <c r="I70" s="222"/>
      <c r="J70" s="226"/>
    </row>
    <row r="71" spans="1:11" s="224" customFormat="1">
      <c r="A71" s="246"/>
      <c r="B71" s="184"/>
      <c r="C71" s="272"/>
      <c r="D71" s="262"/>
      <c r="E71" s="268" t="s">
        <v>239</v>
      </c>
      <c r="F71" s="273">
        <f>23*0.082</f>
        <v>1.8860000000000001</v>
      </c>
      <c r="G71" s="263"/>
      <c r="H71" s="271"/>
      <c r="I71" s="274"/>
      <c r="J71" s="223"/>
    </row>
    <row r="72" spans="1:11" s="224" customFormat="1">
      <c r="A72" s="246"/>
      <c r="B72" s="184"/>
      <c r="C72" s="272"/>
      <c r="D72" s="262"/>
      <c r="E72" s="247"/>
      <c r="F72" s="233">
        <f>SUM(F65:F71)</f>
        <v>1693.6779999999999</v>
      </c>
      <c r="G72" s="263"/>
      <c r="H72" s="269"/>
      <c r="I72" s="225"/>
      <c r="J72" s="226"/>
    </row>
    <row r="73" spans="1:11" s="224" customFormat="1">
      <c r="A73" s="246"/>
      <c r="B73" s="184"/>
      <c r="C73" s="272"/>
      <c r="D73" s="262"/>
      <c r="E73" s="275"/>
      <c r="F73" s="276"/>
      <c r="G73" s="263"/>
      <c r="H73" s="269"/>
      <c r="I73" s="222"/>
      <c r="J73" s="223"/>
    </row>
    <row r="74" spans="1:11" s="224" customFormat="1" ht="25.5">
      <c r="A74" s="25">
        <f>MAX(A$21:A73)+1</f>
        <v>11</v>
      </c>
      <c r="B74" s="23"/>
      <c r="C74" s="26" t="s">
        <v>31</v>
      </c>
      <c r="D74" s="27"/>
      <c r="E74" s="28" t="s">
        <v>32</v>
      </c>
      <c r="F74" s="254"/>
      <c r="G74" s="30" t="s">
        <v>2</v>
      </c>
      <c r="H74" s="59">
        <f>H75</f>
        <v>6524</v>
      </c>
      <c r="I74" s="376"/>
      <c r="J74" s="226">
        <f>H74*I74</f>
        <v>0</v>
      </c>
      <c r="K74" s="230"/>
    </row>
    <row r="75" spans="1:11" s="224" customFormat="1" ht="25.5">
      <c r="A75" s="22"/>
      <c r="B75" s="23"/>
      <c r="C75" s="23"/>
      <c r="D75" s="33" t="s">
        <v>33</v>
      </c>
      <c r="E75" s="34" t="s">
        <v>34</v>
      </c>
      <c r="F75" s="255"/>
      <c r="G75" s="36" t="s">
        <v>2</v>
      </c>
      <c r="H75" s="58">
        <v>6524</v>
      </c>
      <c r="I75" s="225"/>
      <c r="J75" s="226"/>
    </row>
    <row r="76" spans="1:11" s="224" customFormat="1" ht="25.5">
      <c r="A76" s="22"/>
      <c r="B76" s="23"/>
      <c r="C76" s="23"/>
      <c r="D76" s="24"/>
      <c r="E76" s="258" t="s">
        <v>240</v>
      </c>
      <c r="F76" s="180"/>
      <c r="G76" s="155"/>
      <c r="H76" s="181"/>
      <c r="I76" s="222"/>
      <c r="J76" s="223"/>
    </row>
    <row r="77" spans="1:11" s="224" customFormat="1">
      <c r="A77" s="22"/>
      <c r="B77" s="23"/>
      <c r="C77" s="23"/>
      <c r="D77" s="24"/>
      <c r="E77" s="195" t="s">
        <v>241</v>
      </c>
      <c r="F77" s="233">
        <v>0</v>
      </c>
      <c r="G77" s="155"/>
      <c r="H77" s="181"/>
      <c r="I77" s="225"/>
      <c r="J77" s="226"/>
    </row>
    <row r="78" spans="1:11" s="224" customFormat="1">
      <c r="A78" s="22"/>
      <c r="B78" s="23"/>
      <c r="C78" s="23"/>
      <c r="D78" s="24"/>
      <c r="E78" s="195" t="s">
        <v>242</v>
      </c>
      <c r="F78" s="233">
        <f>1306*2</f>
        <v>2612</v>
      </c>
      <c r="G78" s="155"/>
      <c r="H78" s="181"/>
      <c r="I78" s="222"/>
      <c r="J78" s="223"/>
    </row>
    <row r="79" spans="1:11" s="224" customFormat="1">
      <c r="A79" s="22"/>
      <c r="B79" s="23"/>
      <c r="C79" s="23"/>
      <c r="D79" s="24"/>
      <c r="E79" s="195" t="s">
        <v>243</v>
      </c>
      <c r="F79" s="236">
        <f>1956*2</f>
        <v>3912</v>
      </c>
      <c r="G79" s="155"/>
      <c r="H79" s="181"/>
      <c r="I79" s="225"/>
      <c r="J79" s="226"/>
    </row>
    <row r="80" spans="1:11" s="224" customFormat="1">
      <c r="A80" s="22"/>
      <c r="B80" s="23"/>
      <c r="C80" s="23"/>
      <c r="D80" s="24"/>
      <c r="E80" s="195"/>
      <c r="F80" s="233">
        <f>SUM(F77:F79)</f>
        <v>6524</v>
      </c>
      <c r="G80" s="155"/>
      <c r="H80" s="181"/>
      <c r="I80" s="222"/>
      <c r="J80" s="223"/>
    </row>
    <row r="81" spans="1:11" s="224" customFormat="1">
      <c r="A81" s="246"/>
      <c r="B81" s="184"/>
      <c r="C81" s="184"/>
      <c r="D81" s="185"/>
      <c r="E81" s="186"/>
      <c r="F81" s="187"/>
      <c r="G81" s="188"/>
      <c r="H81" s="189"/>
      <c r="I81" s="225"/>
      <c r="J81" s="226"/>
    </row>
    <row r="82" spans="1:11" s="224" customFormat="1" ht="25.5">
      <c r="A82" s="25">
        <f>MAX(A$21:A81)+1</f>
        <v>12</v>
      </c>
      <c r="B82" s="23"/>
      <c r="C82" s="26" t="s">
        <v>35</v>
      </c>
      <c r="D82" s="27"/>
      <c r="E82" s="28" t="s">
        <v>36</v>
      </c>
      <c r="F82" s="29"/>
      <c r="G82" s="30" t="s">
        <v>7</v>
      </c>
      <c r="H82" s="59">
        <f>H83+H90</f>
        <v>3606</v>
      </c>
      <c r="I82" s="376"/>
      <c r="J82" s="226">
        <f>H82*I82</f>
        <v>0</v>
      </c>
    </row>
    <row r="83" spans="1:11" s="224" customFormat="1" ht="25.5">
      <c r="A83" s="256"/>
      <c r="B83" s="184"/>
      <c r="C83" s="257"/>
      <c r="D83" s="33" t="s">
        <v>37</v>
      </c>
      <c r="E83" s="34" t="s">
        <v>38</v>
      </c>
      <c r="F83" s="35"/>
      <c r="G83" s="36" t="s">
        <v>7</v>
      </c>
      <c r="H83" s="58">
        <v>3231</v>
      </c>
      <c r="I83" s="225"/>
      <c r="J83" s="226"/>
      <c r="K83" s="277"/>
    </row>
    <row r="84" spans="1:11" s="224" customFormat="1">
      <c r="A84" s="256"/>
      <c r="B84" s="184"/>
      <c r="C84" s="257"/>
      <c r="D84" s="27"/>
      <c r="E84" s="258" t="s">
        <v>244</v>
      </c>
      <c r="F84" s="233"/>
      <c r="G84" s="30"/>
      <c r="H84" s="59"/>
      <c r="I84" s="222"/>
      <c r="J84" s="223"/>
    </row>
    <row r="85" spans="1:11" s="224" customFormat="1">
      <c r="A85" s="256"/>
      <c r="B85" s="184"/>
      <c r="C85" s="257"/>
      <c r="D85" s="27"/>
      <c r="E85" s="195" t="s">
        <v>241</v>
      </c>
      <c r="F85" s="233">
        <v>700</v>
      </c>
      <c r="G85" s="30"/>
      <c r="H85" s="59"/>
      <c r="I85" s="225"/>
      <c r="J85" s="226"/>
    </row>
    <row r="86" spans="1:11" s="224" customFormat="1">
      <c r="A86" s="256"/>
      <c r="B86" s="184"/>
      <c r="C86" s="257"/>
      <c r="D86" s="27"/>
      <c r="E86" s="195" t="s">
        <v>245</v>
      </c>
      <c r="F86" s="233">
        <v>1204</v>
      </c>
      <c r="G86" s="30"/>
      <c r="H86" s="59"/>
      <c r="I86" s="222"/>
      <c r="J86" s="223"/>
    </row>
    <row r="87" spans="1:11" s="224" customFormat="1">
      <c r="A87" s="256"/>
      <c r="B87" s="184"/>
      <c r="C87" s="257"/>
      <c r="D87" s="27"/>
      <c r="E87" s="195" t="s">
        <v>246</v>
      </c>
      <c r="F87" s="236">
        <v>1327</v>
      </c>
      <c r="G87" s="30"/>
      <c r="H87" s="59"/>
      <c r="I87" s="225"/>
      <c r="J87" s="226"/>
    </row>
    <row r="88" spans="1:11" s="224" customFormat="1">
      <c r="A88" s="256"/>
      <c r="B88" s="184"/>
      <c r="C88" s="257"/>
      <c r="D88" s="27"/>
      <c r="E88" s="195"/>
      <c r="F88" s="233">
        <f>SUM(F85:F87)</f>
        <v>3231</v>
      </c>
      <c r="G88" s="30"/>
      <c r="H88" s="59"/>
      <c r="I88" s="222"/>
      <c r="J88" s="223"/>
    </row>
    <row r="89" spans="1:11" s="224" customFormat="1">
      <c r="A89" s="256"/>
      <c r="B89" s="184"/>
      <c r="C89" s="257"/>
      <c r="D89" s="259"/>
      <c r="E89" s="247"/>
      <c r="F89" s="260"/>
      <c r="G89" s="261"/>
      <c r="H89" s="278"/>
      <c r="I89" s="225"/>
      <c r="J89" s="226"/>
    </row>
    <row r="90" spans="1:11" s="224" customFormat="1" ht="25.5">
      <c r="A90" s="246"/>
      <c r="B90" s="184"/>
      <c r="C90" s="272"/>
      <c r="D90" s="33" t="s">
        <v>247</v>
      </c>
      <c r="E90" s="34" t="s">
        <v>248</v>
      </c>
      <c r="F90" s="35"/>
      <c r="G90" s="36" t="s">
        <v>7</v>
      </c>
      <c r="H90" s="58">
        <v>375</v>
      </c>
      <c r="I90" s="225"/>
      <c r="J90" s="226"/>
    </row>
    <row r="91" spans="1:11" s="224" customFormat="1">
      <c r="A91" s="246"/>
      <c r="B91" s="184"/>
      <c r="C91" s="184"/>
      <c r="D91" s="24"/>
      <c r="E91" s="195" t="s">
        <v>249</v>
      </c>
      <c r="F91" s="270"/>
      <c r="G91" s="155"/>
      <c r="H91" s="181"/>
      <c r="I91" s="225"/>
      <c r="J91" s="226"/>
    </row>
    <row r="92" spans="1:11" s="224" customFormat="1">
      <c r="A92" s="246"/>
      <c r="B92" s="184"/>
      <c r="C92" s="184"/>
      <c r="D92" s="24"/>
      <c r="E92" s="195" t="s">
        <v>250</v>
      </c>
      <c r="F92" s="233">
        <v>164</v>
      </c>
      <c r="G92" s="155"/>
      <c r="H92" s="181"/>
      <c r="I92" s="222"/>
      <c r="J92" s="223"/>
    </row>
    <row r="93" spans="1:11" s="224" customFormat="1">
      <c r="A93" s="246"/>
      <c r="B93" s="184"/>
      <c r="C93" s="184"/>
      <c r="D93" s="24"/>
      <c r="E93" s="195" t="s">
        <v>251</v>
      </c>
      <c r="F93" s="236">
        <v>211</v>
      </c>
      <c r="G93" s="155"/>
      <c r="H93" s="181"/>
      <c r="I93" s="225"/>
      <c r="J93" s="226"/>
    </row>
    <row r="94" spans="1:11" s="224" customFormat="1">
      <c r="A94" s="246"/>
      <c r="B94" s="184"/>
      <c r="C94" s="184"/>
      <c r="D94" s="185"/>
      <c r="E94" s="195"/>
      <c r="F94" s="233">
        <f>SUM(F92:F93)</f>
        <v>375</v>
      </c>
      <c r="G94" s="188"/>
      <c r="H94" s="189"/>
      <c r="I94" s="222"/>
      <c r="J94" s="223"/>
    </row>
    <row r="95" spans="1:11" s="224" customFormat="1">
      <c r="A95" s="246"/>
      <c r="B95" s="184"/>
      <c r="C95" s="184"/>
      <c r="D95" s="185"/>
      <c r="E95" s="247"/>
      <c r="F95" s="279"/>
      <c r="G95" s="188"/>
      <c r="H95" s="189"/>
      <c r="I95" s="225"/>
      <c r="J95" s="226"/>
    </row>
    <row r="96" spans="1:11" s="224" customFormat="1">
      <c r="A96" s="22"/>
      <c r="B96" s="23"/>
      <c r="C96" s="23"/>
      <c r="D96" s="24"/>
      <c r="E96" s="179"/>
      <c r="F96" s="180"/>
      <c r="G96" s="155"/>
      <c r="H96" s="181"/>
      <c r="I96" s="222"/>
      <c r="J96" s="223"/>
    </row>
    <row r="97" spans="1:12" s="224" customFormat="1">
      <c r="A97" s="22"/>
      <c r="B97" s="280" t="s">
        <v>39</v>
      </c>
      <c r="C97" s="281"/>
      <c r="D97" s="282"/>
      <c r="E97" s="283" t="s">
        <v>40</v>
      </c>
      <c r="F97" s="284"/>
      <c r="G97" s="285"/>
      <c r="H97" s="181"/>
      <c r="I97" s="225"/>
      <c r="J97" s="226"/>
    </row>
    <row r="98" spans="1:12" s="224" customFormat="1">
      <c r="A98" s="22"/>
      <c r="B98" s="23"/>
      <c r="C98" s="23"/>
      <c r="D98" s="24"/>
      <c r="E98" s="179"/>
      <c r="F98" s="180"/>
      <c r="G98" s="155"/>
      <c r="H98" s="181"/>
      <c r="I98" s="222"/>
      <c r="J98" s="223"/>
    </row>
    <row r="99" spans="1:12" s="224" customFormat="1">
      <c r="A99" s="227">
        <f>MAX(A$21:A98)+1</f>
        <v>13</v>
      </c>
      <c r="B99" s="228"/>
      <c r="C99" s="239" t="s">
        <v>41</v>
      </c>
      <c r="D99" s="240"/>
      <c r="E99" s="241" t="s">
        <v>42</v>
      </c>
      <c r="F99" s="242"/>
      <c r="G99" s="243" t="s">
        <v>2</v>
      </c>
      <c r="H99" s="229">
        <f>H100</f>
        <v>1300</v>
      </c>
      <c r="I99" s="376"/>
      <c r="J99" s="226">
        <f>H99*I99</f>
        <v>0</v>
      </c>
    </row>
    <row r="100" spans="1:12" s="224" customFormat="1">
      <c r="A100" s="231"/>
      <c r="B100" s="228"/>
      <c r="C100" s="286"/>
      <c r="D100" s="287" t="s">
        <v>43</v>
      </c>
      <c r="E100" s="288" t="s">
        <v>44</v>
      </c>
      <c r="F100" s="289"/>
      <c r="G100" s="290" t="s">
        <v>2</v>
      </c>
      <c r="H100" s="291">
        <v>1300</v>
      </c>
      <c r="I100" s="222"/>
      <c r="J100" s="223"/>
    </row>
    <row r="101" spans="1:12" s="224" customFormat="1" ht="25.5">
      <c r="A101" s="231"/>
      <c r="B101" s="228"/>
      <c r="C101" s="228"/>
      <c r="D101" s="232"/>
      <c r="E101" s="237" t="s">
        <v>252</v>
      </c>
      <c r="F101" s="244"/>
      <c r="G101" s="234"/>
      <c r="H101" s="235"/>
      <c r="I101" s="225"/>
      <c r="J101" s="226"/>
    </row>
    <row r="102" spans="1:12" s="224" customFormat="1">
      <c r="A102" s="231"/>
      <c r="B102" s="228"/>
      <c r="C102" s="228"/>
      <c r="D102" s="232"/>
      <c r="E102" s="195" t="s">
        <v>241</v>
      </c>
      <c r="F102" s="233">
        <v>800</v>
      </c>
      <c r="G102" s="234"/>
      <c r="H102" s="235"/>
      <c r="I102" s="222"/>
      <c r="J102" s="223"/>
    </row>
    <row r="103" spans="1:12" s="224" customFormat="1">
      <c r="A103" s="231"/>
      <c r="B103" s="228"/>
      <c r="C103" s="228"/>
      <c r="D103" s="232"/>
      <c r="E103" s="195" t="s">
        <v>245</v>
      </c>
      <c r="F103" s="233">
        <v>230</v>
      </c>
      <c r="G103" s="234"/>
      <c r="H103" s="235"/>
      <c r="I103" s="225"/>
      <c r="J103" s="226"/>
    </row>
    <row r="104" spans="1:12" s="224" customFormat="1">
      <c r="A104" s="231"/>
      <c r="B104" s="228"/>
      <c r="C104" s="228"/>
      <c r="D104" s="232"/>
      <c r="E104" s="195" t="s">
        <v>246</v>
      </c>
      <c r="F104" s="236">
        <v>270</v>
      </c>
      <c r="G104" s="234"/>
      <c r="H104" s="235"/>
      <c r="I104" s="222"/>
      <c r="J104" s="223"/>
    </row>
    <row r="105" spans="1:12" s="224" customFormat="1">
      <c r="A105" s="231"/>
      <c r="B105" s="228"/>
      <c r="C105" s="228"/>
      <c r="D105" s="232"/>
      <c r="E105" s="195"/>
      <c r="F105" s="233">
        <f>SUM(F102:F104)</f>
        <v>1300</v>
      </c>
      <c r="G105" s="234"/>
      <c r="H105" s="235"/>
      <c r="I105" s="225"/>
      <c r="J105" s="226"/>
    </row>
    <row r="106" spans="1:12" s="224" customFormat="1">
      <c r="A106" s="246"/>
      <c r="B106" s="184"/>
      <c r="C106" s="184"/>
      <c r="D106" s="185"/>
      <c r="E106" s="186"/>
      <c r="F106" s="187"/>
      <c r="G106" s="188"/>
      <c r="H106" s="189"/>
      <c r="I106" s="222"/>
      <c r="J106" s="223"/>
    </row>
    <row r="107" spans="1:12" s="224" customFormat="1">
      <c r="A107" s="227">
        <f>MAX(A$1:A106)+1</f>
        <v>14</v>
      </c>
      <c r="B107" s="228"/>
      <c r="C107" s="239" t="s">
        <v>253</v>
      </c>
      <c r="D107" s="240"/>
      <c r="E107" s="241" t="s">
        <v>254</v>
      </c>
      <c r="F107" s="242"/>
      <c r="G107" s="243" t="s">
        <v>8</v>
      </c>
      <c r="H107" s="229">
        <f>H108</f>
        <v>130</v>
      </c>
      <c r="I107" s="376"/>
      <c r="J107" s="226">
        <f>H107*I107</f>
        <v>0</v>
      </c>
    </row>
    <row r="108" spans="1:12" s="224" customFormat="1">
      <c r="A108" s="231"/>
      <c r="B108" s="228"/>
      <c r="C108" s="286"/>
      <c r="D108" s="287" t="s">
        <v>255</v>
      </c>
      <c r="E108" s="288" t="s">
        <v>256</v>
      </c>
      <c r="F108" s="289"/>
      <c r="G108" s="290" t="s">
        <v>8</v>
      </c>
      <c r="H108" s="291">
        <v>130</v>
      </c>
      <c r="I108" s="222"/>
      <c r="J108" s="223"/>
    </row>
    <row r="109" spans="1:12" s="224" customFormat="1" ht="25.5">
      <c r="A109" s="231"/>
      <c r="B109" s="228"/>
      <c r="C109" s="228"/>
      <c r="D109" s="232"/>
      <c r="E109" s="237" t="s">
        <v>257</v>
      </c>
      <c r="F109" s="292">
        <f>1300*0.1</f>
        <v>130</v>
      </c>
      <c r="G109" s="234"/>
      <c r="H109" s="235"/>
      <c r="I109" s="225"/>
      <c r="J109" s="226"/>
    </row>
    <row r="110" spans="1:12" s="224" customFormat="1">
      <c r="A110" s="246"/>
      <c r="B110" s="184"/>
      <c r="C110" s="184"/>
      <c r="D110" s="185"/>
      <c r="E110" s="186"/>
      <c r="F110" s="187"/>
      <c r="G110" s="188"/>
      <c r="H110" s="189"/>
      <c r="I110" s="222"/>
      <c r="J110" s="223"/>
    </row>
    <row r="111" spans="1:12" s="224" customFormat="1">
      <c r="A111" s="227">
        <f>MAX(A$1:A110)+1</f>
        <v>15</v>
      </c>
      <c r="B111" s="228"/>
      <c r="C111" s="239" t="s">
        <v>103</v>
      </c>
      <c r="D111" s="240"/>
      <c r="E111" s="241" t="s">
        <v>104</v>
      </c>
      <c r="F111" s="242"/>
      <c r="G111" s="243" t="s">
        <v>8</v>
      </c>
      <c r="H111" s="229">
        <f>H112</f>
        <v>130</v>
      </c>
      <c r="I111" s="376"/>
      <c r="J111" s="226">
        <f>H111*I111</f>
        <v>0</v>
      </c>
      <c r="L111" s="7"/>
    </row>
    <row r="112" spans="1:12" s="224" customFormat="1" ht="25.5">
      <c r="A112" s="231"/>
      <c r="B112" s="228"/>
      <c r="C112" s="228"/>
      <c r="D112" s="287" t="s">
        <v>105</v>
      </c>
      <c r="E112" s="288" t="s">
        <v>106</v>
      </c>
      <c r="F112" s="293"/>
      <c r="G112" s="290" t="s">
        <v>8</v>
      </c>
      <c r="H112" s="291">
        <v>130</v>
      </c>
      <c r="I112" s="222"/>
      <c r="J112" s="223"/>
    </row>
    <row r="113" spans="1:14" s="224" customFormat="1" ht="25.5">
      <c r="A113" s="231"/>
      <c r="B113" s="228"/>
      <c r="C113" s="228"/>
      <c r="D113" s="232"/>
      <c r="E113" s="237" t="s">
        <v>258</v>
      </c>
      <c r="F113" s="292">
        <f>1300*0.1</f>
        <v>130</v>
      </c>
      <c r="G113" s="234"/>
      <c r="H113" s="235"/>
      <c r="I113" s="225"/>
      <c r="J113" s="226"/>
    </row>
    <row r="114" spans="1:14" s="224" customFormat="1">
      <c r="A114" s="231"/>
      <c r="B114" s="228"/>
      <c r="C114" s="228"/>
      <c r="D114" s="232"/>
      <c r="E114" s="294"/>
      <c r="F114" s="295"/>
      <c r="G114" s="234"/>
      <c r="H114" s="235"/>
      <c r="I114" s="222"/>
      <c r="J114" s="223"/>
    </row>
    <row r="115" spans="1:14" s="224" customFormat="1">
      <c r="A115" s="227">
        <f>MAX(A$6:A114)+1</f>
        <v>16</v>
      </c>
      <c r="B115" s="228"/>
      <c r="C115" s="239" t="s">
        <v>259</v>
      </c>
      <c r="D115" s="240"/>
      <c r="E115" s="241" t="s">
        <v>260</v>
      </c>
      <c r="F115" s="242"/>
      <c r="G115" s="243" t="s">
        <v>8</v>
      </c>
      <c r="H115" s="229">
        <f>H116</f>
        <v>260</v>
      </c>
      <c r="I115" s="376"/>
      <c r="J115" s="226">
        <f>H115*I115</f>
        <v>0</v>
      </c>
    </row>
    <row r="116" spans="1:14" s="224" customFormat="1" ht="25.5">
      <c r="A116" s="231"/>
      <c r="B116" s="228"/>
      <c r="C116" s="286"/>
      <c r="D116" s="287" t="s">
        <v>261</v>
      </c>
      <c r="E116" s="288" t="s">
        <v>262</v>
      </c>
      <c r="F116" s="289"/>
      <c r="G116" s="290" t="s">
        <v>8</v>
      </c>
      <c r="H116" s="291">
        <v>260</v>
      </c>
      <c r="I116" s="222"/>
      <c r="J116" s="223"/>
    </row>
    <row r="117" spans="1:14" s="224" customFormat="1" ht="25.5">
      <c r="A117" s="231"/>
      <c r="B117" s="228"/>
      <c r="C117" s="228"/>
      <c r="D117" s="232"/>
      <c r="E117" s="237" t="s">
        <v>263</v>
      </c>
      <c r="F117" s="292">
        <f>130*2</f>
        <v>260</v>
      </c>
      <c r="G117" s="234"/>
      <c r="H117" s="235"/>
      <c r="I117" s="225"/>
      <c r="J117" s="226"/>
    </row>
    <row r="118" spans="1:14" s="224" customFormat="1">
      <c r="A118" s="231"/>
      <c r="B118" s="228"/>
      <c r="C118" s="228"/>
      <c r="D118" s="232"/>
      <c r="E118" s="294"/>
      <c r="F118" s="295"/>
      <c r="G118" s="234"/>
      <c r="H118" s="235"/>
      <c r="I118" s="222"/>
      <c r="J118" s="223"/>
    </row>
    <row r="119" spans="1:14" s="224" customFormat="1">
      <c r="A119" s="25"/>
      <c r="B119" s="41"/>
      <c r="C119" s="42"/>
      <c r="D119" s="296"/>
      <c r="E119" s="297"/>
      <c r="F119" s="32"/>
      <c r="G119" s="24"/>
      <c r="H119" s="58"/>
      <c r="I119" s="225"/>
      <c r="J119" s="226"/>
    </row>
    <row r="120" spans="1:14" s="224" customFormat="1">
      <c r="A120" s="25"/>
      <c r="B120" s="280" t="s">
        <v>69</v>
      </c>
      <c r="C120" s="281"/>
      <c r="D120" s="282"/>
      <c r="E120" s="251" t="s">
        <v>70</v>
      </c>
      <c r="F120" s="298"/>
      <c r="G120" s="299"/>
      <c r="H120" s="58"/>
      <c r="I120" s="222"/>
      <c r="J120" s="223"/>
    </row>
    <row r="121" spans="1:14" s="224" customFormat="1">
      <c r="A121" s="25"/>
      <c r="B121" s="41"/>
      <c r="C121" s="42"/>
      <c r="D121" s="296"/>
      <c r="E121" s="297"/>
      <c r="F121" s="270"/>
      <c r="G121" s="24"/>
      <c r="H121" s="58"/>
      <c r="I121" s="225"/>
      <c r="J121" s="226"/>
    </row>
    <row r="122" spans="1:14" s="224" customFormat="1">
      <c r="A122" s="25">
        <f>MAX(A$1:A121)+1</f>
        <v>17</v>
      </c>
      <c r="B122" s="41"/>
      <c r="C122" s="26" t="s">
        <v>53</v>
      </c>
      <c r="D122" s="39"/>
      <c r="E122" s="28" t="s">
        <v>54</v>
      </c>
      <c r="F122" s="254"/>
      <c r="G122" s="30" t="s">
        <v>8</v>
      </c>
      <c r="H122" s="59">
        <f>H123</f>
        <v>1417</v>
      </c>
      <c r="I122" s="376"/>
      <c r="J122" s="226">
        <f>H122*I122</f>
        <v>0</v>
      </c>
      <c r="N122" s="300"/>
    </row>
    <row r="123" spans="1:14" s="224" customFormat="1" ht="25.5">
      <c r="A123" s="25"/>
      <c r="B123" s="41"/>
      <c r="C123" s="42"/>
      <c r="D123" s="39" t="s">
        <v>55</v>
      </c>
      <c r="E123" s="34" t="s">
        <v>56</v>
      </c>
      <c r="F123" s="255"/>
      <c r="G123" s="36" t="s">
        <v>8</v>
      </c>
      <c r="H123" s="58">
        <v>1417</v>
      </c>
      <c r="I123" s="225"/>
      <c r="J123" s="226"/>
      <c r="N123" s="300"/>
    </row>
    <row r="124" spans="1:14" s="224" customFormat="1">
      <c r="A124" s="25"/>
      <c r="B124" s="41"/>
      <c r="C124" s="42"/>
      <c r="D124" s="296"/>
      <c r="E124" s="195" t="s">
        <v>264</v>
      </c>
      <c r="F124" s="270">
        <v>703</v>
      </c>
      <c r="G124" s="24"/>
      <c r="H124" s="58"/>
      <c r="I124" s="222"/>
      <c r="J124" s="223"/>
      <c r="N124" s="300"/>
    </row>
    <row r="125" spans="1:14" s="224" customFormat="1">
      <c r="A125" s="25"/>
      <c r="B125" s="41"/>
      <c r="C125" s="42"/>
      <c r="D125" s="296"/>
      <c r="E125" s="195" t="s">
        <v>265</v>
      </c>
      <c r="F125" s="270">
        <v>500</v>
      </c>
      <c r="G125" s="24"/>
      <c r="H125" s="58"/>
      <c r="I125" s="225"/>
      <c r="J125" s="226"/>
    </row>
    <row r="126" spans="1:14" s="224" customFormat="1">
      <c r="A126" s="256"/>
      <c r="B126" s="301"/>
      <c r="C126" s="302"/>
      <c r="D126" s="303"/>
      <c r="E126" s="195" t="s">
        <v>266</v>
      </c>
      <c r="F126" s="304">
        <v>214</v>
      </c>
      <c r="G126" s="185"/>
      <c r="H126" s="269"/>
      <c r="I126" s="222"/>
      <c r="J126" s="223"/>
    </row>
    <row r="127" spans="1:14" s="224" customFormat="1">
      <c r="A127" s="256"/>
      <c r="B127" s="301"/>
      <c r="C127" s="302"/>
      <c r="D127" s="303"/>
      <c r="E127" s="305"/>
      <c r="F127" s="270">
        <f>SUM(F124:F126)</f>
        <v>1417</v>
      </c>
      <c r="G127" s="185"/>
      <c r="H127" s="269"/>
      <c r="I127" s="225"/>
      <c r="J127" s="226"/>
    </row>
    <row r="128" spans="1:14" s="224" customFormat="1">
      <c r="A128" s="256"/>
      <c r="B128" s="301"/>
      <c r="C128" s="302"/>
      <c r="D128" s="303"/>
      <c r="E128" s="305"/>
      <c r="F128" s="279"/>
      <c r="G128" s="185"/>
      <c r="H128" s="269"/>
      <c r="I128" s="225"/>
      <c r="J128" s="226"/>
    </row>
    <row r="129" spans="1:10" s="224" customFormat="1">
      <c r="A129" s="25">
        <f>MAX(A$1:A128)+1</f>
        <v>18</v>
      </c>
      <c r="B129" s="41"/>
      <c r="C129" s="93" t="s">
        <v>119</v>
      </c>
      <c r="D129" s="94"/>
      <c r="E129" s="95" t="s">
        <v>120</v>
      </c>
      <c r="F129" s="96"/>
      <c r="G129" s="97" t="s">
        <v>8</v>
      </c>
      <c r="H129" s="98">
        <f>H130</f>
        <v>36.299999999999997</v>
      </c>
      <c r="I129" s="376"/>
      <c r="J129" s="226">
        <f>H129*I129</f>
        <v>0</v>
      </c>
    </row>
    <row r="130" spans="1:10" s="224" customFormat="1">
      <c r="A130" s="25"/>
      <c r="B130" s="41"/>
      <c r="C130" s="99"/>
      <c r="D130" s="100" t="s">
        <v>121</v>
      </c>
      <c r="E130" s="101" t="s">
        <v>122</v>
      </c>
      <c r="F130" s="102"/>
      <c r="G130" s="103" t="s">
        <v>8</v>
      </c>
      <c r="H130" s="104">
        <v>36.299999999999997</v>
      </c>
      <c r="I130" s="225"/>
      <c r="J130" s="226"/>
    </row>
    <row r="131" spans="1:10" s="224" customFormat="1">
      <c r="A131" s="25"/>
      <c r="B131" s="41"/>
      <c r="C131" s="42"/>
      <c r="D131" s="296"/>
      <c r="E131" s="306" t="s">
        <v>273</v>
      </c>
      <c r="F131" s="270"/>
      <c r="G131" s="24"/>
      <c r="H131" s="58"/>
      <c r="I131" s="222"/>
      <c r="J131" s="223"/>
    </row>
    <row r="132" spans="1:10" s="224" customFormat="1">
      <c r="A132" s="25"/>
      <c r="B132" s="41"/>
      <c r="C132" s="42"/>
      <c r="D132" s="296"/>
      <c r="E132" s="297" t="s">
        <v>274</v>
      </c>
      <c r="F132" s="270">
        <v>36.299999999999997</v>
      </c>
      <c r="G132" s="24"/>
      <c r="H132" s="58"/>
      <c r="I132" s="225"/>
      <c r="J132" s="226"/>
    </row>
    <row r="133" spans="1:10" s="224" customFormat="1">
      <c r="A133" s="256"/>
      <c r="B133" s="301"/>
      <c r="C133" s="302"/>
      <c r="D133" s="303"/>
      <c r="E133" s="305"/>
      <c r="F133" s="279"/>
      <c r="G133" s="185"/>
      <c r="H133" s="269"/>
      <c r="I133" s="225"/>
      <c r="J133" s="226"/>
    </row>
    <row r="134" spans="1:10" s="224" customFormat="1">
      <c r="A134" s="25">
        <f>MAX(A$1:A133)+1</f>
        <v>19</v>
      </c>
      <c r="B134" s="41"/>
      <c r="C134" s="26" t="s">
        <v>57</v>
      </c>
      <c r="D134" s="27"/>
      <c r="E134" s="28" t="s">
        <v>58</v>
      </c>
      <c r="F134" s="254"/>
      <c r="G134" s="30" t="s">
        <v>8</v>
      </c>
      <c r="H134" s="59">
        <f>H135</f>
        <v>44.4</v>
      </c>
      <c r="I134" s="376"/>
      <c r="J134" s="226">
        <f>H134*I134</f>
        <v>0</v>
      </c>
    </row>
    <row r="135" spans="1:10" s="224" customFormat="1">
      <c r="A135" s="25"/>
      <c r="B135" s="41"/>
      <c r="C135" s="42"/>
      <c r="D135" s="33" t="s">
        <v>59</v>
      </c>
      <c r="E135" s="34" t="s">
        <v>60</v>
      </c>
      <c r="F135" s="255"/>
      <c r="G135" s="36" t="s">
        <v>8</v>
      </c>
      <c r="H135" s="58">
        <v>44.4</v>
      </c>
      <c r="I135" s="225"/>
      <c r="J135" s="226"/>
    </row>
    <row r="136" spans="1:10" s="224" customFormat="1">
      <c r="A136" s="25"/>
      <c r="B136" s="41"/>
      <c r="C136" s="42"/>
      <c r="D136" s="296"/>
      <c r="E136" s="195" t="s">
        <v>267</v>
      </c>
      <c r="F136" s="270">
        <f>148*0.5*0.6</f>
        <v>44.4</v>
      </c>
      <c r="G136" s="24"/>
      <c r="H136" s="58"/>
      <c r="I136" s="222"/>
      <c r="J136" s="223"/>
    </row>
    <row r="137" spans="1:10" s="224" customFormat="1">
      <c r="A137" s="25"/>
      <c r="B137" s="41"/>
      <c r="C137" s="42"/>
      <c r="D137" s="296"/>
      <c r="E137" s="297"/>
      <c r="F137" s="270"/>
      <c r="G137" s="24"/>
      <c r="H137" s="58"/>
      <c r="I137" s="225"/>
      <c r="J137" s="226"/>
    </row>
    <row r="138" spans="1:10" s="224" customFormat="1">
      <c r="A138" s="256"/>
      <c r="B138" s="301"/>
      <c r="C138" s="302"/>
      <c r="D138" s="303"/>
      <c r="E138" s="305"/>
      <c r="F138" s="279"/>
      <c r="G138" s="185"/>
      <c r="H138" s="269"/>
      <c r="I138" s="222"/>
      <c r="J138" s="223"/>
    </row>
    <row r="139" spans="1:10" s="224" customFormat="1">
      <c r="A139" s="25">
        <f>MAX(A$1:A138)+1</f>
        <v>20</v>
      </c>
      <c r="B139" s="41"/>
      <c r="C139" s="26" t="s">
        <v>161</v>
      </c>
      <c r="D139" s="27"/>
      <c r="E139" s="28" t="s">
        <v>162</v>
      </c>
      <c r="F139" s="29"/>
      <c r="G139" s="30" t="s">
        <v>8</v>
      </c>
      <c r="H139" s="59">
        <f>H140</f>
        <v>104</v>
      </c>
      <c r="I139" s="376"/>
      <c r="J139" s="226">
        <f>H139*I139</f>
        <v>0</v>
      </c>
    </row>
    <row r="140" spans="1:10" s="224" customFormat="1">
      <c r="A140" s="25"/>
      <c r="B140" s="41"/>
      <c r="C140" s="42"/>
      <c r="D140" s="33" t="s">
        <v>268</v>
      </c>
      <c r="E140" s="34" t="s">
        <v>269</v>
      </c>
      <c r="F140" s="35"/>
      <c r="G140" s="36" t="s">
        <v>8</v>
      </c>
      <c r="H140" s="58">
        <v>104</v>
      </c>
      <c r="I140" s="222"/>
      <c r="J140" s="223"/>
    </row>
    <row r="141" spans="1:10" s="224" customFormat="1">
      <c r="A141" s="256"/>
      <c r="B141" s="301"/>
      <c r="C141" s="302"/>
      <c r="D141" s="303"/>
      <c r="E141" s="258" t="s">
        <v>270</v>
      </c>
      <c r="F141" s="279"/>
      <c r="G141" s="185"/>
      <c r="H141" s="269"/>
      <c r="I141" s="225"/>
      <c r="J141" s="226"/>
    </row>
    <row r="142" spans="1:10" s="224" customFormat="1">
      <c r="A142" s="256"/>
      <c r="B142" s="301"/>
      <c r="C142" s="302"/>
      <c r="D142" s="303"/>
      <c r="E142" s="195" t="s">
        <v>271</v>
      </c>
      <c r="F142" s="270">
        <f>1*2*30</f>
        <v>60</v>
      </c>
      <c r="G142" s="185"/>
      <c r="H142" s="269"/>
      <c r="I142" s="222"/>
      <c r="J142" s="223"/>
    </row>
    <row r="143" spans="1:10" s="224" customFormat="1">
      <c r="A143" s="256"/>
      <c r="B143" s="301"/>
      <c r="C143" s="302"/>
      <c r="D143" s="303"/>
      <c r="E143" s="195" t="s">
        <v>272</v>
      </c>
      <c r="F143" s="304">
        <f>1*2*22</f>
        <v>44</v>
      </c>
      <c r="G143" s="185"/>
      <c r="H143" s="269"/>
      <c r="I143" s="225"/>
      <c r="J143" s="226"/>
    </row>
    <row r="144" spans="1:10" s="224" customFormat="1">
      <c r="A144" s="256"/>
      <c r="B144" s="301"/>
      <c r="C144" s="302"/>
      <c r="D144" s="303"/>
      <c r="E144" s="305"/>
      <c r="F144" s="238">
        <f>SUM(F142:F143)</f>
        <v>104</v>
      </c>
      <c r="G144" s="185"/>
      <c r="H144" s="269"/>
      <c r="I144" s="222"/>
      <c r="J144" s="223"/>
    </row>
    <row r="145" spans="1:10" s="224" customFormat="1">
      <c r="A145" s="256"/>
      <c r="B145" s="301"/>
      <c r="C145" s="302"/>
      <c r="D145" s="303"/>
      <c r="E145" s="305"/>
      <c r="F145" s="279"/>
      <c r="G145" s="185"/>
      <c r="H145" s="269"/>
      <c r="I145" s="225"/>
      <c r="J145" s="226"/>
    </row>
    <row r="146" spans="1:10" s="224" customFormat="1">
      <c r="A146" s="25">
        <f>MAX(A$1:A145)+1</f>
        <v>21</v>
      </c>
      <c r="B146" s="41"/>
      <c r="C146" s="26" t="s">
        <v>275</v>
      </c>
      <c r="D146" s="27"/>
      <c r="E146" s="28" t="s">
        <v>276</v>
      </c>
      <c r="F146" s="254"/>
      <c r="G146" s="30" t="s">
        <v>8</v>
      </c>
      <c r="H146" s="59">
        <f>H147</f>
        <v>877</v>
      </c>
      <c r="I146" s="376"/>
      <c r="J146" s="226">
        <f>H146*I146</f>
        <v>0</v>
      </c>
    </row>
    <row r="147" spans="1:10" s="224" customFormat="1" ht="25.5">
      <c r="A147" s="25"/>
      <c r="B147" s="41"/>
      <c r="C147" s="26"/>
      <c r="D147" s="33" t="s">
        <v>277</v>
      </c>
      <c r="E147" s="34" t="s">
        <v>278</v>
      </c>
      <c r="F147" s="35"/>
      <c r="G147" s="36" t="s">
        <v>8</v>
      </c>
      <c r="H147" s="58">
        <v>877</v>
      </c>
      <c r="I147" s="225"/>
      <c r="J147" s="226"/>
    </row>
    <row r="148" spans="1:10" s="224" customFormat="1">
      <c r="A148" s="25"/>
      <c r="B148" s="41"/>
      <c r="C148" s="26"/>
      <c r="D148" s="27"/>
      <c r="E148" s="307" t="s">
        <v>279</v>
      </c>
      <c r="F148" s="254"/>
      <c r="G148" s="30"/>
      <c r="H148" s="59"/>
      <c r="I148" s="222"/>
      <c r="J148" s="223"/>
    </row>
    <row r="149" spans="1:10" s="224" customFormat="1">
      <c r="A149" s="25"/>
      <c r="B149" s="41"/>
      <c r="C149" s="26"/>
      <c r="D149" s="27"/>
      <c r="E149" s="195" t="s">
        <v>264</v>
      </c>
      <c r="F149" s="270">
        <v>877</v>
      </c>
      <c r="G149" s="30"/>
      <c r="H149" s="59"/>
      <c r="I149" s="225"/>
      <c r="J149" s="226"/>
    </row>
    <row r="150" spans="1:10" s="224" customFormat="1">
      <c r="A150" s="256"/>
      <c r="B150" s="301"/>
      <c r="C150" s="302"/>
      <c r="D150" s="303"/>
      <c r="E150" s="305"/>
      <c r="F150" s="279"/>
      <c r="G150" s="185"/>
      <c r="H150" s="269"/>
      <c r="I150" s="222"/>
      <c r="J150" s="223"/>
    </row>
    <row r="151" spans="1:10" s="224" customFormat="1">
      <c r="A151" s="25">
        <f>MAX(A$1:A150)+1</f>
        <v>22</v>
      </c>
      <c r="B151" s="41"/>
      <c r="C151" s="26" t="s">
        <v>5</v>
      </c>
      <c r="D151" s="27"/>
      <c r="E151" s="28" t="s">
        <v>3</v>
      </c>
      <c r="F151" s="254"/>
      <c r="G151" s="30" t="s">
        <v>8</v>
      </c>
      <c r="H151" s="59">
        <f>H152</f>
        <v>1282</v>
      </c>
      <c r="I151" s="376"/>
      <c r="J151" s="226">
        <f>H151*I151</f>
        <v>0</v>
      </c>
    </row>
    <row r="152" spans="1:10" s="224" customFormat="1" ht="25.5">
      <c r="A152" s="25"/>
      <c r="B152" s="41"/>
      <c r="C152" s="42"/>
      <c r="D152" s="33" t="s">
        <v>6</v>
      </c>
      <c r="E152" s="34" t="s">
        <v>4</v>
      </c>
      <c r="F152" s="255"/>
      <c r="G152" s="36" t="s">
        <v>8</v>
      </c>
      <c r="H152" s="58">
        <v>1282</v>
      </c>
      <c r="I152" s="222"/>
      <c r="J152" s="223"/>
    </row>
    <row r="153" spans="1:10" s="224" customFormat="1">
      <c r="A153" s="25"/>
      <c r="B153" s="41"/>
      <c r="C153" s="42"/>
      <c r="D153" s="296"/>
      <c r="E153" s="258" t="s">
        <v>280</v>
      </c>
      <c r="F153" s="270"/>
      <c r="G153" s="24"/>
      <c r="H153" s="58"/>
      <c r="I153" s="225"/>
      <c r="J153" s="226"/>
    </row>
    <row r="154" spans="1:10" s="224" customFormat="1">
      <c r="A154" s="25"/>
      <c r="B154" s="41"/>
      <c r="C154" s="308"/>
      <c r="D154" s="296"/>
      <c r="E154" s="195" t="s">
        <v>264</v>
      </c>
      <c r="F154" s="270">
        <v>785</v>
      </c>
      <c r="G154" s="24"/>
      <c r="H154" s="58"/>
      <c r="I154" s="222"/>
      <c r="J154" s="223"/>
    </row>
    <row r="155" spans="1:10" s="224" customFormat="1">
      <c r="A155" s="25"/>
      <c r="B155" s="41"/>
      <c r="C155" s="308"/>
      <c r="D155" s="296"/>
      <c r="E155" s="195" t="s">
        <v>265</v>
      </c>
      <c r="F155" s="270">
        <v>322</v>
      </c>
      <c r="G155" s="24"/>
      <c r="H155" s="58"/>
      <c r="I155" s="225"/>
      <c r="J155" s="226"/>
    </row>
    <row r="156" spans="1:10" s="224" customFormat="1">
      <c r="A156" s="25"/>
      <c r="B156" s="41"/>
      <c r="C156" s="308"/>
      <c r="D156" s="296"/>
      <c r="E156" s="195" t="s">
        <v>266</v>
      </c>
      <c r="F156" s="304">
        <v>175</v>
      </c>
      <c r="G156" s="24"/>
      <c r="H156" s="58"/>
      <c r="I156" s="222"/>
      <c r="J156" s="223"/>
    </row>
    <row r="157" spans="1:10" s="224" customFormat="1">
      <c r="A157" s="25"/>
      <c r="B157" s="41"/>
      <c r="C157" s="308"/>
      <c r="D157" s="296"/>
      <c r="E157" s="195"/>
      <c r="F157" s="270">
        <f>SUM(F154:F156)</f>
        <v>1282</v>
      </c>
      <c r="G157" s="24"/>
      <c r="H157" s="58"/>
      <c r="I157" s="225"/>
      <c r="J157" s="226"/>
    </row>
    <row r="158" spans="1:10" s="224" customFormat="1">
      <c r="A158" s="256"/>
      <c r="B158" s="301"/>
      <c r="C158" s="309"/>
      <c r="D158" s="303"/>
      <c r="E158" s="247"/>
      <c r="F158" s="279"/>
      <c r="G158" s="185"/>
      <c r="H158" s="269"/>
      <c r="I158" s="222"/>
      <c r="J158" s="223"/>
    </row>
    <row r="159" spans="1:10" s="224" customFormat="1">
      <c r="A159" s="25">
        <f>MAX(A$1:A158)+1</f>
        <v>23</v>
      </c>
      <c r="B159" s="41"/>
      <c r="C159" s="93" t="s">
        <v>123</v>
      </c>
      <c r="D159" s="94"/>
      <c r="E159" s="95" t="s">
        <v>124</v>
      </c>
      <c r="F159" s="96"/>
      <c r="G159" s="97" t="s">
        <v>8</v>
      </c>
      <c r="H159" s="59">
        <f>H160</f>
        <v>26.6</v>
      </c>
      <c r="I159" s="376"/>
      <c r="J159" s="226">
        <f>H159*I159</f>
        <v>0</v>
      </c>
    </row>
    <row r="160" spans="1:10" s="224" customFormat="1">
      <c r="A160" s="25"/>
      <c r="B160" s="41"/>
      <c r="C160" s="308"/>
      <c r="D160" s="100" t="s">
        <v>125</v>
      </c>
      <c r="E160" s="101" t="s">
        <v>126</v>
      </c>
      <c r="F160" s="102"/>
      <c r="G160" s="103" t="s">
        <v>8</v>
      </c>
      <c r="H160" s="104">
        <v>26.6</v>
      </c>
      <c r="I160" s="222"/>
      <c r="J160" s="223"/>
    </row>
    <row r="161" spans="1:10" s="224" customFormat="1">
      <c r="A161" s="25"/>
      <c r="B161" s="41"/>
      <c r="C161" s="308"/>
      <c r="D161" s="296"/>
      <c r="E161" s="306" t="s">
        <v>281</v>
      </c>
      <c r="F161" s="270"/>
      <c r="G161" s="24"/>
      <c r="H161" s="58"/>
      <c r="I161" s="225"/>
      <c r="J161" s="226"/>
    </row>
    <row r="162" spans="1:10" s="224" customFormat="1">
      <c r="A162" s="25"/>
      <c r="B162" s="41"/>
      <c r="C162" s="308"/>
      <c r="D162" s="296"/>
      <c r="E162" s="195" t="s">
        <v>282</v>
      </c>
      <c r="F162" s="270">
        <v>26.6</v>
      </c>
      <c r="G162" s="24"/>
      <c r="H162" s="58"/>
      <c r="I162" s="222"/>
      <c r="J162" s="223"/>
    </row>
    <row r="163" spans="1:10" s="224" customFormat="1">
      <c r="A163" s="256"/>
      <c r="B163" s="301"/>
      <c r="C163" s="245"/>
      <c r="D163" s="303"/>
      <c r="E163" s="305"/>
      <c r="F163" s="279"/>
      <c r="G163" s="185"/>
      <c r="H163" s="269"/>
      <c r="I163" s="225"/>
      <c r="J163" s="226"/>
    </row>
    <row r="164" spans="1:10" s="224" customFormat="1" ht="25.5">
      <c r="A164" s="25">
        <f>MAX(A$1:A163)+1</f>
        <v>24</v>
      </c>
      <c r="B164" s="41"/>
      <c r="C164" s="26" t="s">
        <v>283</v>
      </c>
      <c r="D164" s="27"/>
      <c r="E164" s="28" t="s">
        <v>284</v>
      </c>
      <c r="F164" s="254"/>
      <c r="G164" s="30" t="s">
        <v>2</v>
      </c>
      <c r="H164" s="59">
        <f>H165</f>
        <v>2569</v>
      </c>
      <c r="I164" s="376"/>
      <c r="J164" s="226">
        <f>H164*I164</f>
        <v>0</v>
      </c>
    </row>
    <row r="165" spans="1:10" s="224" customFormat="1" ht="25.5">
      <c r="A165" s="25"/>
      <c r="B165" s="41"/>
      <c r="C165" s="39"/>
      <c r="D165" s="33" t="s">
        <v>285</v>
      </c>
      <c r="E165" s="34" t="s">
        <v>286</v>
      </c>
      <c r="F165" s="255"/>
      <c r="G165" s="36" t="s">
        <v>2</v>
      </c>
      <c r="H165" s="58">
        <v>2569</v>
      </c>
      <c r="I165" s="225"/>
      <c r="J165" s="226"/>
    </row>
    <row r="166" spans="1:10" s="224" customFormat="1">
      <c r="A166" s="25"/>
      <c r="B166" s="41"/>
      <c r="C166" s="7"/>
      <c r="D166" s="296"/>
      <c r="E166" s="258" t="s">
        <v>287</v>
      </c>
      <c r="F166" s="233"/>
      <c r="G166" s="24"/>
      <c r="H166" s="58"/>
      <c r="I166" s="222"/>
      <c r="J166" s="223"/>
    </row>
    <row r="167" spans="1:10" s="224" customFormat="1">
      <c r="A167" s="256"/>
      <c r="B167" s="301"/>
      <c r="C167" s="245"/>
      <c r="D167" s="303"/>
      <c r="E167" s="195" t="s">
        <v>264</v>
      </c>
      <c r="F167" s="270">
        <v>1572</v>
      </c>
      <c r="G167" s="185"/>
      <c r="H167" s="269"/>
      <c r="I167" s="225"/>
      <c r="J167" s="226"/>
    </row>
    <row r="168" spans="1:10" s="224" customFormat="1">
      <c r="A168" s="256"/>
      <c r="B168" s="301"/>
      <c r="C168" s="245"/>
      <c r="D168" s="303"/>
      <c r="E168" s="195" t="s">
        <v>265</v>
      </c>
      <c r="F168" s="270">
        <v>649</v>
      </c>
      <c r="G168" s="185"/>
      <c r="H168" s="269"/>
      <c r="I168" s="222"/>
      <c r="J168" s="223"/>
    </row>
    <row r="169" spans="1:10" s="224" customFormat="1">
      <c r="A169" s="256"/>
      <c r="B169" s="301"/>
      <c r="C169" s="245"/>
      <c r="D169" s="303"/>
      <c r="E169" s="195" t="s">
        <v>266</v>
      </c>
      <c r="F169" s="304">
        <v>348</v>
      </c>
      <c r="G169" s="185"/>
      <c r="H169" s="269"/>
      <c r="I169" s="225"/>
      <c r="J169" s="226"/>
    </row>
    <row r="170" spans="1:10" s="224" customFormat="1">
      <c r="A170" s="256"/>
      <c r="B170" s="301"/>
      <c r="C170" s="245"/>
      <c r="D170" s="303"/>
      <c r="E170" s="195"/>
      <c r="F170" s="270">
        <f>SUM(F167:F169)</f>
        <v>2569</v>
      </c>
      <c r="G170" s="185"/>
      <c r="H170" s="269"/>
      <c r="I170" s="222"/>
      <c r="J170" s="223"/>
    </row>
    <row r="171" spans="1:10" s="224" customFormat="1">
      <c r="A171" s="256"/>
      <c r="B171" s="301"/>
      <c r="C171" s="245"/>
      <c r="D171" s="303"/>
      <c r="E171" s="305"/>
      <c r="F171" s="279"/>
      <c r="G171" s="185"/>
      <c r="H171" s="269"/>
      <c r="I171" s="225"/>
      <c r="J171" s="226"/>
    </row>
    <row r="172" spans="1:10" s="224" customFormat="1" ht="25.5">
      <c r="A172" s="25">
        <f>MAX(A$1:A166)+1</f>
        <v>25</v>
      </c>
      <c r="B172" s="41"/>
      <c r="C172" s="26" t="s">
        <v>45</v>
      </c>
      <c r="D172" s="27"/>
      <c r="E172" s="28" t="s">
        <v>46</v>
      </c>
      <c r="F172" s="254"/>
      <c r="G172" s="30" t="s">
        <v>2</v>
      </c>
      <c r="H172" s="59">
        <f>H173</f>
        <v>578</v>
      </c>
      <c r="I172" s="376"/>
      <c r="J172" s="226">
        <f>H172*I172</f>
        <v>0</v>
      </c>
    </row>
    <row r="173" spans="1:10" s="224" customFormat="1" ht="25.5">
      <c r="A173" s="25"/>
      <c r="B173" s="41"/>
      <c r="C173" s="39"/>
      <c r="D173" s="33" t="s">
        <v>47</v>
      </c>
      <c r="E173" s="34" t="s">
        <v>48</v>
      </c>
      <c r="F173" s="255"/>
      <c r="G173" s="36" t="s">
        <v>2</v>
      </c>
      <c r="H173" s="58">
        <v>578</v>
      </c>
      <c r="I173" s="225"/>
      <c r="J173" s="226"/>
    </row>
    <row r="174" spans="1:10" s="224" customFormat="1" ht="15" customHeight="1">
      <c r="A174" s="25"/>
      <c r="B174" s="41"/>
      <c r="C174" s="42"/>
      <c r="D174" s="296"/>
      <c r="E174" s="258" t="s">
        <v>288</v>
      </c>
      <c r="F174" s="304"/>
      <c r="G174" s="24"/>
      <c r="H174" s="58"/>
      <c r="I174" s="222"/>
      <c r="J174" s="223"/>
    </row>
    <row r="175" spans="1:10" s="224" customFormat="1" ht="15" customHeight="1">
      <c r="A175" s="25"/>
      <c r="B175" s="41"/>
      <c r="C175" s="42"/>
      <c r="D175" s="296"/>
      <c r="E175" s="195" t="s">
        <v>264</v>
      </c>
      <c r="F175" s="270">
        <v>578</v>
      </c>
      <c r="G175" s="24"/>
      <c r="H175" s="58"/>
      <c r="I175" s="225"/>
      <c r="J175" s="226"/>
    </row>
    <row r="176" spans="1:10" s="224" customFormat="1" ht="15" customHeight="1">
      <c r="A176" s="256"/>
      <c r="B176" s="301"/>
      <c r="C176" s="302"/>
      <c r="D176" s="303"/>
      <c r="E176" s="247"/>
      <c r="F176" s="310"/>
      <c r="G176" s="185"/>
      <c r="H176" s="269"/>
      <c r="I176" s="222"/>
      <c r="J176" s="223"/>
    </row>
    <row r="177" spans="1:12" s="224" customFormat="1">
      <c r="A177" s="25">
        <f>MAX(A$1:A176)+1</f>
        <v>26</v>
      </c>
      <c r="B177" s="41"/>
      <c r="C177" s="26" t="s">
        <v>61</v>
      </c>
      <c r="D177" s="27"/>
      <c r="E177" s="28" t="s">
        <v>62</v>
      </c>
      <c r="F177" s="254"/>
      <c r="G177" s="30" t="s">
        <v>2</v>
      </c>
      <c r="H177" s="59">
        <f>H178</f>
        <v>266</v>
      </c>
      <c r="I177" s="376"/>
      <c r="J177" s="226">
        <f>H177*I177</f>
        <v>0</v>
      </c>
      <c r="K177" s="230"/>
    </row>
    <row r="178" spans="1:12" s="224" customFormat="1" ht="25.5">
      <c r="A178" s="25"/>
      <c r="B178" s="41"/>
      <c r="C178" s="39"/>
      <c r="D178" s="33" t="s">
        <v>63</v>
      </c>
      <c r="E178" s="34" t="s">
        <v>64</v>
      </c>
      <c r="F178" s="255"/>
      <c r="G178" s="36" t="s">
        <v>2</v>
      </c>
      <c r="H178" s="58">
        <v>266</v>
      </c>
      <c r="I178" s="222"/>
      <c r="J178" s="223"/>
    </row>
    <row r="179" spans="1:12" s="224" customFormat="1">
      <c r="A179" s="25"/>
      <c r="B179" s="41"/>
      <c r="C179" s="42"/>
      <c r="D179" s="296"/>
      <c r="E179" s="195" t="s">
        <v>289</v>
      </c>
      <c r="F179" s="233"/>
      <c r="G179" s="24"/>
      <c r="H179" s="58"/>
      <c r="I179" s="225"/>
      <c r="J179" s="226"/>
    </row>
    <row r="180" spans="1:12" s="224" customFormat="1">
      <c r="A180" s="25"/>
      <c r="B180" s="41"/>
      <c r="C180" s="42"/>
      <c r="D180" s="296"/>
      <c r="E180" s="195" t="s">
        <v>265</v>
      </c>
      <c r="F180" s="270">
        <v>122</v>
      </c>
      <c r="G180" s="24"/>
      <c r="H180" s="58"/>
      <c r="I180" s="222"/>
      <c r="J180" s="223"/>
    </row>
    <row r="181" spans="1:12" s="224" customFormat="1">
      <c r="A181" s="25"/>
      <c r="B181" s="41"/>
      <c r="C181" s="42"/>
      <c r="D181" s="296"/>
      <c r="E181" s="195" t="s">
        <v>266</v>
      </c>
      <c r="F181" s="304">
        <v>144</v>
      </c>
      <c r="G181" s="24"/>
      <c r="H181" s="58"/>
      <c r="I181" s="225"/>
      <c r="J181" s="226"/>
    </row>
    <row r="182" spans="1:12" s="224" customFormat="1">
      <c r="A182" s="256"/>
      <c r="B182" s="301"/>
      <c r="C182" s="302"/>
      <c r="D182" s="303"/>
      <c r="E182" s="195"/>
      <c r="F182" s="270">
        <f>SUM(F179:F181)</f>
        <v>266</v>
      </c>
      <c r="G182" s="185"/>
      <c r="H182" s="269"/>
      <c r="I182" s="222"/>
      <c r="J182" s="223"/>
      <c r="K182" s="245"/>
    </row>
    <row r="183" spans="1:12" s="224" customFormat="1">
      <c r="A183" s="256"/>
      <c r="B183" s="301"/>
      <c r="C183" s="302"/>
      <c r="D183" s="303"/>
      <c r="E183" s="195"/>
      <c r="F183" s="270"/>
      <c r="G183" s="185"/>
      <c r="H183" s="269"/>
      <c r="I183" s="225"/>
      <c r="J183" s="226"/>
      <c r="K183" s="245"/>
    </row>
    <row r="184" spans="1:12" s="224" customFormat="1">
      <c r="A184" s="25"/>
      <c r="B184" s="280" t="s">
        <v>101</v>
      </c>
      <c r="C184" s="281"/>
      <c r="D184" s="282"/>
      <c r="E184" s="283" t="s">
        <v>102</v>
      </c>
      <c r="F184" s="284"/>
      <c r="G184" s="285"/>
      <c r="H184" s="58"/>
      <c r="I184" s="222"/>
      <c r="J184" s="223"/>
    </row>
    <row r="185" spans="1:12" s="224" customFormat="1">
      <c r="A185" s="25"/>
      <c r="B185" s="280"/>
      <c r="C185" s="281"/>
      <c r="D185" s="282"/>
      <c r="E185" s="283"/>
      <c r="F185" s="284"/>
      <c r="G185" s="285"/>
      <c r="H185" s="58"/>
      <c r="I185" s="225"/>
      <c r="J185" s="226"/>
    </row>
    <row r="186" spans="1:12" s="224" customFormat="1">
      <c r="A186" s="256"/>
      <c r="B186" s="301"/>
      <c r="C186" s="302"/>
      <c r="D186" s="303"/>
      <c r="E186" s="305"/>
      <c r="F186" s="279"/>
      <c r="G186" s="185"/>
      <c r="H186" s="269"/>
      <c r="I186" s="222"/>
      <c r="J186" s="223"/>
    </row>
    <row r="187" spans="1:12" s="224" customFormat="1">
      <c r="A187" s="25">
        <f>MAX(A$1:A186)+1</f>
        <v>27</v>
      </c>
      <c r="B187" s="41"/>
      <c r="C187" s="26" t="s">
        <v>103</v>
      </c>
      <c r="D187" s="27"/>
      <c r="E187" s="28" t="s">
        <v>104</v>
      </c>
      <c r="F187" s="254"/>
      <c r="G187" s="30" t="s">
        <v>8</v>
      </c>
      <c r="H187" s="59">
        <f>H188</f>
        <v>851.92</v>
      </c>
      <c r="I187" s="376"/>
      <c r="J187" s="226">
        <f>H187*I187</f>
        <v>0</v>
      </c>
      <c r="L187" s="7"/>
    </row>
    <row r="188" spans="1:12" s="224" customFormat="1" ht="25.5">
      <c r="A188" s="25"/>
      <c r="B188" s="41"/>
      <c r="C188" s="39"/>
      <c r="D188" s="33" t="s">
        <v>105</v>
      </c>
      <c r="E188" s="34" t="s">
        <v>106</v>
      </c>
      <c r="F188" s="255"/>
      <c r="G188" s="36" t="s">
        <v>8</v>
      </c>
      <c r="H188" s="58">
        <v>851.92</v>
      </c>
      <c r="I188" s="222"/>
      <c r="J188" s="223"/>
    </row>
    <row r="189" spans="1:12" s="224" customFormat="1" ht="26.1" customHeight="1">
      <c r="A189" s="25"/>
      <c r="B189" s="41"/>
      <c r="C189" s="42"/>
      <c r="D189" s="296"/>
      <c r="E189" s="195" t="s">
        <v>290</v>
      </c>
      <c r="F189" s="233">
        <f>578*0.1+122*0.3+144*0.3</f>
        <v>137.6</v>
      </c>
      <c r="G189" s="24"/>
      <c r="H189" s="58"/>
      <c r="I189" s="225"/>
      <c r="J189" s="226"/>
    </row>
    <row r="190" spans="1:12" s="224" customFormat="1" ht="15.95" customHeight="1">
      <c r="A190" s="25"/>
      <c r="B190" s="41"/>
      <c r="C190" s="42"/>
      <c r="D190" s="296"/>
      <c r="E190" s="195" t="s">
        <v>291</v>
      </c>
      <c r="F190" s="233"/>
      <c r="G190" s="24"/>
      <c r="H190" s="58"/>
      <c r="I190" s="222"/>
      <c r="J190" s="223"/>
    </row>
    <row r="191" spans="1:12" s="224" customFormat="1" ht="15.95" customHeight="1">
      <c r="A191" s="25"/>
      <c r="B191" s="41"/>
      <c r="C191" s="42"/>
      <c r="D191" s="296"/>
      <c r="E191" s="195" t="s">
        <v>292</v>
      </c>
      <c r="F191" s="233"/>
      <c r="G191" s="24"/>
      <c r="H191" s="58"/>
      <c r="I191" s="225"/>
      <c r="J191" s="226"/>
    </row>
    <row r="192" spans="1:12" s="224" customFormat="1">
      <c r="A192" s="256"/>
      <c r="B192" s="301"/>
      <c r="C192" s="302"/>
      <c r="D192" s="303"/>
      <c r="E192" s="245"/>
      <c r="F192" s="245"/>
      <c r="G192" s="185"/>
      <c r="H192" s="269"/>
      <c r="I192" s="222"/>
      <c r="J192" s="223"/>
    </row>
    <row r="193" spans="1:11" s="224" customFormat="1">
      <c r="A193" s="256"/>
      <c r="B193" s="301"/>
      <c r="C193" s="302"/>
      <c r="D193" s="303"/>
      <c r="E193" s="195" t="s">
        <v>293</v>
      </c>
      <c r="F193" s="233">
        <v>4</v>
      </c>
      <c r="G193" s="185"/>
      <c r="H193" s="269"/>
      <c r="I193" s="225"/>
      <c r="J193" s="226"/>
    </row>
    <row r="194" spans="1:11" s="224" customFormat="1">
      <c r="A194" s="256"/>
      <c r="B194" s="301"/>
      <c r="C194" s="302"/>
      <c r="D194" s="303"/>
      <c r="E194" s="245"/>
      <c r="F194" s="279"/>
      <c r="G194" s="185"/>
      <c r="H194" s="269"/>
      <c r="I194" s="222"/>
      <c r="J194" s="223"/>
    </row>
    <row r="195" spans="1:11" s="224" customFormat="1" ht="25.5">
      <c r="A195" s="256"/>
      <c r="B195" s="301"/>
      <c r="C195" s="302"/>
      <c r="D195" s="303"/>
      <c r="E195" s="195" t="s">
        <v>204</v>
      </c>
      <c r="F195" s="236">
        <f>1417+44.4+104+36.3+12.22-877-26.6</f>
        <v>710.32</v>
      </c>
      <c r="G195" s="185"/>
      <c r="H195" s="269"/>
      <c r="I195" s="225"/>
      <c r="J195" s="226"/>
    </row>
    <row r="196" spans="1:11" s="224" customFormat="1">
      <c r="A196" s="256"/>
      <c r="B196" s="301"/>
      <c r="C196" s="302"/>
      <c r="D196" s="303"/>
      <c r="E196" s="245"/>
      <c r="F196" s="311">
        <f>SUM(F189:F195)</f>
        <v>851.92000000000007</v>
      </c>
      <c r="G196" s="185"/>
      <c r="H196" s="269"/>
      <c r="I196" s="222"/>
      <c r="J196" s="223"/>
    </row>
    <row r="197" spans="1:11" s="224" customFormat="1">
      <c r="A197" s="256"/>
      <c r="B197" s="301"/>
      <c r="C197" s="302"/>
      <c r="D197" s="303"/>
      <c r="E197" s="305"/>
      <c r="F197" s="279"/>
      <c r="G197" s="185"/>
      <c r="H197" s="269"/>
      <c r="I197" s="225"/>
      <c r="J197" s="226"/>
    </row>
    <row r="198" spans="1:11" s="224" customFormat="1">
      <c r="A198" s="25">
        <f>MAX(A$1:A197)+1</f>
        <v>28</v>
      </c>
      <c r="B198" s="41"/>
      <c r="C198" s="26" t="s">
        <v>127</v>
      </c>
      <c r="D198" s="27"/>
      <c r="E198" s="28" t="s">
        <v>128</v>
      </c>
      <c r="F198" s="254"/>
      <c r="G198" s="30" t="s">
        <v>8</v>
      </c>
      <c r="H198" s="59">
        <f>H199</f>
        <v>130</v>
      </c>
      <c r="I198" s="376"/>
      <c r="J198" s="226">
        <f>H198*I198</f>
        <v>0</v>
      </c>
    </row>
    <row r="199" spans="1:11" s="224" customFormat="1" ht="25.5">
      <c r="A199" s="25"/>
      <c r="B199" s="41"/>
      <c r="C199" s="39"/>
      <c r="D199" s="33" t="s">
        <v>129</v>
      </c>
      <c r="E199" s="34" t="s">
        <v>130</v>
      </c>
      <c r="F199" s="255"/>
      <c r="G199" s="36" t="s">
        <v>8</v>
      </c>
      <c r="H199" s="58">
        <v>130</v>
      </c>
      <c r="I199" s="225"/>
      <c r="J199" s="226"/>
    </row>
    <row r="200" spans="1:11" s="224" customFormat="1">
      <c r="A200" s="25"/>
      <c r="B200" s="41"/>
      <c r="C200" s="39"/>
      <c r="D200" s="33"/>
      <c r="E200" s="195" t="s">
        <v>294</v>
      </c>
      <c r="F200" s="233">
        <v>130</v>
      </c>
      <c r="G200" s="36"/>
      <c r="H200" s="58"/>
      <c r="I200" s="222"/>
      <c r="J200" s="223"/>
    </row>
    <row r="201" spans="1:11" s="224" customFormat="1">
      <c r="A201" s="25"/>
      <c r="B201" s="41"/>
      <c r="C201" s="42"/>
      <c r="D201" s="296"/>
      <c r="E201" s="297"/>
      <c r="F201" s="270"/>
      <c r="G201" s="24"/>
      <c r="H201" s="58"/>
      <c r="I201" s="225"/>
      <c r="J201" s="226"/>
    </row>
    <row r="202" spans="1:11" s="224" customFormat="1">
      <c r="A202" s="256"/>
      <c r="B202" s="301"/>
      <c r="C202" s="302"/>
      <c r="D202" s="303"/>
      <c r="E202" s="305"/>
      <c r="F202" s="279"/>
      <c r="G202" s="185"/>
      <c r="H202" s="269"/>
      <c r="I202" s="222"/>
      <c r="J202" s="223"/>
    </row>
    <row r="203" spans="1:11" s="224" customFormat="1">
      <c r="A203" s="312"/>
      <c r="B203" s="280" t="s">
        <v>71</v>
      </c>
      <c r="C203" s="281"/>
      <c r="D203" s="282"/>
      <c r="E203" s="283" t="s">
        <v>72</v>
      </c>
      <c r="F203" s="284"/>
      <c r="G203" s="285"/>
      <c r="H203" s="313"/>
      <c r="I203" s="225"/>
      <c r="J203" s="226"/>
    </row>
    <row r="204" spans="1:11" s="224" customFormat="1">
      <c r="A204" s="312"/>
      <c r="B204" s="314"/>
      <c r="C204" s="39"/>
      <c r="D204" s="33"/>
      <c r="E204" s="34"/>
      <c r="F204" s="255"/>
      <c r="G204" s="36"/>
      <c r="H204" s="313"/>
      <c r="I204" s="222"/>
      <c r="J204" s="223"/>
    </row>
    <row r="205" spans="1:11" s="224" customFormat="1" ht="25.5">
      <c r="A205" s="227">
        <f>MAX(A$1:A204)+1</f>
        <v>29</v>
      </c>
      <c r="B205" s="315"/>
      <c r="C205" s="239" t="s">
        <v>295</v>
      </c>
      <c r="D205" s="240"/>
      <c r="E205" s="241" t="s">
        <v>296</v>
      </c>
      <c r="F205" s="242"/>
      <c r="G205" s="243" t="s">
        <v>2</v>
      </c>
      <c r="H205" s="229">
        <f>H206+H209</f>
        <v>844</v>
      </c>
      <c r="I205" s="376"/>
      <c r="J205" s="226">
        <f>H205*I205</f>
        <v>0</v>
      </c>
      <c r="K205" s="230"/>
    </row>
    <row r="206" spans="1:11" s="224" customFormat="1" ht="25.5">
      <c r="A206" s="227"/>
      <c r="B206" s="315"/>
      <c r="C206" s="239"/>
      <c r="D206" s="287" t="s">
        <v>297</v>
      </c>
      <c r="E206" s="288" t="s">
        <v>298</v>
      </c>
      <c r="F206" s="293"/>
      <c r="G206" s="290" t="s">
        <v>2</v>
      </c>
      <c r="H206" s="291">
        <v>578</v>
      </c>
      <c r="I206" s="225"/>
      <c r="J206" s="226"/>
      <c r="K206" s="230"/>
    </row>
    <row r="207" spans="1:11" s="224" customFormat="1">
      <c r="A207" s="227"/>
      <c r="B207" s="315"/>
      <c r="C207" s="239"/>
      <c r="D207" s="287"/>
      <c r="E207" s="316" t="s">
        <v>299</v>
      </c>
      <c r="F207" s="293"/>
      <c r="G207" s="263"/>
      <c r="H207" s="278"/>
      <c r="I207" s="225"/>
      <c r="J207" s="226"/>
      <c r="K207" s="230"/>
    </row>
    <row r="208" spans="1:11" s="224" customFormat="1">
      <c r="A208" s="227"/>
      <c r="B208" s="315"/>
      <c r="C208" s="239"/>
      <c r="D208" s="287"/>
      <c r="E208" s="237" t="s">
        <v>264</v>
      </c>
      <c r="F208" s="238">
        <v>578</v>
      </c>
      <c r="G208" s="263"/>
      <c r="H208" s="278"/>
      <c r="I208" s="222"/>
      <c r="J208" s="223"/>
      <c r="K208" s="230"/>
    </row>
    <row r="209" spans="1:15" s="224" customFormat="1" ht="25.5">
      <c r="A209" s="317"/>
      <c r="B209" s="318"/>
      <c r="C209" s="272"/>
      <c r="D209" s="287" t="s">
        <v>300</v>
      </c>
      <c r="E209" s="288" t="s">
        <v>301</v>
      </c>
      <c r="F209" s="289"/>
      <c r="G209" s="290" t="s">
        <v>2</v>
      </c>
      <c r="H209" s="291">
        <v>266</v>
      </c>
      <c r="I209" s="225"/>
      <c r="J209" s="226"/>
    </row>
    <row r="210" spans="1:15" s="224" customFormat="1">
      <c r="A210" s="317"/>
      <c r="B210" s="318"/>
      <c r="C210" s="272"/>
      <c r="D210" s="287"/>
      <c r="E210" s="316" t="s">
        <v>758</v>
      </c>
      <c r="F210" s="289"/>
      <c r="G210" s="290"/>
      <c r="H210" s="291"/>
      <c r="I210" s="222"/>
      <c r="J210" s="223"/>
    </row>
    <row r="211" spans="1:15" s="224" customFormat="1">
      <c r="A211" s="317"/>
      <c r="B211" s="318"/>
      <c r="C211" s="272"/>
      <c r="D211" s="262"/>
      <c r="E211" s="237" t="s">
        <v>265</v>
      </c>
      <c r="F211" s="238">
        <v>122</v>
      </c>
      <c r="G211" s="263"/>
      <c r="H211" s="269"/>
      <c r="I211" s="225"/>
      <c r="J211" s="226"/>
    </row>
    <row r="212" spans="1:15" s="224" customFormat="1">
      <c r="A212" s="317"/>
      <c r="B212" s="318"/>
      <c r="C212" s="272"/>
      <c r="D212" s="262"/>
      <c r="E212" s="237" t="s">
        <v>266</v>
      </c>
      <c r="F212" s="319">
        <v>144</v>
      </c>
      <c r="G212" s="263"/>
      <c r="H212" s="269"/>
      <c r="I212" s="222"/>
      <c r="J212" s="223"/>
    </row>
    <row r="213" spans="1:15" s="224" customFormat="1">
      <c r="A213" s="317"/>
      <c r="B213" s="318"/>
      <c r="C213" s="272"/>
      <c r="D213" s="262"/>
      <c r="E213" s="320"/>
      <c r="F213" s="238">
        <f>SUM(F211:F212)</f>
        <v>266</v>
      </c>
      <c r="G213" s="263"/>
      <c r="H213" s="269"/>
      <c r="I213" s="225"/>
      <c r="J213" s="226"/>
    </row>
    <row r="214" spans="1:15" s="224" customFormat="1">
      <c r="A214" s="317"/>
      <c r="B214" s="318"/>
      <c r="C214" s="272"/>
      <c r="D214" s="262"/>
      <c r="E214" s="320"/>
      <c r="F214" s="238"/>
      <c r="G214" s="263"/>
      <c r="H214" s="269"/>
      <c r="I214" s="222"/>
      <c r="J214" s="223"/>
      <c r="O214" s="277"/>
    </row>
    <row r="215" spans="1:15" s="224" customFormat="1">
      <c r="A215" s="317"/>
      <c r="B215" s="318"/>
      <c r="C215" s="272"/>
      <c r="D215" s="262"/>
      <c r="E215" s="321" t="s">
        <v>302</v>
      </c>
      <c r="F215" s="238"/>
      <c r="G215" s="263"/>
      <c r="H215" s="269"/>
      <c r="I215" s="225"/>
      <c r="J215" s="226"/>
    </row>
    <row r="216" spans="1:15" s="224" customFormat="1">
      <c r="A216" s="317"/>
      <c r="B216" s="318"/>
      <c r="C216" s="272"/>
      <c r="D216" s="262"/>
      <c r="E216" s="321" t="s">
        <v>303</v>
      </c>
      <c r="F216" s="238"/>
      <c r="G216" s="263"/>
      <c r="H216" s="269"/>
      <c r="I216" s="222"/>
      <c r="J216" s="223"/>
    </row>
    <row r="217" spans="1:15" s="224" customFormat="1">
      <c r="A217" s="317"/>
      <c r="B217" s="318"/>
      <c r="C217" s="272"/>
      <c r="D217" s="262"/>
      <c r="E217" s="321" t="s">
        <v>304</v>
      </c>
      <c r="F217" s="238"/>
      <c r="G217" s="263"/>
      <c r="H217" s="269"/>
      <c r="I217" s="225"/>
      <c r="J217" s="226"/>
    </row>
    <row r="218" spans="1:15" s="224" customFormat="1">
      <c r="A218" s="317"/>
      <c r="B218" s="318"/>
      <c r="C218" s="272"/>
      <c r="D218" s="262"/>
      <c r="E218" s="320"/>
      <c r="F218" s="238"/>
      <c r="G218" s="263"/>
      <c r="H218" s="269"/>
      <c r="I218" s="222"/>
      <c r="J218" s="223"/>
    </row>
    <row r="219" spans="1:15" s="224" customFormat="1">
      <c r="A219" s="317"/>
      <c r="B219" s="318"/>
      <c r="C219" s="272"/>
      <c r="D219" s="262"/>
      <c r="E219" s="275"/>
      <c r="F219" s="276"/>
      <c r="G219" s="263"/>
      <c r="H219" s="322"/>
      <c r="I219" s="376"/>
      <c r="J219" s="226"/>
    </row>
    <row r="220" spans="1:15" s="224" customFormat="1" ht="25.5">
      <c r="A220" s="227">
        <f>MAX(A$1:A219)+1</f>
        <v>30</v>
      </c>
      <c r="B220" s="315"/>
      <c r="C220" s="239" t="s">
        <v>305</v>
      </c>
      <c r="D220" s="240"/>
      <c r="E220" s="241" t="s">
        <v>306</v>
      </c>
      <c r="F220" s="242"/>
      <c r="G220" s="243" t="s">
        <v>2</v>
      </c>
      <c r="H220" s="229">
        <f>H221</f>
        <v>1300</v>
      </c>
      <c r="I220" s="376"/>
      <c r="J220" s="226">
        <f>H220*I220</f>
        <v>0</v>
      </c>
    </row>
    <row r="221" spans="1:15" s="224" customFormat="1" ht="25.5">
      <c r="A221" s="323"/>
      <c r="B221" s="315"/>
      <c r="C221" s="324"/>
      <c r="D221" s="287" t="s">
        <v>307</v>
      </c>
      <c r="E221" s="288" t="s">
        <v>308</v>
      </c>
      <c r="F221" s="289"/>
      <c r="G221" s="290" t="s">
        <v>2</v>
      </c>
      <c r="H221" s="291">
        <v>1300</v>
      </c>
      <c r="I221" s="225"/>
      <c r="J221" s="226"/>
    </row>
    <row r="222" spans="1:15" s="224" customFormat="1">
      <c r="A222" s="323"/>
      <c r="B222" s="315"/>
      <c r="C222" s="324"/>
      <c r="D222" s="325"/>
      <c r="E222" s="237" t="s">
        <v>309</v>
      </c>
      <c r="F222" s="238">
        <v>1300</v>
      </c>
      <c r="G222" s="228"/>
      <c r="H222" s="326"/>
      <c r="I222" s="222"/>
      <c r="J222" s="223"/>
    </row>
    <row r="223" spans="1:15" s="224" customFormat="1">
      <c r="A223" s="323"/>
      <c r="B223" s="315"/>
      <c r="C223" s="324"/>
      <c r="D223" s="325"/>
      <c r="E223" s="327"/>
      <c r="F223" s="238"/>
      <c r="G223" s="228"/>
      <c r="H223" s="326"/>
      <c r="I223" s="225"/>
      <c r="J223" s="226"/>
    </row>
    <row r="224" spans="1:15" s="224" customFormat="1" ht="25.5">
      <c r="A224" s="227">
        <f>MAX(A$1:A223)+1</f>
        <v>31</v>
      </c>
      <c r="B224" s="315"/>
      <c r="C224" s="239" t="s">
        <v>310</v>
      </c>
      <c r="D224" s="240"/>
      <c r="E224" s="241" t="s">
        <v>311</v>
      </c>
      <c r="F224" s="242"/>
      <c r="G224" s="243" t="s">
        <v>2</v>
      </c>
      <c r="H224" s="229">
        <f>H225</f>
        <v>1300</v>
      </c>
      <c r="I224" s="376"/>
      <c r="J224" s="226">
        <f>H224*I224</f>
        <v>0</v>
      </c>
    </row>
    <row r="225" spans="1:10" s="224" customFormat="1" ht="25.5">
      <c r="A225" s="323"/>
      <c r="B225" s="315"/>
      <c r="C225" s="324"/>
      <c r="D225" s="287" t="s">
        <v>312</v>
      </c>
      <c r="E225" s="288" t="s">
        <v>313</v>
      </c>
      <c r="F225" s="289"/>
      <c r="G225" s="290" t="s">
        <v>2</v>
      </c>
      <c r="H225" s="291">
        <v>1300</v>
      </c>
      <c r="I225" s="225"/>
      <c r="J225" s="226"/>
    </row>
    <row r="226" spans="1:10" s="224" customFormat="1">
      <c r="A226" s="323"/>
      <c r="B226" s="315"/>
      <c r="C226" s="324"/>
      <c r="D226" s="325"/>
      <c r="E226" s="327" t="s">
        <v>314</v>
      </c>
      <c r="F226" s="238">
        <v>1300</v>
      </c>
      <c r="G226" s="228"/>
      <c r="H226" s="326"/>
      <c r="I226" s="222"/>
      <c r="J226" s="223"/>
    </row>
    <row r="227" spans="1:10" s="224" customFormat="1">
      <c r="A227" s="317"/>
      <c r="B227" s="318"/>
      <c r="C227" s="272"/>
      <c r="D227" s="262"/>
      <c r="E227" s="275"/>
      <c r="F227" s="276"/>
      <c r="G227" s="263"/>
      <c r="H227" s="322"/>
      <c r="I227" s="225"/>
      <c r="J227" s="226"/>
    </row>
    <row r="228" spans="1:10" s="224" customFormat="1">
      <c r="A228" s="25"/>
      <c r="B228" s="41"/>
      <c r="C228" s="42"/>
      <c r="D228" s="296"/>
      <c r="E228" s="297"/>
      <c r="F228" s="270"/>
      <c r="G228" s="24"/>
      <c r="H228" s="58"/>
      <c r="I228" s="222"/>
      <c r="J228" s="223"/>
    </row>
    <row r="229" spans="1:10" s="224" customFormat="1" ht="25.5">
      <c r="A229" s="25"/>
      <c r="B229" s="280" t="s">
        <v>315</v>
      </c>
      <c r="C229" s="280"/>
      <c r="D229" s="282"/>
      <c r="E229" s="251" t="s">
        <v>316</v>
      </c>
      <c r="F229" s="298"/>
      <c r="G229" s="285"/>
      <c r="H229" s="58"/>
      <c r="I229" s="225"/>
      <c r="J229" s="226"/>
    </row>
    <row r="230" spans="1:10" s="224" customFormat="1">
      <c r="A230" s="25"/>
      <c r="B230" s="41"/>
      <c r="C230" s="42"/>
      <c r="D230" s="296"/>
      <c r="E230" s="297"/>
      <c r="F230" s="270"/>
      <c r="G230" s="24"/>
      <c r="H230" s="58"/>
      <c r="I230" s="222"/>
      <c r="J230" s="223"/>
    </row>
    <row r="231" spans="1:10" s="224" customFormat="1">
      <c r="A231" s="25">
        <f>MAX(A$1:A230)+1</f>
        <v>32</v>
      </c>
      <c r="B231" s="41"/>
      <c r="C231" s="26" t="s">
        <v>317</v>
      </c>
      <c r="D231" s="27"/>
      <c r="E231" s="28" t="s">
        <v>318</v>
      </c>
      <c r="F231" s="29"/>
      <c r="G231" s="30" t="s">
        <v>7</v>
      </c>
      <c r="H231" s="59">
        <f>H232</f>
        <v>19</v>
      </c>
      <c r="I231" s="376"/>
      <c r="J231" s="226">
        <f>H231*I231</f>
        <v>0</v>
      </c>
    </row>
    <row r="232" spans="1:10" s="224" customFormat="1">
      <c r="A232" s="25"/>
      <c r="B232" s="41"/>
      <c r="C232" s="42"/>
      <c r="D232" s="33" t="s">
        <v>319</v>
      </c>
      <c r="E232" s="34" t="s">
        <v>320</v>
      </c>
      <c r="F232" s="35"/>
      <c r="G232" s="36" t="s">
        <v>7</v>
      </c>
      <c r="H232" s="58">
        <v>19</v>
      </c>
      <c r="I232" s="222"/>
      <c r="J232" s="223"/>
    </row>
    <row r="233" spans="1:10" s="224" customFormat="1">
      <c r="A233" s="256"/>
      <c r="B233" s="301"/>
      <c r="C233" s="302"/>
      <c r="D233" s="303"/>
      <c r="E233" s="316" t="s">
        <v>321</v>
      </c>
      <c r="F233" s="279"/>
      <c r="G233" s="185"/>
      <c r="H233" s="269"/>
      <c r="I233" s="225"/>
      <c r="J233" s="226"/>
    </row>
    <row r="234" spans="1:10" s="224" customFormat="1">
      <c r="A234" s="256"/>
      <c r="B234" s="301"/>
      <c r="C234" s="302"/>
      <c r="D234" s="303"/>
      <c r="E234" s="237" t="s">
        <v>266</v>
      </c>
      <c r="F234" s="238">
        <v>19</v>
      </c>
      <c r="G234" s="185"/>
      <c r="H234" s="269"/>
      <c r="I234" s="222"/>
      <c r="J234" s="223"/>
    </row>
    <row r="235" spans="1:10" s="224" customFormat="1">
      <c r="A235" s="256"/>
      <c r="B235" s="301"/>
      <c r="C235" s="302"/>
      <c r="D235" s="303"/>
      <c r="E235" s="305"/>
      <c r="F235" s="279"/>
      <c r="G235" s="185"/>
      <c r="H235" s="269"/>
      <c r="I235" s="225"/>
      <c r="J235" s="226"/>
    </row>
    <row r="236" spans="1:10" s="224" customFormat="1">
      <c r="A236" s="227">
        <f>MAX(A$1:A231)+1</f>
        <v>33</v>
      </c>
      <c r="B236" s="328"/>
      <c r="C236" s="239" t="s">
        <v>322</v>
      </c>
      <c r="D236" s="240"/>
      <c r="E236" s="241" t="s">
        <v>323</v>
      </c>
      <c r="F236" s="242"/>
      <c r="G236" s="243" t="s">
        <v>1</v>
      </c>
      <c r="H236" s="229">
        <f>H237</f>
        <v>11</v>
      </c>
      <c r="I236" s="376"/>
      <c r="J236" s="226">
        <f>H236*I236</f>
        <v>0</v>
      </c>
    </row>
    <row r="237" spans="1:10" s="224" customFormat="1" ht="25.5">
      <c r="A237" s="227"/>
      <c r="B237" s="328"/>
      <c r="C237" s="286"/>
      <c r="D237" s="287" t="s">
        <v>324</v>
      </c>
      <c r="E237" s="288" t="s">
        <v>325</v>
      </c>
      <c r="F237" s="289"/>
      <c r="G237" s="290" t="s">
        <v>1</v>
      </c>
      <c r="H237" s="291">
        <v>11</v>
      </c>
      <c r="I237" s="225"/>
      <c r="J237" s="226"/>
    </row>
    <row r="238" spans="1:10" s="224" customFormat="1">
      <c r="A238" s="227"/>
      <c r="B238" s="328"/>
      <c r="C238" s="329"/>
      <c r="D238" s="330"/>
      <c r="E238" s="316" t="s">
        <v>326</v>
      </c>
      <c r="F238" s="238"/>
      <c r="G238" s="232"/>
      <c r="H238" s="291"/>
      <c r="I238" s="222"/>
      <c r="J238" s="223"/>
    </row>
    <row r="239" spans="1:10" s="224" customFormat="1">
      <c r="A239" s="227"/>
      <c r="B239" s="328"/>
      <c r="C239" s="329"/>
      <c r="D239" s="330"/>
      <c r="E239" s="237" t="s">
        <v>264</v>
      </c>
      <c r="F239" s="238">
        <v>1</v>
      </c>
      <c r="G239" s="232"/>
      <c r="H239" s="291"/>
      <c r="I239" s="225"/>
      <c r="J239" s="226"/>
    </row>
    <row r="240" spans="1:10" s="224" customFormat="1">
      <c r="A240" s="227"/>
      <c r="B240" s="328"/>
      <c r="C240" s="329"/>
      <c r="D240" s="330"/>
      <c r="E240" s="237" t="s">
        <v>265</v>
      </c>
      <c r="F240" s="238">
        <v>5</v>
      </c>
      <c r="G240" s="232"/>
      <c r="H240" s="291"/>
      <c r="I240" s="222"/>
      <c r="J240" s="223"/>
    </row>
    <row r="241" spans="1:11" s="224" customFormat="1">
      <c r="A241" s="227"/>
      <c r="B241" s="328"/>
      <c r="C241" s="329"/>
      <c r="D241" s="330"/>
      <c r="E241" s="237" t="s">
        <v>266</v>
      </c>
      <c r="F241" s="319">
        <v>5</v>
      </c>
      <c r="G241" s="232"/>
      <c r="H241" s="291"/>
      <c r="I241" s="225"/>
      <c r="J241" s="226"/>
    </row>
    <row r="242" spans="1:11" s="224" customFormat="1">
      <c r="A242" s="227"/>
      <c r="B242" s="328"/>
      <c r="C242" s="329"/>
      <c r="D242" s="330"/>
      <c r="E242" s="297"/>
      <c r="F242" s="270">
        <f>SUM(F239:F241)</f>
        <v>11</v>
      </c>
      <c r="G242" s="232"/>
      <c r="H242" s="291"/>
      <c r="I242" s="222"/>
      <c r="J242" s="223"/>
    </row>
    <row r="243" spans="1:11" s="224" customFormat="1">
      <c r="A243" s="256"/>
      <c r="B243" s="301"/>
      <c r="C243" s="302"/>
      <c r="D243" s="303"/>
      <c r="E243" s="305"/>
      <c r="F243" s="279"/>
      <c r="G243" s="185"/>
      <c r="H243" s="269"/>
      <c r="I243" s="225"/>
      <c r="J243" s="226"/>
    </row>
    <row r="244" spans="1:11" s="224" customFormat="1">
      <c r="A244" s="227">
        <f>MAX(A$1:A243)+1</f>
        <v>34</v>
      </c>
      <c r="B244" s="328"/>
      <c r="C244" s="239" t="s">
        <v>327</v>
      </c>
      <c r="D244" s="240"/>
      <c r="E244" s="241" t="s">
        <v>328</v>
      </c>
      <c r="F244" s="242"/>
      <c r="G244" s="243" t="s">
        <v>1</v>
      </c>
      <c r="H244" s="229">
        <f>H245</f>
        <v>11</v>
      </c>
      <c r="I244" s="376"/>
      <c r="J244" s="226">
        <f>H244*I244</f>
        <v>0</v>
      </c>
    </row>
    <row r="245" spans="1:11" s="224" customFormat="1">
      <c r="A245" s="227"/>
      <c r="B245" s="328"/>
      <c r="C245" s="286"/>
      <c r="D245" s="287" t="s">
        <v>329</v>
      </c>
      <c r="E245" s="288" t="s">
        <v>330</v>
      </c>
      <c r="F245" s="289"/>
      <c r="G245" s="290" t="s">
        <v>1</v>
      </c>
      <c r="H245" s="291">
        <v>11</v>
      </c>
      <c r="I245" s="225"/>
      <c r="J245" s="226"/>
    </row>
    <row r="246" spans="1:11" s="224" customFormat="1">
      <c r="A246" s="227"/>
      <c r="B246" s="328"/>
      <c r="C246" s="329"/>
      <c r="D246" s="330"/>
      <c r="E246" s="316" t="s">
        <v>326</v>
      </c>
      <c r="F246" s="238"/>
      <c r="G246" s="232"/>
      <c r="H246" s="291"/>
      <c r="I246" s="222"/>
      <c r="J246" s="223"/>
    </row>
    <row r="247" spans="1:11" s="224" customFormat="1">
      <c r="A247" s="227"/>
      <c r="B247" s="328"/>
      <c r="C247" s="329"/>
      <c r="D247" s="330"/>
      <c r="E247" s="237" t="s">
        <v>264</v>
      </c>
      <c r="F247" s="238">
        <v>1</v>
      </c>
      <c r="G247" s="232"/>
      <c r="H247" s="291"/>
      <c r="I247" s="225"/>
      <c r="J247" s="226"/>
    </row>
    <row r="248" spans="1:11" s="224" customFormat="1">
      <c r="A248" s="227"/>
      <c r="B248" s="328"/>
      <c r="C248" s="329"/>
      <c r="D248" s="330"/>
      <c r="E248" s="237" t="s">
        <v>265</v>
      </c>
      <c r="F248" s="238">
        <v>5</v>
      </c>
      <c r="G248" s="232"/>
      <c r="H248" s="291"/>
      <c r="I248" s="222"/>
      <c r="J248" s="223"/>
    </row>
    <row r="249" spans="1:11" s="224" customFormat="1">
      <c r="A249" s="227"/>
      <c r="B249" s="328"/>
      <c r="C249" s="329"/>
      <c r="D249" s="330"/>
      <c r="E249" s="237" t="s">
        <v>266</v>
      </c>
      <c r="F249" s="319">
        <v>5</v>
      </c>
      <c r="G249" s="232"/>
      <c r="H249" s="291"/>
      <c r="I249" s="225"/>
      <c r="J249" s="226"/>
    </row>
    <row r="250" spans="1:11" s="224" customFormat="1">
      <c r="A250" s="25"/>
      <c r="B250" s="41"/>
      <c r="C250" s="42"/>
      <c r="D250" s="296"/>
      <c r="E250" s="297"/>
      <c r="F250" s="270">
        <f>SUM(F247:F249)</f>
        <v>11</v>
      </c>
      <c r="G250" s="24"/>
      <c r="H250" s="58"/>
      <c r="I250" s="222"/>
      <c r="J250" s="223"/>
    </row>
    <row r="251" spans="1:11" s="224" customFormat="1">
      <c r="A251" s="25"/>
      <c r="B251" s="41"/>
      <c r="C251" s="42"/>
      <c r="D251" s="296"/>
      <c r="E251" s="297"/>
      <c r="F251" s="270"/>
      <c r="G251" s="24"/>
      <c r="H251" s="58"/>
      <c r="I251" s="225"/>
      <c r="J251" s="226"/>
    </row>
    <row r="252" spans="1:11" s="224" customFormat="1">
      <c r="A252" s="25"/>
      <c r="B252" s="41"/>
      <c r="C252" s="42"/>
      <c r="D252" s="296"/>
      <c r="E252" s="297"/>
      <c r="F252" s="270"/>
      <c r="G252" s="24"/>
      <c r="H252" s="58"/>
      <c r="I252" s="222"/>
      <c r="J252" s="223"/>
    </row>
    <row r="253" spans="1:11" s="224" customFormat="1" ht="25.5">
      <c r="A253" s="22"/>
      <c r="B253" s="280" t="s">
        <v>331</v>
      </c>
      <c r="C253" s="280"/>
      <c r="D253" s="282"/>
      <c r="E253" s="251" t="s">
        <v>332</v>
      </c>
      <c r="F253" s="298"/>
      <c r="G253" s="285"/>
      <c r="H253" s="269"/>
      <c r="I253" s="225"/>
      <c r="J253" s="226"/>
    </row>
    <row r="254" spans="1:11" s="224" customFormat="1">
      <c r="A254" s="22"/>
      <c r="B254" s="23"/>
      <c r="C254" s="23"/>
      <c r="D254" s="24"/>
      <c r="E254" s="179"/>
      <c r="F254" s="180"/>
      <c r="G254" s="155"/>
      <c r="H254" s="181"/>
      <c r="I254" s="222"/>
      <c r="J254" s="223"/>
    </row>
    <row r="255" spans="1:11" s="224" customFormat="1" ht="25.5">
      <c r="A255" s="25">
        <f>MAX(A$1:A254)+1</f>
        <v>35</v>
      </c>
      <c r="B255" s="23"/>
      <c r="C255" s="26" t="s">
        <v>333</v>
      </c>
      <c r="D255" s="27"/>
      <c r="E255" s="28" t="s">
        <v>334</v>
      </c>
      <c r="F255" s="254"/>
      <c r="G255" s="30" t="s">
        <v>2</v>
      </c>
      <c r="H255" s="59">
        <f>H256+H265+H276</f>
        <v>484.42</v>
      </c>
      <c r="I255" s="376"/>
      <c r="J255" s="226">
        <f>H255*I255</f>
        <v>0</v>
      </c>
      <c r="K255" s="245"/>
    </row>
    <row r="256" spans="1:11" s="224" customFormat="1" ht="25.5">
      <c r="A256" s="22"/>
      <c r="B256" s="23"/>
      <c r="C256" s="39"/>
      <c r="D256" s="33" t="s">
        <v>335</v>
      </c>
      <c r="E256" s="34" t="s">
        <v>336</v>
      </c>
      <c r="F256" s="255"/>
      <c r="G256" s="36" t="s">
        <v>2</v>
      </c>
      <c r="H256" s="58">
        <v>206.31</v>
      </c>
      <c r="I256" s="225"/>
      <c r="J256" s="226"/>
    </row>
    <row r="257" spans="1:10" s="224" customFormat="1">
      <c r="A257" s="246"/>
      <c r="B257" s="184"/>
      <c r="C257" s="272"/>
      <c r="D257" s="262"/>
      <c r="E257" s="258" t="s">
        <v>337</v>
      </c>
      <c r="F257" s="276"/>
      <c r="G257" s="263"/>
      <c r="H257" s="189"/>
      <c r="I257" s="225"/>
      <c r="J257" s="226"/>
    </row>
    <row r="258" spans="1:10" s="224" customFormat="1">
      <c r="A258" s="246"/>
      <c r="B258" s="184"/>
      <c r="C258" s="272"/>
      <c r="D258" s="262"/>
      <c r="E258" s="268" t="s">
        <v>338</v>
      </c>
      <c r="F258" s="276"/>
      <c r="G258" s="263"/>
      <c r="H258" s="189"/>
      <c r="I258" s="222"/>
      <c r="J258" s="223"/>
    </row>
    <row r="259" spans="1:10" s="224" customFormat="1">
      <c r="A259" s="246"/>
      <c r="B259" s="184"/>
      <c r="C259" s="272"/>
      <c r="D259" s="262"/>
      <c r="E259" s="268" t="s">
        <v>339</v>
      </c>
      <c r="F259" s="276"/>
      <c r="G259" s="263"/>
      <c r="H259" s="189"/>
      <c r="I259" s="225"/>
      <c r="J259" s="226"/>
    </row>
    <row r="260" spans="1:10" s="224" customFormat="1">
      <c r="A260" s="246"/>
      <c r="B260" s="184"/>
      <c r="C260" s="272"/>
      <c r="D260" s="262"/>
      <c r="E260" s="195" t="s">
        <v>340</v>
      </c>
      <c r="F260" s="270">
        <f>608.7*0.25</f>
        <v>152.17500000000001</v>
      </c>
      <c r="G260" s="263"/>
      <c r="H260" s="189"/>
      <c r="I260" s="222"/>
      <c r="J260" s="223"/>
    </row>
    <row r="261" spans="1:10" s="224" customFormat="1">
      <c r="A261" s="246"/>
      <c r="B261" s="184"/>
      <c r="C261" s="272"/>
      <c r="D261" s="262"/>
      <c r="E261" s="195" t="s">
        <v>341</v>
      </c>
      <c r="F261" s="304">
        <f>433.1*1/2*0.25</f>
        <v>54.137500000000003</v>
      </c>
      <c r="G261" s="263"/>
      <c r="H261" s="189"/>
      <c r="I261" s="225"/>
      <c r="J261" s="226"/>
    </row>
    <row r="262" spans="1:10" s="224" customFormat="1">
      <c r="A262" s="246"/>
      <c r="B262" s="184"/>
      <c r="C262" s="272"/>
      <c r="D262" s="262"/>
      <c r="E262" s="275"/>
      <c r="F262" s="331">
        <f>SUM(F260:F261)</f>
        <v>206.3125</v>
      </c>
      <c r="G262" s="263"/>
      <c r="H262" s="189"/>
      <c r="I262" s="222"/>
      <c r="J262" s="223"/>
    </row>
    <row r="263" spans="1:10" s="224" customFormat="1">
      <c r="A263" s="246"/>
      <c r="B263" s="184"/>
      <c r="C263" s="272"/>
      <c r="D263" s="262"/>
      <c r="E263" s="268" t="s">
        <v>342</v>
      </c>
      <c r="F263" s="276"/>
      <c r="G263" s="263"/>
      <c r="H263" s="189"/>
      <c r="I263" s="225"/>
      <c r="J263" s="226"/>
    </row>
    <row r="264" spans="1:10" s="224" customFormat="1">
      <c r="A264" s="246"/>
      <c r="B264" s="184"/>
      <c r="C264" s="272"/>
      <c r="D264" s="262"/>
      <c r="E264" s="275"/>
      <c r="F264" s="276"/>
      <c r="G264" s="263"/>
      <c r="H264" s="189"/>
      <c r="I264" s="222"/>
      <c r="J264" s="223"/>
    </row>
    <row r="265" spans="1:10" s="224" customFormat="1" ht="25.5">
      <c r="A265" s="246"/>
      <c r="B265" s="184"/>
      <c r="C265" s="272"/>
      <c r="D265" s="33" t="s">
        <v>343</v>
      </c>
      <c r="E265" s="34" t="s">
        <v>344</v>
      </c>
      <c r="F265" s="255"/>
      <c r="G265" s="36" t="s">
        <v>2</v>
      </c>
      <c r="H265" s="58">
        <v>112.79</v>
      </c>
      <c r="I265" s="225"/>
      <c r="J265" s="226"/>
    </row>
    <row r="266" spans="1:10" s="224" customFormat="1">
      <c r="A266" s="246"/>
      <c r="B266" s="184"/>
      <c r="C266" s="272"/>
      <c r="D266" s="33"/>
      <c r="E266" s="258" t="s">
        <v>337</v>
      </c>
      <c r="F266" s="255"/>
      <c r="G266" s="36"/>
      <c r="H266" s="269"/>
      <c r="I266" s="222"/>
      <c r="J266" s="223"/>
    </row>
    <row r="267" spans="1:10" s="224" customFormat="1">
      <c r="A267" s="246"/>
      <c r="B267" s="184"/>
      <c r="C267" s="272"/>
      <c r="D267" s="33"/>
      <c r="E267" s="268" t="s">
        <v>338</v>
      </c>
      <c r="F267" s="255"/>
      <c r="G267" s="36"/>
      <c r="H267" s="269"/>
      <c r="I267" s="225"/>
      <c r="J267" s="226"/>
    </row>
    <row r="268" spans="1:10" s="224" customFormat="1">
      <c r="A268" s="246"/>
      <c r="B268" s="184"/>
      <c r="C268" s="272"/>
      <c r="D268" s="262"/>
      <c r="E268" s="268" t="s">
        <v>345</v>
      </c>
      <c r="F268" s="276"/>
      <c r="G268" s="263"/>
      <c r="H268" s="269"/>
      <c r="I268" s="222"/>
      <c r="J268" s="223"/>
    </row>
    <row r="269" spans="1:10" s="224" customFormat="1">
      <c r="A269" s="246"/>
      <c r="B269" s="184"/>
      <c r="C269" s="272"/>
      <c r="D269" s="262"/>
      <c r="E269" s="195" t="s">
        <v>346</v>
      </c>
      <c r="F269" s="270">
        <f>743.3*0.125</f>
        <v>92.912499999999994</v>
      </c>
      <c r="G269" s="263"/>
      <c r="H269" s="269"/>
      <c r="I269" s="225"/>
      <c r="J269" s="226"/>
    </row>
    <row r="270" spans="1:10" s="224" customFormat="1">
      <c r="A270" s="246"/>
      <c r="B270" s="184"/>
      <c r="C270" s="272"/>
      <c r="D270" s="262"/>
      <c r="E270" s="195" t="s">
        <v>347</v>
      </c>
      <c r="F270" s="270">
        <f>19.9*1/3*0.125</f>
        <v>0.82916666666666661</v>
      </c>
      <c r="G270" s="263"/>
      <c r="H270" s="269"/>
      <c r="I270" s="222"/>
      <c r="J270" s="223"/>
    </row>
    <row r="271" spans="1:10" s="224" customFormat="1">
      <c r="A271" s="246"/>
      <c r="B271" s="184"/>
      <c r="C271" s="272"/>
      <c r="D271" s="262"/>
      <c r="E271" s="195" t="s">
        <v>348</v>
      </c>
      <c r="F271" s="270">
        <f>130.8*2/3*0.125</f>
        <v>10.9</v>
      </c>
      <c r="G271" s="263"/>
      <c r="H271" s="269"/>
      <c r="I271" s="225"/>
      <c r="J271" s="226"/>
    </row>
    <row r="272" spans="1:10" s="224" customFormat="1">
      <c r="A272" s="246"/>
      <c r="B272" s="184"/>
      <c r="C272" s="272"/>
      <c r="D272" s="262"/>
      <c r="E272" s="195" t="s">
        <v>349</v>
      </c>
      <c r="F272" s="304">
        <f>130.3*1/2*0.125</f>
        <v>8.1437500000000007</v>
      </c>
      <c r="G272" s="263"/>
      <c r="H272" s="269"/>
      <c r="I272" s="222"/>
      <c r="J272" s="223"/>
    </row>
    <row r="273" spans="1:10" s="224" customFormat="1">
      <c r="A273" s="246"/>
      <c r="B273" s="184"/>
      <c r="C273" s="272"/>
      <c r="D273" s="262"/>
      <c r="E273" s="34"/>
      <c r="F273" s="331">
        <f>SUM(F269:F272)</f>
        <v>112.78541666666666</v>
      </c>
      <c r="G273" s="263"/>
      <c r="H273" s="269"/>
      <c r="I273" s="225"/>
      <c r="J273" s="226"/>
    </row>
    <row r="274" spans="1:10" s="224" customFormat="1">
      <c r="A274" s="246"/>
      <c r="B274" s="184"/>
      <c r="C274" s="272"/>
      <c r="D274" s="262"/>
      <c r="E274" s="268" t="s">
        <v>342</v>
      </c>
      <c r="F274" s="255"/>
      <c r="G274" s="263"/>
      <c r="H274" s="269"/>
      <c r="I274" s="222"/>
      <c r="J274" s="223"/>
    </row>
    <row r="275" spans="1:10" s="224" customFormat="1">
      <c r="A275" s="246"/>
      <c r="B275" s="184"/>
      <c r="C275" s="272"/>
      <c r="D275" s="262"/>
      <c r="E275" s="34"/>
      <c r="F275" s="255"/>
      <c r="G275" s="263"/>
      <c r="H275" s="269"/>
      <c r="I275" s="225"/>
      <c r="J275" s="226"/>
    </row>
    <row r="276" spans="1:10" s="224" customFormat="1" ht="25.5">
      <c r="A276" s="22"/>
      <c r="B276" s="23"/>
      <c r="C276" s="39"/>
      <c r="D276" s="33" t="s">
        <v>350</v>
      </c>
      <c r="E276" s="34" t="s">
        <v>351</v>
      </c>
      <c r="F276" s="255"/>
      <c r="G276" s="36" t="s">
        <v>2</v>
      </c>
      <c r="H276" s="58">
        <v>165.32</v>
      </c>
      <c r="I276" s="225"/>
      <c r="J276" s="226"/>
    </row>
    <row r="277" spans="1:10" s="224" customFormat="1">
      <c r="A277" s="25"/>
      <c r="B277" s="41"/>
      <c r="C277" s="42"/>
      <c r="D277" s="296"/>
      <c r="E277" s="258" t="s">
        <v>337</v>
      </c>
      <c r="F277" s="270"/>
      <c r="G277" s="24"/>
      <c r="H277" s="58"/>
      <c r="I277" s="225"/>
      <c r="J277" s="226"/>
    </row>
    <row r="278" spans="1:10" s="224" customFormat="1">
      <c r="A278" s="25"/>
      <c r="B278" s="41"/>
      <c r="C278" s="42"/>
      <c r="D278" s="296"/>
      <c r="E278" s="268" t="s">
        <v>338</v>
      </c>
      <c r="F278" s="270"/>
      <c r="G278" s="24"/>
      <c r="H278" s="58"/>
      <c r="I278" s="222"/>
      <c r="J278" s="223"/>
    </row>
    <row r="279" spans="1:10" s="224" customFormat="1">
      <c r="A279" s="256"/>
      <c r="B279" s="301"/>
      <c r="C279" s="302"/>
      <c r="D279" s="303"/>
      <c r="E279" s="195" t="s">
        <v>352</v>
      </c>
      <c r="F279" s="270">
        <f>3.3*0.5*2/3</f>
        <v>1.0999999999999999</v>
      </c>
      <c r="G279" s="185"/>
      <c r="H279" s="269"/>
      <c r="I279" s="225"/>
      <c r="J279" s="226"/>
    </row>
    <row r="280" spans="1:10" s="224" customFormat="1">
      <c r="A280" s="256"/>
      <c r="B280" s="301"/>
      <c r="C280" s="302"/>
      <c r="D280" s="303"/>
      <c r="E280" s="195" t="s">
        <v>353</v>
      </c>
      <c r="F280" s="270">
        <f>69.8*0.125*2/3</f>
        <v>5.8166666666666664</v>
      </c>
      <c r="G280" s="185"/>
      <c r="H280" s="269"/>
      <c r="I280" s="222"/>
      <c r="J280" s="223"/>
    </row>
    <row r="281" spans="1:10" s="224" customFormat="1" ht="25.5">
      <c r="A281" s="256"/>
      <c r="B281" s="301"/>
      <c r="C281" s="302"/>
      <c r="D281" s="303"/>
      <c r="E281" s="195" t="s">
        <v>354</v>
      </c>
      <c r="F281" s="270">
        <f>8*1.1+9*1.2+2*1+4*1.3</f>
        <v>26.8</v>
      </c>
      <c r="G281" s="185"/>
      <c r="H281" s="269"/>
      <c r="I281" s="225"/>
      <c r="J281" s="226"/>
    </row>
    <row r="282" spans="1:10" s="224" customFormat="1">
      <c r="A282" s="256"/>
      <c r="B282" s="301"/>
      <c r="C282" s="302"/>
      <c r="D282" s="303"/>
      <c r="E282" s="195" t="s">
        <v>355</v>
      </c>
      <c r="F282" s="270">
        <f>2*4.2</f>
        <v>8.4</v>
      </c>
      <c r="G282" s="185"/>
      <c r="H282" s="269"/>
      <c r="I282" s="222"/>
      <c r="J282" s="223"/>
    </row>
    <row r="283" spans="1:10" s="224" customFormat="1">
      <c r="A283" s="256"/>
      <c r="B283" s="301"/>
      <c r="C283" s="302"/>
      <c r="D283" s="303"/>
      <c r="E283" s="195" t="s">
        <v>356</v>
      </c>
      <c r="F283" s="270">
        <f>52*0.125</f>
        <v>6.5</v>
      </c>
      <c r="G283" s="185"/>
      <c r="H283" s="269"/>
      <c r="I283" s="225"/>
      <c r="J283" s="226"/>
    </row>
    <row r="284" spans="1:10" s="224" customFormat="1">
      <c r="A284" s="256"/>
      <c r="B284" s="301"/>
      <c r="C284" s="302"/>
      <c r="D284" s="303"/>
      <c r="E284" s="195" t="s">
        <v>357</v>
      </c>
      <c r="F284" s="270">
        <f>208.8*1/2</f>
        <v>104.4</v>
      </c>
      <c r="G284" s="185"/>
      <c r="H284" s="269"/>
      <c r="I284" s="222"/>
      <c r="J284" s="223"/>
    </row>
    <row r="285" spans="1:10" s="224" customFormat="1">
      <c r="A285" s="256"/>
      <c r="B285" s="301"/>
      <c r="C285" s="302"/>
      <c r="D285" s="303"/>
      <c r="E285" s="195" t="s">
        <v>358</v>
      </c>
      <c r="F285" s="270">
        <f>2*1.7</f>
        <v>3.4</v>
      </c>
      <c r="G285" s="185"/>
      <c r="H285" s="269"/>
      <c r="I285" s="225"/>
      <c r="J285" s="226"/>
    </row>
    <row r="286" spans="1:10" s="224" customFormat="1">
      <c r="A286" s="256"/>
      <c r="B286" s="301"/>
      <c r="C286" s="302"/>
      <c r="D286" s="303"/>
      <c r="E286" s="195" t="s">
        <v>359</v>
      </c>
      <c r="F286" s="270">
        <f>4*1.9</f>
        <v>7.6</v>
      </c>
      <c r="G286" s="185"/>
      <c r="H286" s="269"/>
      <c r="I286" s="222"/>
      <c r="J286" s="223"/>
    </row>
    <row r="287" spans="1:10" s="224" customFormat="1">
      <c r="A287" s="256"/>
      <c r="B287" s="301"/>
      <c r="C287" s="302"/>
      <c r="D287" s="303"/>
      <c r="E287" s="195" t="s">
        <v>360</v>
      </c>
      <c r="F287" s="304">
        <f>1*1.3</f>
        <v>1.3</v>
      </c>
      <c r="G287" s="185"/>
      <c r="H287" s="269"/>
      <c r="I287" s="225"/>
      <c r="J287" s="226"/>
    </row>
    <row r="288" spans="1:10" s="224" customFormat="1">
      <c r="A288" s="256"/>
      <c r="B288" s="301"/>
      <c r="C288" s="302"/>
      <c r="D288" s="303"/>
      <c r="E288" s="247"/>
      <c r="F288" s="270">
        <f>SUM(F279:F287)</f>
        <v>165.31666666666669</v>
      </c>
      <c r="G288" s="185"/>
      <c r="H288" s="269"/>
      <c r="I288" s="222"/>
      <c r="J288" s="223"/>
    </row>
    <row r="289" spans="1:13" s="224" customFormat="1">
      <c r="A289" s="256"/>
      <c r="B289" s="301"/>
      <c r="C289" s="302"/>
      <c r="D289" s="303"/>
      <c r="E289" s="268" t="s">
        <v>342</v>
      </c>
      <c r="F289" s="279"/>
      <c r="G289" s="185"/>
      <c r="H289" s="269"/>
      <c r="I289" s="225"/>
      <c r="J289" s="226"/>
    </row>
    <row r="290" spans="1:13" s="224" customFormat="1">
      <c r="A290" s="256"/>
      <c r="B290" s="301"/>
      <c r="C290" s="302"/>
      <c r="D290" s="303"/>
      <c r="E290" s="305"/>
      <c r="F290" s="279"/>
      <c r="G290" s="185"/>
      <c r="H290" s="269"/>
      <c r="I290" s="222"/>
      <c r="J290" s="223"/>
    </row>
    <row r="291" spans="1:13" s="224" customFormat="1">
      <c r="A291" s="25"/>
      <c r="B291" s="41"/>
      <c r="C291" s="42"/>
      <c r="D291" s="296"/>
      <c r="E291" s="297"/>
      <c r="F291" s="270"/>
      <c r="G291" s="24"/>
      <c r="H291" s="58"/>
      <c r="I291" s="225"/>
      <c r="J291" s="226"/>
    </row>
    <row r="292" spans="1:13" s="224" customFormat="1">
      <c r="A292" s="25"/>
      <c r="B292" s="41"/>
      <c r="C292" s="42"/>
      <c r="D292" s="296"/>
      <c r="E292" s="297"/>
      <c r="F292" s="270"/>
      <c r="G292" s="24"/>
      <c r="H292" s="58"/>
      <c r="I292" s="222"/>
      <c r="J292" s="223"/>
    </row>
    <row r="293" spans="1:13" s="224" customFormat="1" ht="25.5">
      <c r="A293" s="25"/>
      <c r="B293" s="280" t="s">
        <v>93</v>
      </c>
      <c r="C293" s="280"/>
      <c r="D293" s="282"/>
      <c r="E293" s="251" t="s">
        <v>94</v>
      </c>
      <c r="F293" s="298"/>
      <c r="G293" s="285"/>
      <c r="H293" s="58"/>
      <c r="I293" s="225"/>
      <c r="J293" s="226"/>
    </row>
    <row r="294" spans="1:13" s="224" customFormat="1">
      <c r="A294" s="25"/>
      <c r="B294" s="41"/>
      <c r="C294" s="42"/>
      <c r="D294" s="296"/>
      <c r="E294" s="297"/>
      <c r="F294" s="32"/>
      <c r="G294" s="24"/>
      <c r="H294" s="58"/>
      <c r="I294" s="222"/>
      <c r="J294" s="223"/>
    </row>
    <row r="295" spans="1:13" s="224" customFormat="1">
      <c r="A295" s="256"/>
      <c r="B295" s="301"/>
      <c r="C295" s="302"/>
      <c r="D295" s="303"/>
      <c r="E295" s="305"/>
      <c r="F295" s="279"/>
      <c r="G295" s="185"/>
      <c r="H295" s="269"/>
      <c r="I295" s="225"/>
      <c r="J295" s="226"/>
    </row>
    <row r="296" spans="1:13" s="224" customFormat="1" ht="25.5">
      <c r="A296" s="25">
        <f>MAX(A$1:A295)+1</f>
        <v>36</v>
      </c>
      <c r="B296" s="41"/>
      <c r="C296" s="26" t="s">
        <v>85</v>
      </c>
      <c r="D296" s="27"/>
      <c r="E296" s="28" t="s">
        <v>86</v>
      </c>
      <c r="F296" s="254"/>
      <c r="G296" s="30" t="s">
        <v>2</v>
      </c>
      <c r="H296" s="59">
        <f>H297</f>
        <v>10578</v>
      </c>
      <c r="I296" s="376"/>
      <c r="J296" s="226">
        <f>H296*I296</f>
        <v>0</v>
      </c>
      <c r="K296" s="230"/>
    </row>
    <row r="297" spans="1:13" s="224" customFormat="1" ht="38.25">
      <c r="A297" s="25"/>
      <c r="B297" s="41"/>
      <c r="C297" s="42"/>
      <c r="D297" s="33" t="s">
        <v>361</v>
      </c>
      <c r="E297" s="34" t="s">
        <v>362</v>
      </c>
      <c r="F297" s="255"/>
      <c r="G297" s="36" t="s">
        <v>2</v>
      </c>
      <c r="H297" s="58">
        <v>10578</v>
      </c>
      <c r="I297" s="225"/>
      <c r="J297" s="226"/>
    </row>
    <row r="298" spans="1:13" s="224" customFormat="1">
      <c r="A298" s="256"/>
      <c r="B298" s="301"/>
      <c r="C298" s="302"/>
      <c r="D298" s="262"/>
      <c r="E298" s="307" t="s">
        <v>363</v>
      </c>
      <c r="F298" s="276"/>
      <c r="G298" s="263"/>
      <c r="H298" s="269"/>
      <c r="I298" s="222"/>
      <c r="J298" s="223"/>
    </row>
    <row r="299" spans="1:13" s="224" customFormat="1" ht="15.75">
      <c r="A299" s="256"/>
      <c r="B299" s="301"/>
      <c r="C299" s="302"/>
      <c r="D299" s="303"/>
      <c r="E299" s="258" t="s">
        <v>364</v>
      </c>
      <c r="F299" s="279"/>
      <c r="G299" s="185"/>
      <c r="H299" s="269"/>
      <c r="I299" s="225"/>
      <c r="J299" s="226"/>
    </row>
    <row r="300" spans="1:13" s="224" customFormat="1">
      <c r="A300" s="256"/>
      <c r="B300" s="301"/>
      <c r="C300" s="302"/>
      <c r="D300" s="303"/>
      <c r="E300" s="195" t="s">
        <v>264</v>
      </c>
      <c r="F300" s="270">
        <v>1223</v>
      </c>
      <c r="G300" s="185"/>
      <c r="H300" s="269"/>
      <c r="I300" s="222"/>
      <c r="J300" s="223"/>
    </row>
    <row r="301" spans="1:13" s="224" customFormat="1">
      <c r="A301" s="256"/>
      <c r="B301" s="301"/>
      <c r="C301" s="302"/>
      <c r="D301" s="303"/>
      <c r="E301" s="195" t="s">
        <v>265</v>
      </c>
      <c r="F301" s="270">
        <v>1934</v>
      </c>
      <c r="G301" s="185"/>
      <c r="H301" s="269"/>
      <c r="I301" s="225"/>
      <c r="J301" s="226"/>
    </row>
    <row r="302" spans="1:13" s="224" customFormat="1">
      <c r="A302" s="256"/>
      <c r="B302" s="301"/>
      <c r="C302" s="302"/>
      <c r="D302" s="303"/>
      <c r="E302" s="195" t="s">
        <v>365</v>
      </c>
      <c r="F302" s="304">
        <v>2132</v>
      </c>
      <c r="G302" s="185"/>
      <c r="H302" s="269"/>
      <c r="I302" s="222"/>
      <c r="J302" s="223"/>
    </row>
    <row r="303" spans="1:13" s="224" customFormat="1">
      <c r="A303" s="256"/>
      <c r="B303" s="301"/>
      <c r="C303" s="302"/>
      <c r="D303" s="303"/>
      <c r="E303" s="305"/>
      <c r="F303" s="270">
        <f>SUM(F300:F302)</f>
        <v>5289</v>
      </c>
      <c r="G303" s="185"/>
      <c r="H303" s="332"/>
      <c r="I303" s="333"/>
      <c r="J303" s="226"/>
      <c r="L303" s="334"/>
      <c r="M303" s="335"/>
    </row>
    <row r="304" spans="1:13" s="224" customFormat="1" ht="15.75">
      <c r="A304" s="256"/>
      <c r="B304" s="301"/>
      <c r="C304" s="302"/>
      <c r="D304" s="303"/>
      <c r="E304" s="258" t="s">
        <v>366</v>
      </c>
      <c r="F304" s="279"/>
      <c r="G304" s="185"/>
      <c r="H304" s="332"/>
      <c r="I304" s="336"/>
      <c r="J304" s="223"/>
    </row>
    <row r="305" spans="1:13" s="224" customFormat="1">
      <c r="A305" s="256"/>
      <c r="B305" s="301"/>
      <c r="C305" s="302"/>
      <c r="D305" s="303"/>
      <c r="E305" s="195" t="s">
        <v>264</v>
      </c>
      <c r="F305" s="270">
        <v>1223</v>
      </c>
      <c r="G305" s="185"/>
      <c r="H305" s="332"/>
      <c r="I305" s="337"/>
      <c r="J305" s="226"/>
    </row>
    <row r="306" spans="1:13" s="224" customFormat="1">
      <c r="A306" s="256"/>
      <c r="B306" s="301"/>
      <c r="C306" s="302"/>
      <c r="D306" s="303"/>
      <c r="E306" s="195" t="s">
        <v>265</v>
      </c>
      <c r="F306" s="270">
        <v>628</v>
      </c>
      <c r="G306" s="185"/>
      <c r="H306" s="332"/>
      <c r="I306" s="336"/>
      <c r="J306" s="223"/>
    </row>
    <row r="307" spans="1:13" s="224" customFormat="1">
      <c r="A307" s="256"/>
      <c r="B307" s="301"/>
      <c r="C307" s="302"/>
      <c r="D307" s="303"/>
      <c r="E307" s="195" t="s">
        <v>365</v>
      </c>
      <c r="F307" s="304">
        <v>176</v>
      </c>
      <c r="G307" s="185"/>
      <c r="H307" s="332"/>
      <c r="I307" s="337"/>
      <c r="J307" s="226"/>
    </row>
    <row r="308" spans="1:13" s="224" customFormat="1">
      <c r="A308" s="256"/>
      <c r="B308" s="301"/>
      <c r="C308" s="302"/>
      <c r="D308" s="303"/>
      <c r="E308" s="305"/>
      <c r="F308" s="270">
        <f>SUM(F305:F307)</f>
        <v>2027</v>
      </c>
      <c r="G308" s="185"/>
      <c r="H308" s="332"/>
      <c r="I308" s="333"/>
      <c r="J308" s="223"/>
    </row>
    <row r="309" spans="1:13" s="224" customFormat="1">
      <c r="A309" s="256"/>
      <c r="B309" s="301"/>
      <c r="C309" s="302"/>
      <c r="D309" s="303"/>
      <c r="E309" s="258" t="s">
        <v>367</v>
      </c>
      <c r="F309" s="279"/>
      <c r="G309" s="185"/>
      <c r="H309" s="332"/>
      <c r="I309" s="337"/>
      <c r="J309" s="226"/>
    </row>
    <row r="310" spans="1:13" s="224" customFormat="1">
      <c r="A310" s="256"/>
      <c r="B310" s="301"/>
      <c r="C310" s="302"/>
      <c r="D310" s="303"/>
      <c r="E310" s="195" t="s">
        <v>265</v>
      </c>
      <c r="F310" s="270">
        <v>1306</v>
      </c>
      <c r="G310" s="185"/>
      <c r="H310" s="338"/>
      <c r="I310" s="336"/>
      <c r="J310" s="223"/>
    </row>
    <row r="311" spans="1:13" s="224" customFormat="1">
      <c r="A311" s="256"/>
      <c r="B311" s="301"/>
      <c r="C311" s="302"/>
      <c r="D311" s="303"/>
      <c r="E311" s="195" t="s">
        <v>365</v>
      </c>
      <c r="F311" s="304">
        <v>1956</v>
      </c>
      <c r="G311" s="185"/>
      <c r="H311" s="338"/>
      <c r="I311" s="337"/>
      <c r="J311" s="226"/>
    </row>
    <row r="312" spans="1:13" s="224" customFormat="1">
      <c r="A312" s="256"/>
      <c r="B312" s="301"/>
      <c r="C312" s="302"/>
      <c r="D312" s="303"/>
      <c r="E312" s="297"/>
      <c r="F312" s="270">
        <f>SUM(F309:F311)</f>
        <v>3262</v>
      </c>
      <c r="G312" s="185"/>
      <c r="H312" s="332"/>
      <c r="I312" s="333"/>
      <c r="J312" s="223"/>
    </row>
    <row r="313" spans="1:13" s="224" customFormat="1">
      <c r="A313" s="256"/>
      <c r="B313" s="301"/>
      <c r="C313" s="302"/>
      <c r="D313" s="303"/>
      <c r="E313" s="339" t="s">
        <v>115</v>
      </c>
      <c r="F313" s="340">
        <f>F303+F308+F312</f>
        <v>10578</v>
      </c>
      <c r="G313" s="185"/>
      <c r="H313" s="338"/>
      <c r="I313" s="337"/>
      <c r="J313" s="226"/>
    </row>
    <row r="314" spans="1:13" s="224" customFormat="1">
      <c r="A314" s="256"/>
      <c r="B314" s="301"/>
      <c r="C314" s="302"/>
      <c r="D314" s="303"/>
      <c r="E314" s="305"/>
      <c r="F314" s="279"/>
      <c r="G314" s="185"/>
      <c r="H314" s="269"/>
      <c r="I314" s="222"/>
      <c r="J314" s="223"/>
    </row>
    <row r="315" spans="1:13" s="224" customFormat="1">
      <c r="A315" s="256"/>
      <c r="B315" s="301"/>
      <c r="C315" s="302"/>
      <c r="D315" s="303"/>
      <c r="E315" s="305"/>
      <c r="F315" s="279"/>
      <c r="G315" s="185"/>
      <c r="H315" s="269"/>
      <c r="I315" s="225"/>
      <c r="J315" s="226"/>
    </row>
    <row r="316" spans="1:13" s="224" customFormat="1" ht="25.5">
      <c r="A316" s="25">
        <f>MAX(A$1:A315)+1</f>
        <v>37</v>
      </c>
      <c r="B316" s="41"/>
      <c r="C316" s="26" t="s">
        <v>87</v>
      </c>
      <c r="D316" s="27"/>
      <c r="E316" s="28" t="s">
        <v>88</v>
      </c>
      <c r="F316" s="254"/>
      <c r="G316" s="30" t="s">
        <v>8</v>
      </c>
      <c r="H316" s="59">
        <f>H317</f>
        <v>317.33999999999997</v>
      </c>
      <c r="I316" s="376"/>
      <c r="J316" s="226">
        <f>H316*I316</f>
        <v>0</v>
      </c>
      <c r="K316" s="230"/>
    </row>
    <row r="317" spans="1:13" s="224" customFormat="1" ht="25.5">
      <c r="A317" s="25"/>
      <c r="B317" s="41"/>
      <c r="C317" s="42"/>
      <c r="D317" s="33" t="s">
        <v>137</v>
      </c>
      <c r="E317" s="34" t="s">
        <v>138</v>
      </c>
      <c r="F317" s="35"/>
      <c r="G317" s="36" t="s">
        <v>8</v>
      </c>
      <c r="H317" s="58">
        <v>317.33999999999997</v>
      </c>
      <c r="I317" s="225"/>
      <c r="J317" s="226"/>
      <c r="L317" s="156"/>
      <c r="M317" s="7"/>
    </row>
    <row r="318" spans="1:13" s="224" customFormat="1">
      <c r="A318" s="25"/>
      <c r="B318" s="41"/>
      <c r="C318" s="42"/>
      <c r="D318" s="33"/>
      <c r="E318" s="307" t="s">
        <v>363</v>
      </c>
      <c r="F318" s="35"/>
      <c r="G318" s="36"/>
      <c r="H318" s="58"/>
      <c r="I318" s="222"/>
      <c r="J318" s="223"/>
      <c r="M318" s="300"/>
    </row>
    <row r="319" spans="1:13" s="224" customFormat="1">
      <c r="A319" s="256"/>
      <c r="B319" s="301"/>
      <c r="C319" s="302"/>
      <c r="D319" s="303"/>
      <c r="E319" s="258" t="s">
        <v>368</v>
      </c>
      <c r="F319" s="279"/>
      <c r="G319" s="185"/>
      <c r="H319" s="269"/>
      <c r="I319" s="225"/>
      <c r="J319" s="226"/>
    </row>
    <row r="320" spans="1:13" s="224" customFormat="1">
      <c r="A320" s="256"/>
      <c r="B320" s="301"/>
      <c r="C320" s="302"/>
      <c r="D320" s="303"/>
      <c r="E320" s="195" t="s">
        <v>369</v>
      </c>
      <c r="F320" s="270">
        <f>1223*0.06</f>
        <v>73.38</v>
      </c>
      <c r="G320" s="185"/>
      <c r="H320" s="269"/>
      <c r="I320" s="222"/>
      <c r="J320" s="223"/>
    </row>
    <row r="321" spans="1:14" s="224" customFormat="1">
      <c r="A321" s="256"/>
      <c r="B321" s="301"/>
      <c r="C321" s="302"/>
      <c r="D321" s="303"/>
      <c r="E321" s="195" t="s">
        <v>370</v>
      </c>
      <c r="F321" s="270">
        <f>1934*0.06</f>
        <v>116.03999999999999</v>
      </c>
      <c r="G321" s="185"/>
      <c r="H321" s="269"/>
      <c r="I321" s="225"/>
      <c r="J321" s="226"/>
    </row>
    <row r="322" spans="1:14" s="224" customFormat="1">
      <c r="A322" s="256"/>
      <c r="B322" s="301"/>
      <c r="C322" s="302"/>
      <c r="D322" s="303"/>
      <c r="E322" s="195" t="s">
        <v>371</v>
      </c>
      <c r="F322" s="304">
        <f>2132*0.06</f>
        <v>127.92</v>
      </c>
      <c r="G322" s="185"/>
      <c r="H322" s="269"/>
      <c r="I322" s="222"/>
      <c r="J322" s="223"/>
    </row>
    <row r="323" spans="1:14" s="224" customFormat="1" ht="13.5" customHeight="1">
      <c r="A323" s="256"/>
      <c r="B323" s="301"/>
      <c r="C323" s="302"/>
      <c r="D323" s="303"/>
      <c r="E323" s="305"/>
      <c r="F323" s="270">
        <f>SUM(F320:F322)</f>
        <v>317.33999999999997</v>
      </c>
      <c r="G323" s="185"/>
      <c r="H323" s="269"/>
      <c r="I323" s="225"/>
      <c r="J323" s="226"/>
    </row>
    <row r="324" spans="1:14" s="224" customFormat="1">
      <c r="A324" s="256"/>
      <c r="B324" s="301"/>
      <c r="C324" s="302"/>
      <c r="D324" s="303"/>
      <c r="E324" s="305"/>
      <c r="F324" s="279"/>
      <c r="G324" s="185"/>
      <c r="H324" s="269"/>
      <c r="I324" s="222"/>
      <c r="J324" s="223"/>
    </row>
    <row r="325" spans="1:14" s="224" customFormat="1" ht="25.5">
      <c r="A325" s="25">
        <f>MAX(A$1:A324)+1</f>
        <v>38</v>
      </c>
      <c r="B325" s="41"/>
      <c r="C325" s="26" t="s">
        <v>372</v>
      </c>
      <c r="D325" s="27"/>
      <c r="E325" s="28" t="s">
        <v>373</v>
      </c>
      <c r="F325" s="254"/>
      <c r="G325" s="30" t="s">
        <v>8</v>
      </c>
      <c r="H325" s="59">
        <f>H326</f>
        <v>211.56</v>
      </c>
      <c r="I325" s="376"/>
      <c r="J325" s="226">
        <f>H325*I325</f>
        <v>0</v>
      </c>
      <c r="K325" s="230"/>
    </row>
    <row r="326" spans="1:14" s="224" customFormat="1" ht="25.5">
      <c r="A326" s="25"/>
      <c r="B326" s="41"/>
      <c r="C326" s="42"/>
      <c r="D326" s="33" t="s">
        <v>374</v>
      </c>
      <c r="E326" s="34" t="s">
        <v>375</v>
      </c>
      <c r="F326" s="255"/>
      <c r="G326" s="36" t="s">
        <v>8</v>
      </c>
      <c r="H326" s="58">
        <v>211.56</v>
      </c>
      <c r="I326" s="222"/>
      <c r="J326" s="223"/>
      <c r="L326" s="156"/>
      <c r="M326" s="7"/>
      <c r="N326" s="7"/>
    </row>
    <row r="327" spans="1:14" s="224" customFormat="1">
      <c r="A327" s="256"/>
      <c r="B327" s="301"/>
      <c r="C327" s="302"/>
      <c r="D327" s="262"/>
      <c r="E327" s="307" t="s">
        <v>363</v>
      </c>
      <c r="F327" s="276"/>
      <c r="G327" s="263"/>
      <c r="H327" s="269"/>
      <c r="I327" s="225"/>
      <c r="J327" s="226"/>
      <c r="M327" s="300"/>
      <c r="N327" s="300"/>
    </row>
    <row r="328" spans="1:14" s="224" customFormat="1">
      <c r="A328" s="256"/>
      <c r="B328" s="301"/>
      <c r="C328" s="302"/>
      <c r="D328" s="303"/>
      <c r="E328" s="258" t="s">
        <v>376</v>
      </c>
      <c r="F328" s="341"/>
      <c r="G328" s="185"/>
      <c r="H328" s="269"/>
      <c r="I328" s="222"/>
      <c r="J328" s="223"/>
    </row>
    <row r="329" spans="1:14" s="224" customFormat="1">
      <c r="A329" s="256"/>
      <c r="B329" s="301"/>
      <c r="C329" s="302"/>
      <c r="D329" s="303"/>
      <c r="E329" s="195" t="s">
        <v>377</v>
      </c>
      <c r="F329" s="270">
        <f>1223*0.04</f>
        <v>48.92</v>
      </c>
      <c r="G329" s="185"/>
      <c r="H329" s="269"/>
      <c r="I329" s="225"/>
      <c r="J329" s="226"/>
    </row>
    <row r="330" spans="1:14" s="224" customFormat="1">
      <c r="A330" s="256"/>
      <c r="B330" s="301"/>
      <c r="C330" s="302"/>
      <c r="D330" s="303"/>
      <c r="E330" s="195" t="s">
        <v>378</v>
      </c>
      <c r="F330" s="270">
        <f>1934*0.04</f>
        <v>77.36</v>
      </c>
      <c r="G330" s="185"/>
      <c r="H330" s="269"/>
      <c r="I330" s="222"/>
      <c r="J330" s="223"/>
    </row>
    <row r="331" spans="1:14" s="224" customFormat="1">
      <c r="A331" s="256"/>
      <c r="B331" s="301"/>
      <c r="C331" s="302"/>
      <c r="D331" s="303"/>
      <c r="E331" s="195" t="s">
        <v>379</v>
      </c>
      <c r="F331" s="304">
        <f>2132*0.04</f>
        <v>85.28</v>
      </c>
      <c r="G331" s="185"/>
      <c r="H331" s="269"/>
      <c r="I331" s="225"/>
      <c r="J331" s="226"/>
    </row>
    <row r="332" spans="1:14" s="224" customFormat="1">
      <c r="A332" s="256"/>
      <c r="B332" s="301"/>
      <c r="C332" s="302"/>
      <c r="D332" s="303"/>
      <c r="E332" s="305"/>
      <c r="F332" s="270">
        <f>SUM(F329:F331)</f>
        <v>211.56</v>
      </c>
      <c r="G332" s="185"/>
      <c r="H332" s="269"/>
      <c r="I332" s="222"/>
      <c r="J332" s="223"/>
    </row>
    <row r="333" spans="1:14" s="224" customFormat="1">
      <c r="A333" s="256"/>
      <c r="B333" s="301"/>
      <c r="C333" s="302"/>
      <c r="D333" s="303"/>
      <c r="E333" s="305"/>
      <c r="F333" s="279"/>
      <c r="G333" s="185"/>
      <c r="H333" s="269"/>
      <c r="I333" s="225"/>
      <c r="J333" s="226"/>
    </row>
    <row r="334" spans="1:14" s="224" customFormat="1" ht="25.5">
      <c r="A334" s="25">
        <f>MAX(A$1:A333)+1</f>
        <v>39</v>
      </c>
      <c r="B334" s="41"/>
      <c r="C334" s="26" t="s">
        <v>380</v>
      </c>
      <c r="D334" s="27"/>
      <c r="E334" s="28" t="s">
        <v>381</v>
      </c>
      <c r="F334" s="29"/>
      <c r="G334" s="30" t="s">
        <v>7</v>
      </c>
      <c r="H334" s="59">
        <v>2127</v>
      </c>
      <c r="I334" s="376"/>
      <c r="J334" s="226">
        <f>H334*I334</f>
        <v>0</v>
      </c>
    </row>
    <row r="335" spans="1:14" s="224" customFormat="1">
      <c r="A335" s="25"/>
      <c r="B335" s="41"/>
      <c r="C335" s="42"/>
      <c r="D335" s="296"/>
      <c r="E335" s="258" t="s">
        <v>382</v>
      </c>
      <c r="F335" s="270"/>
      <c r="G335" s="24"/>
      <c r="H335" s="58"/>
      <c r="I335" s="225"/>
      <c r="J335" s="226"/>
    </row>
    <row r="336" spans="1:14" s="224" customFormat="1">
      <c r="A336" s="25"/>
      <c r="B336" s="41"/>
      <c r="C336" s="42"/>
      <c r="D336" s="296"/>
      <c r="E336" s="195" t="s">
        <v>264</v>
      </c>
      <c r="F336" s="270">
        <v>477</v>
      </c>
      <c r="G336" s="24"/>
      <c r="H336" s="58"/>
      <c r="I336" s="222"/>
      <c r="J336" s="223"/>
    </row>
    <row r="337" spans="1:13" s="224" customFormat="1">
      <c r="A337" s="25"/>
      <c r="B337" s="41"/>
      <c r="C337" s="42"/>
      <c r="D337" s="296"/>
      <c r="E337" s="195" t="s">
        <v>265</v>
      </c>
      <c r="F337" s="270">
        <v>783</v>
      </c>
      <c r="G337" s="24"/>
      <c r="H337" s="58"/>
      <c r="I337" s="225"/>
      <c r="J337" s="226"/>
    </row>
    <row r="338" spans="1:13" s="224" customFormat="1">
      <c r="A338" s="25"/>
      <c r="B338" s="41"/>
      <c r="C338" s="42"/>
      <c r="D338" s="296"/>
      <c r="E338" s="195" t="s">
        <v>383</v>
      </c>
      <c r="F338" s="304">
        <v>867</v>
      </c>
      <c r="G338" s="24"/>
      <c r="H338" s="58"/>
      <c r="I338" s="222"/>
      <c r="J338" s="223"/>
    </row>
    <row r="339" spans="1:13" s="224" customFormat="1">
      <c r="A339" s="25"/>
      <c r="B339" s="41"/>
      <c r="C339" s="42"/>
      <c r="D339" s="296"/>
      <c r="E339" s="258"/>
      <c r="F339" s="270">
        <f>SUM(F336:F338)</f>
        <v>2127</v>
      </c>
      <c r="G339" s="24"/>
      <c r="H339" s="58"/>
      <c r="I339" s="225"/>
      <c r="J339" s="226"/>
    </row>
    <row r="340" spans="1:13" s="224" customFormat="1">
      <c r="A340" s="25"/>
      <c r="B340" s="41"/>
      <c r="C340" s="42"/>
      <c r="D340" s="296"/>
      <c r="E340" s="195" t="s">
        <v>384</v>
      </c>
      <c r="F340" s="270"/>
      <c r="G340" s="24"/>
      <c r="H340" s="58"/>
      <c r="I340" s="222"/>
      <c r="J340" s="223"/>
    </row>
    <row r="341" spans="1:13" s="224" customFormat="1">
      <c r="A341" s="25"/>
      <c r="B341" s="41"/>
      <c r="C341" s="42"/>
      <c r="D341" s="296"/>
      <c r="E341" s="195" t="s">
        <v>385</v>
      </c>
      <c r="F341" s="270"/>
      <c r="G341" s="24"/>
      <c r="H341" s="58"/>
      <c r="I341" s="225"/>
      <c r="J341" s="226"/>
    </row>
    <row r="342" spans="1:13" s="224" customFormat="1">
      <c r="A342" s="25"/>
      <c r="B342" s="41"/>
      <c r="C342" s="42"/>
      <c r="D342" s="296"/>
      <c r="E342" s="195" t="s">
        <v>386</v>
      </c>
      <c r="F342" s="270"/>
      <c r="G342" s="24"/>
      <c r="H342" s="58"/>
      <c r="I342" s="222"/>
      <c r="J342" s="223"/>
    </row>
    <row r="343" spans="1:13" s="224" customFormat="1">
      <c r="A343" s="25"/>
      <c r="B343" s="41"/>
      <c r="C343" s="42"/>
      <c r="D343" s="296"/>
      <c r="E343" s="195" t="s">
        <v>387</v>
      </c>
      <c r="F343" s="304"/>
      <c r="G343" s="24"/>
      <c r="H343" s="58"/>
      <c r="I343" s="225"/>
      <c r="J343" s="226"/>
    </row>
    <row r="344" spans="1:13" s="224" customFormat="1">
      <c r="A344" s="25"/>
      <c r="B344" s="41"/>
      <c r="C344" s="42"/>
      <c r="D344" s="296"/>
      <c r="E344" s="297"/>
      <c r="F344" s="270"/>
      <c r="G344" s="24"/>
      <c r="H344" s="58"/>
      <c r="I344" s="222"/>
      <c r="J344" s="223"/>
    </row>
    <row r="345" spans="1:13" s="224" customFormat="1">
      <c r="A345" s="256"/>
      <c r="B345" s="301"/>
      <c r="C345" s="302"/>
      <c r="D345" s="303"/>
      <c r="E345" s="305"/>
      <c r="F345" s="279"/>
      <c r="G345" s="185"/>
      <c r="H345" s="269"/>
      <c r="I345" s="225"/>
      <c r="J345" s="226"/>
    </row>
    <row r="346" spans="1:13" s="224" customFormat="1" ht="25.5">
      <c r="A346" s="25">
        <f>MAX(A$1:A345)+1</f>
        <v>40</v>
      </c>
      <c r="B346" s="41"/>
      <c r="C346" s="26" t="s">
        <v>388</v>
      </c>
      <c r="D346" s="27"/>
      <c r="E346" s="28" t="s">
        <v>389</v>
      </c>
      <c r="F346" s="29"/>
      <c r="G346" s="30" t="s">
        <v>2</v>
      </c>
      <c r="H346" s="59">
        <f>H347</f>
        <v>155</v>
      </c>
      <c r="I346" s="376"/>
      <c r="J346" s="226">
        <f>H346*I346</f>
        <v>0</v>
      </c>
      <c r="M346" s="7"/>
    </row>
    <row r="347" spans="1:13" s="224" customFormat="1" ht="25.5">
      <c r="A347" s="25"/>
      <c r="B347" s="41"/>
      <c r="C347" s="42"/>
      <c r="D347" s="33" t="s">
        <v>390</v>
      </c>
      <c r="E347" s="34" t="s">
        <v>391</v>
      </c>
      <c r="F347" s="35"/>
      <c r="G347" s="36" t="s">
        <v>2</v>
      </c>
      <c r="H347" s="58">
        <v>155</v>
      </c>
      <c r="I347" s="225"/>
      <c r="J347" s="226"/>
      <c r="M347" s="7"/>
    </row>
    <row r="348" spans="1:13" s="224" customFormat="1">
      <c r="A348" s="25"/>
      <c r="B348" s="41"/>
      <c r="C348" s="42"/>
      <c r="D348" s="296"/>
      <c r="E348" s="307" t="s">
        <v>392</v>
      </c>
      <c r="F348" s="270"/>
      <c r="G348" s="24"/>
      <c r="H348" s="269"/>
      <c r="I348" s="222"/>
      <c r="J348" s="223"/>
    </row>
    <row r="349" spans="1:13" s="224" customFormat="1" ht="25.5">
      <c r="A349" s="25"/>
      <c r="B349" s="41"/>
      <c r="C349" s="42"/>
      <c r="D349" s="296"/>
      <c r="E349" s="258" t="s">
        <v>393</v>
      </c>
      <c r="F349" s="270"/>
      <c r="G349" s="24"/>
      <c r="H349" s="269"/>
      <c r="I349" s="225"/>
      <c r="J349" s="226"/>
    </row>
    <row r="350" spans="1:13" s="224" customFormat="1">
      <c r="A350" s="256"/>
      <c r="B350" s="301"/>
      <c r="C350" s="302"/>
      <c r="D350" s="303"/>
      <c r="E350" s="195" t="s">
        <v>264</v>
      </c>
      <c r="F350" s="270">
        <v>147</v>
      </c>
      <c r="G350" s="185"/>
      <c r="H350" s="269"/>
      <c r="I350" s="222"/>
      <c r="J350" s="223"/>
    </row>
    <row r="351" spans="1:13" s="224" customFormat="1">
      <c r="A351" s="256"/>
      <c r="B351" s="301"/>
      <c r="C351" s="302"/>
      <c r="D351" s="303"/>
      <c r="E351" s="195" t="s">
        <v>383</v>
      </c>
      <c r="F351" s="304">
        <v>5</v>
      </c>
      <c r="G351" s="185"/>
      <c r="H351" s="269"/>
      <c r="I351" s="225"/>
      <c r="J351" s="226"/>
    </row>
    <row r="352" spans="1:13" s="224" customFormat="1">
      <c r="A352" s="256"/>
      <c r="B352" s="301"/>
      <c r="C352" s="302"/>
      <c r="D352" s="303"/>
      <c r="E352" s="247"/>
      <c r="F352" s="270">
        <f>SUM(F350:F351)</f>
        <v>152</v>
      </c>
      <c r="G352" s="185"/>
      <c r="H352" s="269"/>
      <c r="I352" s="222"/>
      <c r="J352" s="223"/>
    </row>
    <row r="353" spans="1:11" s="224" customFormat="1">
      <c r="A353" s="256"/>
      <c r="B353" s="301"/>
      <c r="C353" s="302"/>
      <c r="D353" s="303"/>
      <c r="E353" s="247"/>
      <c r="F353" s="270"/>
      <c r="G353" s="185"/>
      <c r="H353" s="269"/>
      <c r="I353" s="225"/>
      <c r="J353" s="226"/>
    </row>
    <row r="354" spans="1:11" s="224" customFormat="1" ht="25.5">
      <c r="A354" s="256"/>
      <c r="B354" s="301"/>
      <c r="C354" s="302"/>
      <c r="D354" s="303"/>
      <c r="E354" s="258" t="s">
        <v>394</v>
      </c>
      <c r="F354" s="270">
        <v>3</v>
      </c>
      <c r="G354" s="185"/>
      <c r="H354" s="269"/>
      <c r="I354" s="222"/>
      <c r="J354" s="223"/>
    </row>
    <row r="355" spans="1:11" s="224" customFormat="1">
      <c r="A355" s="256"/>
      <c r="B355" s="301"/>
      <c r="C355" s="302"/>
      <c r="D355" s="303"/>
      <c r="E355" s="342" t="s">
        <v>117</v>
      </c>
      <c r="F355" s="340">
        <f>F352+F354</f>
        <v>155</v>
      </c>
      <c r="G355" s="185"/>
      <c r="H355" s="269"/>
      <c r="I355" s="225"/>
      <c r="J355" s="226"/>
    </row>
    <row r="356" spans="1:11" s="224" customFormat="1">
      <c r="A356" s="256"/>
      <c r="B356" s="301"/>
      <c r="C356" s="302"/>
      <c r="D356" s="303"/>
      <c r="E356" s="343"/>
      <c r="F356" s="279"/>
      <c r="G356" s="185"/>
      <c r="H356" s="269"/>
      <c r="I356" s="222"/>
      <c r="J356" s="223"/>
    </row>
    <row r="357" spans="1:11" s="224" customFormat="1" ht="25.5">
      <c r="A357" s="25">
        <f>MAX(A$1:A356)+1</f>
        <v>41</v>
      </c>
      <c r="B357" s="41"/>
      <c r="C357" s="26" t="s">
        <v>395</v>
      </c>
      <c r="D357" s="27"/>
      <c r="E357" s="28" t="s">
        <v>396</v>
      </c>
      <c r="F357" s="254"/>
      <c r="G357" s="30" t="s">
        <v>2</v>
      </c>
      <c r="H357" s="59">
        <f>H358</f>
        <v>105</v>
      </c>
      <c r="I357" s="376"/>
      <c r="J357" s="226">
        <f>H357*I357</f>
        <v>0</v>
      </c>
    </row>
    <row r="358" spans="1:11" s="224" customFormat="1" ht="25.5">
      <c r="A358" s="25"/>
      <c r="B358" s="41"/>
      <c r="C358" s="26"/>
      <c r="D358" s="33" t="s">
        <v>397</v>
      </c>
      <c r="E358" s="34" t="s">
        <v>398</v>
      </c>
      <c r="F358" s="35"/>
      <c r="G358" s="36" t="s">
        <v>2</v>
      </c>
      <c r="H358" s="58">
        <v>105</v>
      </c>
      <c r="I358" s="222"/>
      <c r="J358" s="223"/>
    </row>
    <row r="359" spans="1:11" s="224" customFormat="1">
      <c r="A359" s="25"/>
      <c r="B359" s="41"/>
      <c r="C359" s="26"/>
      <c r="D359" s="27"/>
      <c r="E359" s="307" t="s">
        <v>399</v>
      </c>
      <c r="F359" s="270"/>
      <c r="G359" s="30"/>
      <c r="H359" s="58"/>
      <c r="I359" s="225"/>
      <c r="J359" s="226"/>
    </row>
    <row r="360" spans="1:11" s="224" customFormat="1">
      <c r="A360" s="256"/>
      <c r="B360" s="301"/>
      <c r="C360" s="257"/>
      <c r="D360" s="259"/>
      <c r="E360" s="195" t="s">
        <v>400</v>
      </c>
      <c r="F360" s="310"/>
      <c r="G360" s="261"/>
      <c r="H360" s="269"/>
      <c r="I360" s="222"/>
      <c r="J360" s="223"/>
    </row>
    <row r="361" spans="1:11" s="224" customFormat="1">
      <c r="A361" s="256"/>
      <c r="B361" s="301"/>
      <c r="C361" s="257"/>
      <c r="D361" s="259"/>
      <c r="E361" s="195" t="s">
        <v>265</v>
      </c>
      <c r="F361" s="233">
        <v>46</v>
      </c>
      <c r="G361" s="261"/>
      <c r="H361" s="269"/>
      <c r="I361" s="225"/>
      <c r="J361" s="226"/>
    </row>
    <row r="362" spans="1:11" s="224" customFormat="1">
      <c r="A362" s="256"/>
      <c r="B362" s="301"/>
      <c r="C362" s="257"/>
      <c r="D362" s="259"/>
      <c r="E362" s="195" t="s">
        <v>383</v>
      </c>
      <c r="F362" s="236">
        <v>59</v>
      </c>
      <c r="G362" s="261"/>
      <c r="H362" s="269"/>
      <c r="I362" s="222"/>
      <c r="J362" s="223"/>
    </row>
    <row r="363" spans="1:11" s="224" customFormat="1">
      <c r="A363" s="256"/>
      <c r="B363" s="301"/>
      <c r="C363" s="257"/>
      <c r="D363" s="259"/>
      <c r="E363" s="195"/>
      <c r="F363" s="270">
        <f>SUM(F361:F362)</f>
        <v>105</v>
      </c>
      <c r="G363" s="261"/>
      <c r="H363" s="269"/>
      <c r="I363" s="225"/>
      <c r="J363" s="226"/>
    </row>
    <row r="364" spans="1:11" s="224" customFormat="1">
      <c r="A364" s="256"/>
      <c r="B364" s="301"/>
      <c r="C364" s="302"/>
      <c r="D364" s="303"/>
      <c r="E364" s="305"/>
      <c r="F364" s="279"/>
      <c r="G364" s="185"/>
      <c r="H364" s="269"/>
      <c r="I364" s="222"/>
      <c r="J364" s="223"/>
    </row>
    <row r="365" spans="1:11" s="224" customFormat="1" ht="25.5">
      <c r="A365" s="25">
        <f>MAX(A$1:A364)+1</f>
        <v>42</v>
      </c>
      <c r="B365" s="41"/>
      <c r="C365" s="42" t="s">
        <v>401</v>
      </c>
      <c r="D365" s="296"/>
      <c r="E365" s="28" t="s">
        <v>402</v>
      </c>
      <c r="F365" s="254"/>
      <c r="G365" s="30" t="s">
        <v>2</v>
      </c>
      <c r="H365" s="59">
        <v>8.7200000000000006</v>
      </c>
      <c r="I365" s="376"/>
      <c r="J365" s="226">
        <f>H365*I365</f>
        <v>0</v>
      </c>
      <c r="K365" s="344"/>
    </row>
    <row r="366" spans="1:11" s="224" customFormat="1">
      <c r="A366" s="256"/>
      <c r="B366" s="301"/>
      <c r="C366" s="302"/>
      <c r="D366" s="303"/>
      <c r="E366" s="237" t="s">
        <v>265</v>
      </c>
      <c r="F366" s="238">
        <f>(2*3)*0.4+1.1*0.8</f>
        <v>3.2800000000000002</v>
      </c>
      <c r="G366" s="185"/>
      <c r="H366" s="269"/>
      <c r="I366" s="222"/>
      <c r="J366" s="223"/>
    </row>
    <row r="367" spans="1:11" s="224" customFormat="1">
      <c r="A367" s="256"/>
      <c r="B367" s="301"/>
      <c r="C367" s="302"/>
      <c r="D367" s="303"/>
      <c r="E367" s="237" t="s">
        <v>365</v>
      </c>
      <c r="F367" s="319">
        <f>(2*3+2*2)*0.4+(0.8+1)*0.8</f>
        <v>5.44</v>
      </c>
      <c r="G367" s="185"/>
      <c r="H367" s="269"/>
      <c r="I367" s="225"/>
      <c r="J367" s="226"/>
    </row>
    <row r="368" spans="1:11" s="224" customFormat="1">
      <c r="A368" s="256"/>
      <c r="B368" s="301"/>
      <c r="C368" s="302"/>
      <c r="D368" s="303"/>
      <c r="E368" s="305"/>
      <c r="F368" s="238">
        <f>SUM(F366:F367)</f>
        <v>8.7200000000000006</v>
      </c>
      <c r="G368" s="185"/>
      <c r="H368" s="269"/>
      <c r="I368" s="222"/>
      <c r="J368" s="223"/>
    </row>
    <row r="369" spans="1:12" s="224" customFormat="1">
      <c r="A369" s="256"/>
      <c r="B369" s="301"/>
      <c r="C369" s="272"/>
      <c r="D369" s="262"/>
      <c r="E369" s="275"/>
      <c r="F369" s="276"/>
      <c r="G369" s="263"/>
      <c r="H369" s="269"/>
      <c r="I369" s="225"/>
      <c r="J369" s="226"/>
    </row>
    <row r="370" spans="1:12" s="224" customFormat="1" ht="25.5">
      <c r="A370" s="25">
        <f>MAX(A$1:A369)+1</f>
        <v>43</v>
      </c>
      <c r="B370" s="23"/>
      <c r="C370" s="26" t="s">
        <v>139</v>
      </c>
      <c r="D370" s="27"/>
      <c r="E370" s="28" t="s">
        <v>140</v>
      </c>
      <c r="F370" s="254"/>
      <c r="G370" s="30" t="s">
        <v>1</v>
      </c>
      <c r="H370" s="59">
        <f>H371</f>
        <v>25</v>
      </c>
      <c r="I370" s="376"/>
      <c r="J370" s="226">
        <f>H370*I370</f>
        <v>0</v>
      </c>
      <c r="K370" s="245"/>
      <c r="L370" s="245"/>
    </row>
    <row r="371" spans="1:12" s="224" customFormat="1" ht="25.5">
      <c r="A371" s="22"/>
      <c r="B371" s="23"/>
      <c r="C371" s="23"/>
      <c r="D371" s="33" t="s">
        <v>141</v>
      </c>
      <c r="E371" s="34" t="s">
        <v>142</v>
      </c>
      <c r="F371" s="255"/>
      <c r="G371" s="36" t="s">
        <v>1</v>
      </c>
      <c r="H371" s="58">
        <v>25</v>
      </c>
      <c r="I371" s="225"/>
      <c r="J371" s="226"/>
    </row>
    <row r="372" spans="1:12" s="224" customFormat="1">
      <c r="A372" s="22"/>
      <c r="B372" s="23"/>
      <c r="C372" s="23"/>
      <c r="D372" s="33"/>
      <c r="E372" s="268" t="s">
        <v>338</v>
      </c>
      <c r="F372" s="255"/>
      <c r="G372" s="36"/>
      <c r="H372" s="58"/>
      <c r="I372" s="222"/>
      <c r="J372" s="223"/>
    </row>
    <row r="373" spans="1:12" s="224" customFormat="1">
      <c r="A373" s="22"/>
      <c r="B373" s="23"/>
      <c r="C373" s="23"/>
      <c r="D373" s="33"/>
      <c r="E373" s="345" t="s">
        <v>403</v>
      </c>
      <c r="F373" s="255"/>
      <c r="G373" s="36"/>
      <c r="H373" s="58"/>
      <c r="I373" s="225"/>
      <c r="J373" s="226"/>
    </row>
    <row r="374" spans="1:12" s="224" customFormat="1">
      <c r="A374" s="246"/>
      <c r="B374" s="184"/>
      <c r="C374" s="184"/>
      <c r="D374" s="262"/>
      <c r="E374" s="195">
        <v>201</v>
      </c>
      <c r="F374" s="331">
        <v>3</v>
      </c>
      <c r="G374" s="263"/>
      <c r="H374" s="269"/>
      <c r="I374" s="222"/>
      <c r="J374" s="223"/>
    </row>
    <row r="375" spans="1:12" s="224" customFormat="1">
      <c r="A375" s="246"/>
      <c r="B375" s="184"/>
      <c r="C375" s="184"/>
      <c r="D375" s="262"/>
      <c r="E375" s="195" t="s">
        <v>404</v>
      </c>
      <c r="F375" s="331">
        <v>3</v>
      </c>
      <c r="G375" s="263"/>
      <c r="H375" s="269"/>
      <c r="I375" s="225"/>
      <c r="J375" s="226"/>
    </row>
    <row r="376" spans="1:12" s="224" customFormat="1">
      <c r="A376" s="246"/>
      <c r="B376" s="184"/>
      <c r="C376" s="184"/>
      <c r="D376" s="262"/>
      <c r="E376" s="195" t="s">
        <v>405</v>
      </c>
      <c r="F376" s="331">
        <v>5</v>
      </c>
      <c r="G376" s="263"/>
      <c r="H376" s="269"/>
      <c r="I376" s="222"/>
      <c r="J376" s="223"/>
    </row>
    <row r="377" spans="1:12" s="224" customFormat="1">
      <c r="A377" s="246"/>
      <c r="B377" s="184"/>
      <c r="C377" s="184"/>
      <c r="D377" s="262"/>
      <c r="E377" s="195">
        <v>213</v>
      </c>
      <c r="F377" s="331">
        <f>1+1</f>
        <v>2</v>
      </c>
      <c r="G377" s="263"/>
      <c r="H377" s="269"/>
      <c r="I377" s="225"/>
      <c r="J377" s="226"/>
    </row>
    <row r="378" spans="1:12" s="224" customFormat="1">
      <c r="A378" s="246"/>
      <c r="B378" s="184"/>
      <c r="C378" s="184"/>
      <c r="D378" s="262"/>
      <c r="E378" s="195" t="s">
        <v>406</v>
      </c>
      <c r="F378" s="331">
        <v>2</v>
      </c>
      <c r="G378" s="263"/>
      <c r="H378" s="269"/>
      <c r="I378" s="222"/>
      <c r="J378" s="223"/>
    </row>
    <row r="379" spans="1:12" s="224" customFormat="1">
      <c r="A379" s="246"/>
      <c r="B379" s="184"/>
      <c r="C379" s="184"/>
      <c r="D379" s="262"/>
      <c r="E379" s="195">
        <v>302</v>
      </c>
      <c r="F379" s="331">
        <v>1</v>
      </c>
      <c r="G379" s="263"/>
      <c r="H379" s="269"/>
      <c r="I379" s="225"/>
      <c r="J379" s="226"/>
    </row>
    <row r="380" spans="1:12" s="224" customFormat="1">
      <c r="A380" s="246"/>
      <c r="B380" s="184"/>
      <c r="C380" s="184"/>
      <c r="D380" s="262"/>
      <c r="E380" s="195">
        <v>411</v>
      </c>
      <c r="F380" s="331">
        <v>1</v>
      </c>
      <c r="G380" s="263"/>
      <c r="H380" s="269"/>
      <c r="I380" s="222"/>
      <c r="J380" s="223"/>
    </row>
    <row r="381" spans="1:12" s="224" customFormat="1">
      <c r="A381" s="246"/>
      <c r="B381" s="184"/>
      <c r="C381" s="184"/>
      <c r="D381" s="262"/>
      <c r="E381" s="195">
        <v>503</v>
      </c>
      <c r="F381" s="331">
        <v>2</v>
      </c>
      <c r="G381" s="263"/>
      <c r="H381" s="269"/>
      <c r="I381" s="225"/>
      <c r="J381" s="226"/>
    </row>
    <row r="382" spans="1:12" s="224" customFormat="1">
      <c r="A382" s="246"/>
      <c r="B382" s="184"/>
      <c r="C382" s="184"/>
      <c r="D382" s="262"/>
      <c r="E382" s="195">
        <v>507</v>
      </c>
      <c r="F382" s="331">
        <v>2</v>
      </c>
      <c r="G382" s="263"/>
      <c r="H382" s="269"/>
      <c r="I382" s="222"/>
      <c r="J382" s="223"/>
    </row>
    <row r="383" spans="1:12" s="224" customFormat="1">
      <c r="A383" s="246"/>
      <c r="B383" s="184"/>
      <c r="C383" s="184"/>
      <c r="D383" s="262"/>
      <c r="E383" s="258" t="s">
        <v>407</v>
      </c>
      <c r="F383" s="248"/>
      <c r="G383" s="263"/>
      <c r="H383" s="269"/>
      <c r="I383" s="225"/>
      <c r="J383" s="226"/>
    </row>
    <row r="384" spans="1:12" s="224" customFormat="1">
      <c r="A384" s="246"/>
      <c r="B384" s="184"/>
      <c r="C384" s="184"/>
      <c r="D384" s="262"/>
      <c r="E384" s="195" t="s">
        <v>405</v>
      </c>
      <c r="F384" s="331">
        <v>2</v>
      </c>
      <c r="G384" s="263"/>
      <c r="H384" s="269"/>
      <c r="I384" s="222"/>
      <c r="J384" s="223"/>
    </row>
    <row r="385" spans="1:12" s="224" customFormat="1">
      <c r="A385" s="246"/>
      <c r="B385" s="184"/>
      <c r="C385" s="184"/>
      <c r="D385" s="262"/>
      <c r="E385" s="195">
        <v>706</v>
      </c>
      <c r="F385" s="273">
        <v>2</v>
      </c>
      <c r="G385" s="263"/>
      <c r="H385" s="269"/>
      <c r="I385" s="225"/>
      <c r="J385" s="226"/>
    </row>
    <row r="386" spans="1:12" s="224" customFormat="1">
      <c r="A386" s="246"/>
      <c r="B386" s="184"/>
      <c r="C386" s="184"/>
      <c r="D386" s="262"/>
      <c r="E386" s="275"/>
      <c r="F386" s="331">
        <f>SUM(F374:F385)</f>
        <v>25</v>
      </c>
      <c r="G386" s="263"/>
      <c r="H386" s="269"/>
      <c r="I386" s="222"/>
      <c r="J386" s="223"/>
    </row>
    <row r="387" spans="1:12" s="224" customFormat="1">
      <c r="A387" s="246"/>
      <c r="B387" s="184"/>
      <c r="C387" s="184"/>
      <c r="D387" s="262"/>
      <c r="E387" s="275"/>
      <c r="F387" s="276"/>
      <c r="G387" s="263"/>
      <c r="H387" s="269"/>
      <c r="I387" s="225"/>
      <c r="J387" s="226"/>
    </row>
    <row r="388" spans="1:12" s="224" customFormat="1">
      <c r="A388" s="246"/>
      <c r="B388" s="184"/>
      <c r="C388" s="184"/>
      <c r="D388" s="262"/>
      <c r="E388" s="268" t="s">
        <v>408</v>
      </c>
      <c r="F388" s="248"/>
      <c r="G388" s="263"/>
      <c r="H388" s="269"/>
      <c r="I388" s="222"/>
      <c r="J388" s="223"/>
    </row>
    <row r="389" spans="1:12" s="224" customFormat="1">
      <c r="A389" s="246"/>
      <c r="B389" s="184"/>
      <c r="C389" s="184"/>
      <c r="D389" s="185"/>
      <c r="E389" s="186"/>
      <c r="F389" s="187"/>
      <c r="G389" s="188"/>
      <c r="H389" s="269"/>
      <c r="I389" s="225"/>
      <c r="J389" s="226"/>
    </row>
    <row r="390" spans="1:12" s="224" customFormat="1" ht="25.5">
      <c r="A390" s="25">
        <f>MAX(A$1:A389)+1</f>
        <v>44</v>
      </c>
      <c r="B390" s="23"/>
      <c r="C390" s="26" t="s">
        <v>409</v>
      </c>
      <c r="D390" s="27"/>
      <c r="E390" s="28" t="s">
        <v>410</v>
      </c>
      <c r="F390" s="254"/>
      <c r="G390" s="30" t="s">
        <v>1</v>
      </c>
      <c r="H390" s="59">
        <f>H391</f>
        <v>9</v>
      </c>
      <c r="I390" s="376"/>
      <c r="J390" s="226">
        <f>H390*I390</f>
        <v>0</v>
      </c>
      <c r="K390" s="245"/>
      <c r="L390" s="245"/>
    </row>
    <row r="391" spans="1:12" s="224" customFormat="1" ht="25.5">
      <c r="A391" s="22"/>
      <c r="B391" s="23"/>
      <c r="C391" s="23"/>
      <c r="D391" s="33" t="s">
        <v>411</v>
      </c>
      <c r="E391" s="34" t="s">
        <v>412</v>
      </c>
      <c r="F391" s="255"/>
      <c r="G391" s="36" t="s">
        <v>1</v>
      </c>
      <c r="H391" s="58">
        <v>9</v>
      </c>
      <c r="I391" s="225"/>
      <c r="J391" s="226"/>
    </row>
    <row r="392" spans="1:12" s="224" customFormat="1">
      <c r="A392" s="246"/>
      <c r="B392" s="184"/>
      <c r="C392" s="184"/>
      <c r="D392" s="262"/>
      <c r="E392" s="195" t="s">
        <v>413</v>
      </c>
      <c r="F392" s="331">
        <v>2</v>
      </c>
      <c r="G392" s="263"/>
      <c r="H392" s="269"/>
      <c r="I392" s="222"/>
      <c r="J392" s="223"/>
    </row>
    <row r="393" spans="1:12" s="224" customFormat="1">
      <c r="A393" s="246"/>
      <c r="B393" s="184"/>
      <c r="C393" s="184"/>
      <c r="D393" s="262"/>
      <c r="E393" s="195" t="s">
        <v>414</v>
      </c>
      <c r="F393" s="331">
        <v>1</v>
      </c>
      <c r="G393" s="263"/>
      <c r="H393" s="269"/>
      <c r="I393" s="225"/>
      <c r="J393" s="226"/>
    </row>
    <row r="394" spans="1:12" s="224" customFormat="1">
      <c r="A394" s="246"/>
      <c r="B394" s="184"/>
      <c r="C394" s="184"/>
      <c r="D394" s="262"/>
      <c r="E394" s="195" t="s">
        <v>415</v>
      </c>
      <c r="F394" s="331">
        <v>1</v>
      </c>
      <c r="G394" s="263"/>
      <c r="H394" s="269"/>
      <c r="I394" s="222"/>
      <c r="J394" s="223"/>
    </row>
    <row r="395" spans="1:12" s="224" customFormat="1">
      <c r="A395" s="246"/>
      <c r="B395" s="184"/>
      <c r="C395" s="184"/>
      <c r="D395" s="262"/>
      <c r="E395" s="195" t="s">
        <v>416</v>
      </c>
      <c r="F395" s="331">
        <v>1</v>
      </c>
      <c r="G395" s="263"/>
      <c r="H395" s="269"/>
      <c r="I395" s="225"/>
      <c r="J395" s="226"/>
    </row>
    <row r="396" spans="1:12" s="224" customFormat="1">
      <c r="A396" s="246"/>
      <c r="B396" s="184"/>
      <c r="C396" s="184"/>
      <c r="D396" s="262"/>
      <c r="E396" s="195" t="s">
        <v>417</v>
      </c>
      <c r="F396" s="273">
        <v>4</v>
      </c>
      <c r="G396" s="263"/>
      <c r="H396" s="269"/>
      <c r="I396" s="222"/>
      <c r="J396" s="223"/>
    </row>
    <row r="397" spans="1:12" s="224" customFormat="1">
      <c r="A397" s="246"/>
      <c r="B397" s="184"/>
      <c r="C397" s="184"/>
      <c r="D397" s="262"/>
      <c r="E397" s="247"/>
      <c r="F397" s="331">
        <f>SUM(F392:F396)</f>
        <v>9</v>
      </c>
      <c r="G397" s="263"/>
      <c r="H397" s="269"/>
      <c r="I397" s="225"/>
      <c r="J397" s="226"/>
    </row>
    <row r="398" spans="1:12" s="224" customFormat="1">
      <c r="A398" s="246"/>
      <c r="B398" s="184"/>
      <c r="C398" s="184"/>
      <c r="D398" s="262"/>
      <c r="E398" s="247"/>
      <c r="F398" s="248"/>
      <c r="G398" s="263"/>
      <c r="H398" s="269"/>
      <c r="I398" s="222"/>
      <c r="J398" s="223"/>
    </row>
    <row r="399" spans="1:12" s="224" customFormat="1">
      <c r="A399" s="246"/>
      <c r="B399" s="184"/>
      <c r="C399" s="184"/>
      <c r="D399" s="262"/>
      <c r="E399" s="268" t="s">
        <v>418</v>
      </c>
      <c r="F399" s="276"/>
      <c r="G399" s="263"/>
      <c r="H399" s="269"/>
      <c r="I399" s="225"/>
      <c r="J399" s="226"/>
    </row>
    <row r="400" spans="1:12" s="224" customFormat="1">
      <c r="A400" s="256"/>
      <c r="B400" s="301"/>
      <c r="C400" s="302"/>
      <c r="D400" s="303"/>
      <c r="E400" s="305"/>
      <c r="F400" s="279"/>
      <c r="G400" s="185"/>
      <c r="H400" s="269"/>
      <c r="I400" s="222"/>
      <c r="J400" s="223"/>
    </row>
    <row r="401" spans="1:12" ht="25.5">
      <c r="A401" s="346">
        <f>MAX(A$1:A400)+1</f>
        <v>45</v>
      </c>
      <c r="B401" s="41"/>
      <c r="C401" s="26" t="s">
        <v>419</v>
      </c>
      <c r="D401" s="27"/>
      <c r="E401" s="28" t="s">
        <v>420</v>
      </c>
      <c r="F401" s="29"/>
      <c r="G401" s="30" t="s">
        <v>1</v>
      </c>
      <c r="H401" s="59">
        <f>H402</f>
        <v>2</v>
      </c>
      <c r="I401" s="376"/>
      <c r="J401" s="226">
        <f>H401*I401</f>
        <v>0</v>
      </c>
      <c r="K401" s="245"/>
      <c r="L401" s="245"/>
    </row>
    <row r="402" spans="1:12" ht="25.5">
      <c r="A402" s="346"/>
      <c r="B402" s="41"/>
      <c r="C402" s="39"/>
      <c r="D402" s="33" t="s">
        <v>421</v>
      </c>
      <c r="E402" s="34" t="s">
        <v>422</v>
      </c>
      <c r="F402" s="35"/>
      <c r="G402" s="36" t="s">
        <v>1</v>
      </c>
      <c r="H402" s="58">
        <v>2</v>
      </c>
      <c r="I402" s="222"/>
      <c r="J402" s="223"/>
    </row>
    <row r="403" spans="1:12" s="224" customFormat="1">
      <c r="A403" s="25"/>
      <c r="B403" s="41"/>
      <c r="C403" s="42"/>
      <c r="D403" s="296"/>
      <c r="E403" s="347" t="s">
        <v>423</v>
      </c>
      <c r="F403" s="31">
        <v>2</v>
      </c>
      <c r="G403" s="24"/>
      <c r="H403" s="58"/>
      <c r="I403" s="225"/>
      <c r="J403" s="226"/>
      <c r="K403" s="230"/>
    </row>
    <row r="404" spans="1:12" s="224" customFormat="1">
      <c r="A404" s="256"/>
      <c r="B404" s="301"/>
      <c r="C404" s="302"/>
      <c r="D404" s="303"/>
      <c r="E404" s="305"/>
      <c r="F404" s="279"/>
      <c r="G404" s="185"/>
      <c r="H404" s="269"/>
      <c r="I404" s="222"/>
      <c r="J404" s="223"/>
    </row>
    <row r="405" spans="1:12" s="224" customFormat="1">
      <c r="A405" s="256"/>
      <c r="B405" s="301"/>
      <c r="C405" s="302"/>
      <c r="D405" s="303"/>
      <c r="E405" s="268" t="s">
        <v>424</v>
      </c>
      <c r="F405" s="279"/>
      <c r="G405" s="185"/>
      <c r="H405" s="269"/>
      <c r="I405" s="225"/>
      <c r="J405" s="226"/>
    </row>
    <row r="406" spans="1:12" s="224" customFormat="1">
      <c r="A406" s="256"/>
      <c r="B406" s="301"/>
      <c r="C406" s="302"/>
      <c r="D406" s="303"/>
      <c r="E406" s="268" t="s">
        <v>425</v>
      </c>
      <c r="F406" s="279"/>
      <c r="G406" s="185"/>
      <c r="H406" s="269"/>
      <c r="I406" s="222"/>
      <c r="J406" s="223"/>
    </row>
    <row r="407" spans="1:12" s="224" customFormat="1">
      <c r="A407" s="256"/>
      <c r="B407" s="301"/>
      <c r="C407" s="302"/>
      <c r="D407" s="303"/>
      <c r="E407" s="305"/>
      <c r="F407" s="279"/>
      <c r="G407" s="185"/>
      <c r="H407" s="269"/>
      <c r="I407" s="225"/>
      <c r="J407" s="226"/>
    </row>
    <row r="408" spans="1:12" s="224" customFormat="1">
      <c r="A408" s="227">
        <f>MAX(A$1:A403)+1</f>
        <v>46</v>
      </c>
      <c r="B408" s="328"/>
      <c r="C408" s="239" t="s">
        <v>143</v>
      </c>
      <c r="D408" s="240"/>
      <c r="E408" s="241" t="s">
        <v>144</v>
      </c>
      <c r="F408" s="242"/>
      <c r="G408" s="243" t="s">
        <v>7</v>
      </c>
      <c r="H408" s="229">
        <f>H409</f>
        <v>891</v>
      </c>
      <c r="I408" s="376"/>
      <c r="J408" s="226">
        <f>H408*I408</f>
        <v>0</v>
      </c>
    </row>
    <row r="409" spans="1:12" s="224" customFormat="1">
      <c r="A409" s="227"/>
      <c r="B409" s="328"/>
      <c r="C409" s="286"/>
      <c r="D409" s="287" t="s">
        <v>145</v>
      </c>
      <c r="E409" s="288" t="s">
        <v>146</v>
      </c>
      <c r="F409" s="289"/>
      <c r="G409" s="290" t="s">
        <v>7</v>
      </c>
      <c r="H409" s="291">
        <v>891</v>
      </c>
      <c r="I409" s="225"/>
      <c r="J409" s="226"/>
    </row>
    <row r="410" spans="1:12" s="224" customFormat="1">
      <c r="A410" s="227"/>
      <c r="B410" s="328"/>
      <c r="C410" s="329"/>
      <c r="D410" s="330"/>
      <c r="E410" s="316" t="s">
        <v>426</v>
      </c>
      <c r="F410" s="238"/>
      <c r="G410" s="232"/>
      <c r="H410" s="291"/>
      <c r="I410" s="222"/>
      <c r="J410" s="223"/>
    </row>
    <row r="411" spans="1:12" s="224" customFormat="1">
      <c r="A411" s="256"/>
      <c r="B411" s="301"/>
      <c r="C411" s="302"/>
      <c r="D411" s="303"/>
      <c r="E411" s="327" t="s">
        <v>241</v>
      </c>
      <c r="F411" s="238">
        <v>114</v>
      </c>
      <c r="G411" s="185"/>
      <c r="H411" s="269"/>
      <c r="I411" s="225"/>
      <c r="J411" s="226"/>
    </row>
    <row r="412" spans="1:12" s="224" customFormat="1">
      <c r="A412" s="256"/>
      <c r="B412" s="301"/>
      <c r="C412" s="302"/>
      <c r="D412" s="303"/>
      <c r="E412" s="237" t="s">
        <v>265</v>
      </c>
      <c r="F412" s="238">
        <v>284</v>
      </c>
      <c r="G412" s="185"/>
      <c r="H412" s="269"/>
      <c r="I412" s="222"/>
      <c r="J412" s="223"/>
    </row>
    <row r="413" spans="1:12" s="224" customFormat="1">
      <c r="A413" s="256"/>
      <c r="B413" s="301"/>
      <c r="C413" s="302"/>
      <c r="D413" s="303"/>
      <c r="E413" s="237" t="s">
        <v>365</v>
      </c>
      <c r="F413" s="319">
        <v>282</v>
      </c>
      <c r="G413" s="185"/>
      <c r="H413" s="269"/>
      <c r="I413" s="225"/>
      <c r="J413" s="226"/>
    </row>
    <row r="414" spans="1:12" s="224" customFormat="1">
      <c r="A414" s="256"/>
      <c r="B414" s="301"/>
      <c r="C414" s="302"/>
      <c r="D414" s="303"/>
      <c r="E414" s="247"/>
      <c r="F414" s="238">
        <f>SUM(F411:F413)</f>
        <v>680</v>
      </c>
      <c r="G414" s="185"/>
      <c r="H414" s="348"/>
      <c r="I414" s="222"/>
      <c r="J414" s="223"/>
      <c r="L414" s="349"/>
    </row>
    <row r="415" spans="1:12" s="224" customFormat="1">
      <c r="A415" s="256"/>
      <c r="B415" s="301"/>
      <c r="C415" s="302"/>
      <c r="D415" s="303"/>
      <c r="E415" s="327" t="s">
        <v>427</v>
      </c>
      <c r="F415" s="279"/>
      <c r="G415" s="185"/>
      <c r="H415" s="348"/>
      <c r="I415" s="225"/>
      <c r="J415" s="226"/>
    </row>
    <row r="416" spans="1:12" s="224" customFormat="1">
      <c r="A416" s="256"/>
      <c r="B416" s="301"/>
      <c r="C416" s="302"/>
      <c r="D416" s="303"/>
      <c r="E416" s="305"/>
      <c r="F416" s="279"/>
      <c r="G416" s="185"/>
      <c r="H416" s="348"/>
      <c r="I416" s="222"/>
      <c r="J416" s="223"/>
    </row>
    <row r="417" spans="1:10" s="224" customFormat="1">
      <c r="A417" s="256"/>
      <c r="B417" s="301"/>
      <c r="C417" s="302"/>
      <c r="D417" s="303"/>
      <c r="E417" s="316" t="s">
        <v>428</v>
      </c>
      <c r="F417" s="279"/>
      <c r="G417" s="185"/>
      <c r="H417" s="348"/>
      <c r="I417" s="225"/>
      <c r="J417" s="226"/>
    </row>
    <row r="418" spans="1:10" s="224" customFormat="1">
      <c r="A418" s="256"/>
      <c r="B418" s="301"/>
      <c r="C418" s="302"/>
      <c r="D418" s="303"/>
      <c r="E418" s="327" t="s">
        <v>241</v>
      </c>
      <c r="F418" s="238">
        <v>103</v>
      </c>
      <c r="G418" s="185"/>
      <c r="H418" s="348"/>
      <c r="I418" s="222"/>
      <c r="J418" s="223"/>
    </row>
    <row r="419" spans="1:10" s="224" customFormat="1">
      <c r="A419" s="256"/>
      <c r="B419" s="301"/>
      <c r="C419" s="302"/>
      <c r="D419" s="303"/>
      <c r="E419" s="237" t="s">
        <v>365</v>
      </c>
      <c r="F419" s="319">
        <v>7</v>
      </c>
      <c r="G419" s="185"/>
      <c r="H419" s="348"/>
      <c r="I419" s="225"/>
      <c r="J419" s="226"/>
    </row>
    <row r="420" spans="1:10" s="224" customFormat="1">
      <c r="A420" s="256"/>
      <c r="B420" s="301"/>
      <c r="C420" s="302"/>
      <c r="D420" s="303"/>
      <c r="E420" s="305"/>
      <c r="F420" s="238">
        <f>SUM(F418:F419)</f>
        <v>110</v>
      </c>
      <c r="G420" s="185"/>
      <c r="H420" s="348"/>
      <c r="I420" s="222"/>
      <c r="J420" s="223"/>
    </row>
    <row r="421" spans="1:10" s="224" customFormat="1">
      <c r="A421" s="256"/>
      <c r="B421" s="301"/>
      <c r="C421" s="302"/>
      <c r="D421" s="303"/>
      <c r="E421" s="327" t="s">
        <v>429</v>
      </c>
      <c r="F421" s="279"/>
      <c r="G421" s="185"/>
      <c r="H421" s="348"/>
      <c r="I421" s="225"/>
      <c r="J421" s="226"/>
    </row>
    <row r="422" spans="1:10" s="224" customFormat="1">
      <c r="A422" s="256"/>
      <c r="B422" s="301"/>
      <c r="C422" s="302"/>
      <c r="D422" s="303"/>
      <c r="E422" s="350"/>
      <c r="F422" s="248"/>
      <c r="G422" s="185"/>
      <c r="H422" s="348"/>
      <c r="I422" s="222"/>
      <c r="J422" s="223"/>
    </row>
    <row r="423" spans="1:10" s="224" customFormat="1">
      <c r="A423" s="256"/>
      <c r="B423" s="301"/>
      <c r="C423" s="302"/>
      <c r="D423" s="303"/>
      <c r="E423" s="316" t="s">
        <v>430</v>
      </c>
      <c r="F423" s="292"/>
      <c r="G423" s="185"/>
      <c r="H423" s="348"/>
      <c r="I423" s="225"/>
      <c r="J423" s="226"/>
    </row>
    <row r="424" spans="1:10" s="224" customFormat="1">
      <c r="A424" s="256"/>
      <c r="B424" s="301"/>
      <c r="C424" s="302"/>
      <c r="D424" s="303"/>
      <c r="E424" s="327" t="s">
        <v>241</v>
      </c>
      <c r="F424" s="238">
        <v>65</v>
      </c>
      <c r="G424" s="185"/>
      <c r="H424" s="348"/>
      <c r="I424" s="222"/>
      <c r="J424" s="223"/>
    </row>
    <row r="425" spans="1:10" s="224" customFormat="1">
      <c r="A425" s="256"/>
      <c r="B425" s="301"/>
      <c r="C425" s="302"/>
      <c r="D425" s="303"/>
      <c r="E425" s="237" t="s">
        <v>265</v>
      </c>
      <c r="F425" s="238">
        <v>21</v>
      </c>
      <c r="G425" s="185"/>
      <c r="H425" s="348"/>
      <c r="I425" s="225"/>
      <c r="J425" s="226"/>
    </row>
    <row r="426" spans="1:10" s="224" customFormat="1">
      <c r="A426" s="256"/>
      <c r="B426" s="301"/>
      <c r="C426" s="302"/>
      <c r="D426" s="303"/>
      <c r="E426" s="237" t="s">
        <v>365</v>
      </c>
      <c r="F426" s="319">
        <v>15</v>
      </c>
      <c r="G426" s="185"/>
      <c r="H426" s="348"/>
      <c r="I426" s="222"/>
      <c r="J426" s="223"/>
    </row>
    <row r="427" spans="1:10" s="224" customFormat="1">
      <c r="A427" s="256"/>
      <c r="B427" s="301"/>
      <c r="C427" s="302"/>
      <c r="D427" s="303"/>
      <c r="E427" s="237"/>
      <c r="F427" s="238">
        <f>SUM(F424:F426)</f>
        <v>101</v>
      </c>
      <c r="G427" s="185"/>
      <c r="H427" s="348"/>
      <c r="I427" s="222"/>
      <c r="J427" s="226"/>
    </row>
    <row r="428" spans="1:10" s="224" customFormat="1">
      <c r="A428" s="256"/>
      <c r="B428" s="301"/>
      <c r="C428" s="302"/>
      <c r="D428" s="303"/>
      <c r="E428" s="327" t="s">
        <v>429</v>
      </c>
      <c r="F428" s="292"/>
      <c r="G428" s="185"/>
      <c r="H428" s="348"/>
      <c r="I428" s="222"/>
      <c r="J428" s="223"/>
    </row>
    <row r="429" spans="1:10" s="224" customFormat="1">
      <c r="A429" s="256"/>
      <c r="B429" s="301"/>
      <c r="C429" s="302"/>
      <c r="D429" s="303"/>
      <c r="E429" s="351" t="s">
        <v>117</v>
      </c>
      <c r="F429" s="352">
        <f>F414+F420+F427</f>
        <v>891</v>
      </c>
      <c r="G429" s="185"/>
      <c r="H429" s="269"/>
      <c r="I429" s="225"/>
      <c r="J429" s="226"/>
    </row>
    <row r="430" spans="1:10" s="224" customFormat="1">
      <c r="A430" s="256"/>
      <c r="B430" s="301"/>
      <c r="C430" s="302"/>
      <c r="D430" s="303"/>
      <c r="E430" s="353"/>
      <c r="F430" s="279"/>
      <c r="G430" s="185"/>
      <c r="H430" s="269"/>
      <c r="I430" s="222"/>
      <c r="J430" s="223"/>
    </row>
    <row r="431" spans="1:10" s="224" customFormat="1">
      <c r="A431" s="256"/>
      <c r="B431" s="301"/>
      <c r="C431" s="302"/>
      <c r="D431" s="303"/>
      <c r="E431" s="268"/>
      <c r="F431" s="270"/>
      <c r="G431" s="185"/>
      <c r="H431" s="269"/>
      <c r="I431" s="225"/>
      <c r="J431" s="226"/>
    </row>
    <row r="432" spans="1:10" s="224" customFormat="1" ht="25.5">
      <c r="A432" s="227">
        <f>MAX(A$1:A427)+1</f>
        <v>47</v>
      </c>
      <c r="B432" s="301"/>
      <c r="C432" s="26" t="s">
        <v>89</v>
      </c>
      <c r="D432" s="27"/>
      <c r="E432" s="28" t="s">
        <v>90</v>
      </c>
      <c r="F432" s="254"/>
      <c r="G432" s="30" t="s">
        <v>7</v>
      </c>
      <c r="H432" s="59">
        <f>H433</f>
        <v>107</v>
      </c>
      <c r="I432" s="376"/>
      <c r="J432" s="226">
        <f>H432*I432</f>
        <v>0</v>
      </c>
    </row>
    <row r="433" spans="1:13" s="224" customFormat="1" ht="25.5">
      <c r="A433" s="256"/>
      <c r="B433" s="301"/>
      <c r="C433" s="42"/>
      <c r="D433" s="33" t="s">
        <v>91</v>
      </c>
      <c r="E433" s="34" t="s">
        <v>92</v>
      </c>
      <c r="F433" s="255"/>
      <c r="G433" s="36" t="s">
        <v>7</v>
      </c>
      <c r="H433" s="58">
        <v>107</v>
      </c>
      <c r="I433" s="225"/>
      <c r="J433" s="226"/>
    </row>
    <row r="434" spans="1:13" s="224" customFormat="1">
      <c r="A434" s="256"/>
      <c r="B434" s="301"/>
      <c r="C434" s="42"/>
      <c r="D434" s="33"/>
      <c r="E434" s="258" t="s">
        <v>431</v>
      </c>
      <c r="F434" s="255"/>
      <c r="G434" s="36"/>
      <c r="H434" s="58"/>
      <c r="I434" s="222"/>
      <c r="J434" s="223"/>
    </row>
    <row r="435" spans="1:13" s="224" customFormat="1">
      <c r="A435" s="256"/>
      <c r="B435" s="301"/>
      <c r="C435" s="302"/>
      <c r="D435" s="303"/>
      <c r="E435" s="327" t="s">
        <v>241</v>
      </c>
      <c r="F435" s="270">
        <v>88</v>
      </c>
      <c r="G435" s="185"/>
      <c r="H435" s="269"/>
      <c r="I435" s="225"/>
      <c r="J435" s="226"/>
    </row>
    <row r="436" spans="1:13" s="224" customFormat="1">
      <c r="A436" s="256"/>
      <c r="B436" s="301"/>
      <c r="C436" s="302"/>
      <c r="D436" s="303"/>
      <c r="E436" s="237" t="s">
        <v>265</v>
      </c>
      <c r="F436" s="270">
        <v>11</v>
      </c>
      <c r="G436" s="185"/>
      <c r="H436" s="269"/>
      <c r="I436" s="222"/>
      <c r="J436" s="223"/>
    </row>
    <row r="437" spans="1:13" s="224" customFormat="1">
      <c r="A437" s="256"/>
      <c r="B437" s="301"/>
      <c r="C437" s="302"/>
      <c r="D437" s="303"/>
      <c r="E437" s="237" t="s">
        <v>365</v>
      </c>
      <c r="F437" s="304">
        <v>8</v>
      </c>
      <c r="G437" s="185"/>
      <c r="H437" s="269"/>
      <c r="I437" s="225"/>
      <c r="J437" s="226"/>
    </row>
    <row r="438" spans="1:13" s="224" customFormat="1">
      <c r="A438" s="256"/>
      <c r="B438" s="301"/>
      <c r="C438" s="302"/>
      <c r="D438" s="303"/>
      <c r="E438" s="268"/>
      <c r="F438" s="270">
        <f>SUM(F435:F437)</f>
        <v>107</v>
      </c>
      <c r="G438" s="185"/>
      <c r="H438" s="269"/>
      <c r="I438" s="222"/>
      <c r="J438" s="223"/>
    </row>
    <row r="439" spans="1:13" s="224" customFormat="1">
      <c r="A439" s="256"/>
      <c r="B439" s="301"/>
      <c r="C439" s="302"/>
      <c r="D439" s="303"/>
      <c r="E439" s="268"/>
      <c r="F439" s="270"/>
      <c r="G439" s="185"/>
      <c r="H439" s="269"/>
      <c r="I439" s="225"/>
      <c r="J439" s="226"/>
    </row>
    <row r="440" spans="1:13" s="224" customFormat="1">
      <c r="A440" s="40"/>
      <c r="B440" s="41"/>
      <c r="C440" s="42"/>
      <c r="D440" s="296"/>
      <c r="E440" s="297"/>
      <c r="F440" s="32"/>
      <c r="G440" s="24"/>
      <c r="H440" s="58"/>
      <c r="I440" s="222"/>
      <c r="J440" s="223"/>
    </row>
    <row r="441" spans="1:13" s="224" customFormat="1" ht="25.5">
      <c r="A441" s="25"/>
      <c r="B441" s="280" t="s">
        <v>95</v>
      </c>
      <c r="C441" s="280"/>
      <c r="D441" s="282"/>
      <c r="E441" s="251" t="s">
        <v>100</v>
      </c>
      <c r="F441" s="298"/>
      <c r="G441" s="285"/>
      <c r="H441" s="58"/>
      <c r="I441" s="225"/>
      <c r="J441" s="226"/>
    </row>
    <row r="442" spans="1:13" s="224" customFormat="1">
      <c r="A442" s="40"/>
      <c r="B442" s="41"/>
      <c r="C442" s="42"/>
      <c r="D442" s="296"/>
      <c r="E442" s="195"/>
      <c r="F442" s="354"/>
      <c r="G442" s="24"/>
      <c r="H442" s="58"/>
      <c r="I442" s="222"/>
      <c r="J442" s="223"/>
    </row>
    <row r="443" spans="1:13" s="224" customFormat="1">
      <c r="A443" s="355"/>
      <c r="B443" s="301"/>
      <c r="C443" s="302"/>
      <c r="D443" s="303"/>
      <c r="E443" s="247"/>
      <c r="F443" s="356"/>
      <c r="G443" s="185"/>
      <c r="H443" s="269"/>
      <c r="I443" s="225"/>
      <c r="J443" s="226"/>
    </row>
    <row r="444" spans="1:13" s="224" customFormat="1" ht="25.5">
      <c r="A444" s="25">
        <f>MAX(A$1:A442)+1</f>
        <v>48</v>
      </c>
      <c r="B444" s="41"/>
      <c r="C444" s="26" t="s">
        <v>432</v>
      </c>
      <c r="D444" s="27"/>
      <c r="E444" s="28" t="s">
        <v>433</v>
      </c>
      <c r="F444" s="29"/>
      <c r="G444" s="30" t="s">
        <v>8</v>
      </c>
      <c r="H444" s="59">
        <f>H445</f>
        <v>3.15</v>
      </c>
      <c r="I444" s="376"/>
      <c r="J444" s="226">
        <f>H444*I444</f>
        <v>0</v>
      </c>
    </row>
    <row r="445" spans="1:13" s="224" customFormat="1" ht="25.5">
      <c r="A445" s="40"/>
      <c r="B445" s="41"/>
      <c r="C445" s="39"/>
      <c r="D445" s="33" t="s">
        <v>434</v>
      </c>
      <c r="E445" s="34" t="s">
        <v>435</v>
      </c>
      <c r="F445" s="35"/>
      <c r="G445" s="36" t="s">
        <v>8</v>
      </c>
      <c r="H445" s="58">
        <v>3.15</v>
      </c>
      <c r="I445" s="225"/>
      <c r="J445" s="226"/>
      <c r="L445" s="156"/>
      <c r="M445" s="7"/>
    </row>
    <row r="446" spans="1:13" s="224" customFormat="1">
      <c r="A446" s="355"/>
      <c r="B446" s="301"/>
      <c r="C446" s="302"/>
      <c r="D446" s="303"/>
      <c r="E446" s="307" t="s">
        <v>399</v>
      </c>
      <c r="F446" s="356"/>
      <c r="G446" s="185"/>
      <c r="H446" s="269"/>
      <c r="I446" s="222"/>
      <c r="J446" s="223"/>
      <c r="M446" s="300"/>
    </row>
    <row r="447" spans="1:13" s="224" customFormat="1">
      <c r="A447" s="355"/>
      <c r="B447" s="301"/>
      <c r="C447" s="302"/>
      <c r="D447" s="303"/>
      <c r="E447" s="258" t="s">
        <v>436</v>
      </c>
      <c r="F447" s="357"/>
      <c r="G447" s="185"/>
      <c r="H447" s="269"/>
      <c r="I447" s="225"/>
      <c r="J447" s="226"/>
    </row>
    <row r="448" spans="1:13" s="224" customFormat="1">
      <c r="A448" s="355"/>
      <c r="B448" s="301"/>
      <c r="C448" s="302"/>
      <c r="D448" s="303"/>
      <c r="E448" s="237" t="s">
        <v>437</v>
      </c>
      <c r="F448" s="270">
        <f>46*0.03</f>
        <v>1.38</v>
      </c>
      <c r="G448" s="185"/>
      <c r="H448" s="269"/>
      <c r="I448" s="222"/>
      <c r="J448" s="223"/>
    </row>
    <row r="449" spans="1:13" s="224" customFormat="1">
      <c r="A449" s="355"/>
      <c r="B449" s="301"/>
      <c r="C449" s="302"/>
      <c r="D449" s="303"/>
      <c r="E449" s="237" t="s">
        <v>438</v>
      </c>
      <c r="F449" s="304">
        <f>59*0.03</f>
        <v>1.77</v>
      </c>
      <c r="G449" s="185"/>
      <c r="H449" s="269"/>
      <c r="I449" s="225"/>
      <c r="J449" s="226"/>
    </row>
    <row r="450" spans="1:13" s="224" customFormat="1">
      <c r="A450" s="355"/>
      <c r="B450" s="301"/>
      <c r="C450" s="302"/>
      <c r="D450" s="303"/>
      <c r="E450" s="358"/>
      <c r="F450" s="31">
        <f>SUM(F448:F449)</f>
        <v>3.15</v>
      </c>
      <c r="G450" s="185"/>
      <c r="H450" s="269"/>
      <c r="I450" s="222"/>
      <c r="J450" s="223"/>
    </row>
    <row r="451" spans="1:13" s="224" customFormat="1">
      <c r="A451" s="355"/>
      <c r="B451" s="301"/>
      <c r="C451" s="302"/>
      <c r="D451" s="303"/>
      <c r="E451" s="358"/>
      <c r="F451" s="356"/>
      <c r="G451" s="185"/>
      <c r="H451" s="269"/>
      <c r="I451" s="225"/>
      <c r="J451" s="226"/>
    </row>
    <row r="452" spans="1:13" s="224" customFormat="1" ht="25.5">
      <c r="A452" s="25">
        <f>MAX(A$1:A451)+1</f>
        <v>49</v>
      </c>
      <c r="B452" s="41"/>
      <c r="C452" s="26" t="s">
        <v>73</v>
      </c>
      <c r="D452" s="27"/>
      <c r="E452" s="28" t="s">
        <v>74</v>
      </c>
      <c r="F452" s="254"/>
      <c r="G452" s="30" t="s">
        <v>8</v>
      </c>
      <c r="H452" s="59">
        <v>471.7</v>
      </c>
      <c r="I452" s="376"/>
      <c r="J452" s="226">
        <f>H452*I452</f>
        <v>0</v>
      </c>
      <c r="L452" s="300"/>
      <c r="M452" s="7"/>
    </row>
    <row r="453" spans="1:13" s="224" customFormat="1">
      <c r="A453" s="256"/>
      <c r="B453" s="301"/>
      <c r="C453" s="257"/>
      <c r="D453" s="259"/>
      <c r="E453" s="307" t="s">
        <v>363</v>
      </c>
      <c r="F453" s="359"/>
      <c r="G453" s="261"/>
      <c r="H453" s="278"/>
      <c r="I453" s="225"/>
      <c r="J453" s="226"/>
      <c r="M453" s="300"/>
    </row>
    <row r="454" spans="1:13" s="224" customFormat="1">
      <c r="A454" s="355"/>
      <c r="B454" s="301"/>
      <c r="C454" s="302"/>
      <c r="D454" s="303"/>
      <c r="E454" s="258" t="s">
        <v>439</v>
      </c>
      <c r="F454" s="356"/>
      <c r="G454" s="185"/>
      <c r="H454" s="269"/>
      <c r="I454" s="222"/>
      <c r="J454" s="223"/>
      <c r="K454" s="230"/>
    </row>
    <row r="455" spans="1:13" s="224" customFormat="1">
      <c r="A455" s="355"/>
      <c r="B455" s="301"/>
      <c r="C455" s="302"/>
      <c r="D455" s="303"/>
      <c r="E455" s="195" t="s">
        <v>440</v>
      </c>
      <c r="F455" s="270">
        <f>1223*0.2</f>
        <v>244.60000000000002</v>
      </c>
      <c r="G455" s="185"/>
      <c r="H455" s="269"/>
      <c r="I455" s="225"/>
      <c r="J455" s="226"/>
    </row>
    <row r="456" spans="1:13" s="224" customFormat="1">
      <c r="A456" s="355"/>
      <c r="B456" s="301"/>
      <c r="C456" s="302"/>
      <c r="D456" s="303"/>
      <c r="E456" s="195" t="s">
        <v>441</v>
      </c>
      <c r="F456" s="270">
        <f>691*0.2</f>
        <v>138.20000000000002</v>
      </c>
      <c r="G456" s="185"/>
      <c r="H456" s="269"/>
      <c r="I456" s="222"/>
      <c r="J456" s="223"/>
    </row>
    <row r="457" spans="1:13" s="224" customFormat="1">
      <c r="A457" s="355"/>
      <c r="B457" s="301"/>
      <c r="C457" s="302"/>
      <c r="D457" s="303"/>
      <c r="E457" s="195" t="s">
        <v>442</v>
      </c>
      <c r="F457" s="304">
        <f>194*0.2</f>
        <v>38.800000000000004</v>
      </c>
      <c r="G457" s="185"/>
      <c r="H457" s="269"/>
      <c r="I457" s="225"/>
      <c r="J457" s="226"/>
    </row>
    <row r="458" spans="1:13" s="224" customFormat="1">
      <c r="A458" s="355"/>
      <c r="B458" s="301"/>
      <c r="C458" s="302"/>
      <c r="D458" s="303"/>
      <c r="E458" s="305"/>
      <c r="F458" s="270">
        <f>SUM(F455:F457)</f>
        <v>421.60000000000008</v>
      </c>
      <c r="G458" s="185"/>
      <c r="H458" s="269"/>
      <c r="I458" s="222"/>
      <c r="J458" s="223"/>
    </row>
    <row r="459" spans="1:13" s="224" customFormat="1">
      <c r="A459" s="355"/>
      <c r="B459" s="301"/>
      <c r="C459" s="302"/>
      <c r="D459" s="303"/>
      <c r="E459" s="307" t="s">
        <v>392</v>
      </c>
      <c r="F459" s="279"/>
      <c r="G459" s="185"/>
      <c r="H459" s="269"/>
      <c r="I459" s="225"/>
      <c r="J459" s="226"/>
    </row>
    <row r="460" spans="1:13" s="224" customFormat="1">
      <c r="A460" s="355"/>
      <c r="B460" s="301"/>
      <c r="C460" s="302"/>
      <c r="D460" s="303"/>
      <c r="E460" s="258" t="s">
        <v>443</v>
      </c>
      <c r="F460" s="279"/>
      <c r="G460" s="185"/>
      <c r="H460" s="269"/>
      <c r="I460" s="222"/>
      <c r="J460" s="223"/>
    </row>
    <row r="461" spans="1:13" s="224" customFormat="1">
      <c r="A461" s="355"/>
      <c r="B461" s="301"/>
      <c r="C461" s="302"/>
      <c r="D461" s="303"/>
      <c r="E461" s="195" t="s">
        <v>444</v>
      </c>
      <c r="F461" s="270">
        <f>223*0.15</f>
        <v>33.449999999999996</v>
      </c>
      <c r="G461" s="185"/>
      <c r="H461" s="269"/>
      <c r="I461" s="225"/>
      <c r="J461" s="226"/>
    </row>
    <row r="462" spans="1:13" s="224" customFormat="1">
      <c r="A462" s="355"/>
      <c r="B462" s="301"/>
      <c r="C462" s="302"/>
      <c r="D462" s="303"/>
      <c r="E462" s="195" t="s">
        <v>445</v>
      </c>
      <c r="F462" s="304">
        <f>6*0.15</f>
        <v>0.89999999999999991</v>
      </c>
      <c r="G462" s="185"/>
      <c r="H462" s="269"/>
      <c r="I462" s="222"/>
      <c r="J462" s="223"/>
    </row>
    <row r="463" spans="1:13" s="224" customFormat="1">
      <c r="A463" s="355"/>
      <c r="B463" s="301"/>
      <c r="C463" s="302"/>
      <c r="D463" s="303"/>
      <c r="E463" s="247"/>
      <c r="F463" s="270">
        <f>SUM(F461:F462)</f>
        <v>34.349999999999994</v>
      </c>
      <c r="G463" s="185"/>
      <c r="H463" s="269"/>
      <c r="I463" s="225"/>
      <c r="J463" s="226"/>
    </row>
    <row r="464" spans="1:13" s="224" customFormat="1">
      <c r="A464" s="355"/>
      <c r="B464" s="301"/>
      <c r="C464" s="302"/>
      <c r="D464" s="303"/>
      <c r="E464" s="307" t="s">
        <v>399</v>
      </c>
      <c r="F464" s="279"/>
      <c r="G464" s="185"/>
      <c r="H464" s="269"/>
      <c r="I464" s="222"/>
      <c r="J464" s="223"/>
      <c r="K464" s="360"/>
    </row>
    <row r="465" spans="1:13" s="224" customFormat="1">
      <c r="A465" s="355"/>
      <c r="B465" s="301"/>
      <c r="C465" s="302"/>
      <c r="D465" s="303"/>
      <c r="E465" s="258" t="s">
        <v>446</v>
      </c>
      <c r="F465" s="279"/>
      <c r="G465" s="185"/>
      <c r="H465" s="269"/>
      <c r="I465" s="225"/>
      <c r="J465" s="226"/>
    </row>
    <row r="466" spans="1:13" s="224" customFormat="1">
      <c r="A466" s="355"/>
      <c r="B466" s="301"/>
      <c r="C466" s="302"/>
      <c r="D466" s="303"/>
      <c r="E466" s="195" t="s">
        <v>447</v>
      </c>
      <c r="F466" s="270">
        <f>46*0.15</f>
        <v>6.8999999999999995</v>
      </c>
      <c r="G466" s="185"/>
      <c r="H466" s="269"/>
      <c r="I466" s="222"/>
      <c r="J466" s="223"/>
    </row>
    <row r="467" spans="1:13" s="224" customFormat="1">
      <c r="A467" s="355"/>
      <c r="B467" s="301"/>
      <c r="C467" s="302"/>
      <c r="D467" s="303"/>
      <c r="E467" s="195" t="s">
        <v>448</v>
      </c>
      <c r="F467" s="304">
        <f>59*0.15</f>
        <v>8.85</v>
      </c>
      <c r="G467" s="185"/>
      <c r="H467" s="269"/>
      <c r="I467" s="225"/>
      <c r="J467" s="226"/>
    </row>
    <row r="468" spans="1:13" s="224" customFormat="1">
      <c r="A468" s="355"/>
      <c r="B468" s="301"/>
      <c r="C468" s="302"/>
      <c r="D468" s="303"/>
      <c r="E468" s="247"/>
      <c r="F468" s="270">
        <f>SUM(F466:F467)</f>
        <v>15.75</v>
      </c>
      <c r="G468" s="185"/>
      <c r="H468" s="269"/>
      <c r="I468" s="222"/>
      <c r="J468" s="223"/>
    </row>
    <row r="469" spans="1:13" s="224" customFormat="1">
      <c r="A469" s="355"/>
      <c r="B469" s="301"/>
      <c r="C469" s="302"/>
      <c r="D469" s="303"/>
      <c r="E469" s="342" t="s">
        <v>117</v>
      </c>
      <c r="F469" s="340">
        <f>F458+F463+F468</f>
        <v>471.70000000000005</v>
      </c>
      <c r="G469" s="185"/>
      <c r="H469" s="269"/>
      <c r="I469" s="225"/>
      <c r="J469" s="226"/>
    </row>
    <row r="470" spans="1:13" s="224" customFormat="1">
      <c r="A470" s="355"/>
      <c r="B470" s="301"/>
      <c r="C470" s="302"/>
      <c r="D470" s="303"/>
      <c r="E470" s="247"/>
      <c r="F470" s="356"/>
      <c r="G470" s="185"/>
      <c r="H470" s="269"/>
      <c r="I470" s="222"/>
      <c r="J470" s="223"/>
    </row>
    <row r="471" spans="1:13" s="224" customFormat="1" ht="25.5">
      <c r="A471" s="25">
        <f>MAX(A$1:A470)+1</f>
        <v>50</v>
      </c>
      <c r="B471" s="41"/>
      <c r="C471" s="26" t="s">
        <v>75</v>
      </c>
      <c r="D471" s="27"/>
      <c r="E471" s="28" t="s">
        <v>76</v>
      </c>
      <c r="F471" s="254"/>
      <c r="G471" s="30" t="s">
        <v>8</v>
      </c>
      <c r="H471" s="59">
        <f>H472</f>
        <v>4</v>
      </c>
      <c r="I471" s="376"/>
      <c r="J471" s="226">
        <f>H471*I471</f>
        <v>0</v>
      </c>
      <c r="K471" s="230"/>
    </row>
    <row r="472" spans="1:13" s="224" customFormat="1" ht="25.5">
      <c r="A472" s="40"/>
      <c r="B472" s="41"/>
      <c r="C472" s="39"/>
      <c r="D472" s="33" t="s">
        <v>77</v>
      </c>
      <c r="E472" s="34" t="s">
        <v>78</v>
      </c>
      <c r="F472" s="255"/>
      <c r="G472" s="36" t="s">
        <v>8</v>
      </c>
      <c r="H472" s="58">
        <v>4</v>
      </c>
      <c r="I472" s="222"/>
      <c r="J472" s="223"/>
    </row>
    <row r="473" spans="1:13" s="224" customFormat="1">
      <c r="A473" s="355"/>
      <c r="B473" s="301"/>
      <c r="C473" s="302"/>
      <c r="D473" s="303"/>
      <c r="E473" s="258" t="s">
        <v>449</v>
      </c>
      <c r="F473" s="356"/>
      <c r="G473" s="185"/>
      <c r="H473" s="269"/>
      <c r="I473" s="225"/>
      <c r="J473" s="226"/>
    </row>
    <row r="474" spans="1:13" s="224" customFormat="1">
      <c r="A474" s="355"/>
      <c r="B474" s="301"/>
      <c r="C474" s="302"/>
      <c r="D474" s="303"/>
      <c r="E474" s="195" t="s">
        <v>450</v>
      </c>
      <c r="F474" s="270">
        <v>4</v>
      </c>
      <c r="G474" s="185"/>
      <c r="H474" s="269"/>
      <c r="I474" s="222"/>
      <c r="J474" s="223"/>
    </row>
    <row r="475" spans="1:13" s="224" customFormat="1">
      <c r="A475" s="355"/>
      <c r="B475" s="301"/>
      <c r="C475" s="302"/>
      <c r="D475" s="303"/>
      <c r="E475" s="247"/>
      <c r="F475" s="279"/>
      <c r="G475" s="185"/>
      <c r="H475" s="269"/>
      <c r="I475" s="225"/>
      <c r="J475" s="226"/>
    </row>
    <row r="476" spans="1:13" s="224" customFormat="1" ht="25.5">
      <c r="A476" s="25">
        <f>MAX(A$1:A475)+1</f>
        <v>51</v>
      </c>
      <c r="B476" s="41"/>
      <c r="C476" s="26" t="s">
        <v>451</v>
      </c>
      <c r="D476" s="27"/>
      <c r="E476" s="28" t="s">
        <v>452</v>
      </c>
      <c r="F476" s="29"/>
      <c r="G476" s="30" t="s">
        <v>8</v>
      </c>
      <c r="H476" s="59">
        <f>H477</f>
        <v>12.85</v>
      </c>
      <c r="I476" s="376"/>
      <c r="J476" s="226">
        <f>H476*I476</f>
        <v>0</v>
      </c>
      <c r="L476" s="156"/>
      <c r="M476" s="7"/>
    </row>
    <row r="477" spans="1:13" s="224" customFormat="1" ht="38.25">
      <c r="A477" s="40"/>
      <c r="B477" s="41"/>
      <c r="C477" s="42"/>
      <c r="D477" s="33" t="s">
        <v>453</v>
      </c>
      <c r="E477" s="35" t="s">
        <v>454</v>
      </c>
      <c r="F477" s="35"/>
      <c r="G477" s="36" t="s">
        <v>8</v>
      </c>
      <c r="H477" s="58">
        <v>12.85</v>
      </c>
      <c r="I477" s="225"/>
      <c r="J477" s="226"/>
      <c r="M477" s="300"/>
    </row>
    <row r="478" spans="1:13" s="224" customFormat="1">
      <c r="A478" s="40"/>
      <c r="B478" s="41"/>
      <c r="C478" s="42"/>
      <c r="D478" s="296"/>
      <c r="E478" s="307" t="s">
        <v>392</v>
      </c>
      <c r="F478" s="270"/>
      <c r="G478" s="24"/>
      <c r="H478" s="58"/>
      <c r="I478" s="222"/>
      <c r="J478" s="223"/>
    </row>
    <row r="479" spans="1:13" s="224" customFormat="1" ht="25.5">
      <c r="A479" s="40"/>
      <c r="B479" s="41"/>
      <c r="C479" s="42"/>
      <c r="D479" s="296"/>
      <c r="E479" s="258" t="s">
        <v>455</v>
      </c>
      <c r="F479" s="270"/>
      <c r="G479" s="24"/>
      <c r="H479" s="58"/>
      <c r="I479" s="225"/>
      <c r="J479" s="226"/>
    </row>
    <row r="480" spans="1:13" s="224" customFormat="1">
      <c r="A480" s="40"/>
      <c r="B480" s="41"/>
      <c r="C480" s="42"/>
      <c r="D480" s="296"/>
      <c r="E480" s="195" t="s">
        <v>456</v>
      </c>
      <c r="F480" s="270">
        <f>147*0.085</f>
        <v>12.495000000000001</v>
      </c>
      <c r="G480" s="24"/>
      <c r="H480" s="58"/>
      <c r="I480" s="222"/>
      <c r="J480" s="223"/>
    </row>
    <row r="481" spans="1:13" s="224" customFormat="1">
      <c r="A481" s="40"/>
      <c r="B481" s="41"/>
      <c r="C481" s="42"/>
      <c r="D481" s="296"/>
      <c r="E481" s="195" t="s">
        <v>457</v>
      </c>
      <c r="F481" s="304">
        <f>5*0.07</f>
        <v>0.35000000000000003</v>
      </c>
      <c r="G481" s="24"/>
      <c r="H481" s="58"/>
      <c r="I481" s="225"/>
      <c r="J481" s="226"/>
    </row>
    <row r="482" spans="1:13" s="224" customFormat="1">
      <c r="A482" s="355"/>
      <c r="B482" s="301"/>
      <c r="C482" s="302"/>
      <c r="D482" s="303"/>
      <c r="E482" s="247"/>
      <c r="F482" s="31">
        <f>SUM(F480:F481)</f>
        <v>12.845000000000001</v>
      </c>
      <c r="G482" s="185"/>
      <c r="H482" s="269"/>
      <c r="I482" s="222"/>
      <c r="J482" s="223"/>
    </row>
    <row r="483" spans="1:13" s="224" customFormat="1">
      <c r="A483" s="355"/>
      <c r="B483" s="301"/>
      <c r="C483" s="302"/>
      <c r="D483" s="303"/>
      <c r="E483" s="247"/>
      <c r="F483" s="356"/>
      <c r="G483" s="185"/>
      <c r="H483" s="269"/>
      <c r="I483" s="225"/>
      <c r="J483" s="226"/>
    </row>
    <row r="484" spans="1:13" s="224" customFormat="1">
      <c r="A484" s="355"/>
      <c r="B484" s="301"/>
      <c r="C484" s="302"/>
      <c r="D484" s="303"/>
      <c r="E484" s="247"/>
      <c r="F484" s="356"/>
      <c r="G484" s="185"/>
      <c r="H484" s="269"/>
      <c r="I484" s="222"/>
      <c r="J484" s="223"/>
    </row>
    <row r="485" spans="1:13" s="224" customFormat="1" ht="38.25">
      <c r="A485" s="25">
        <f>MAX(A$1:A483)+1</f>
        <v>52</v>
      </c>
      <c r="B485" s="41"/>
      <c r="C485" s="26" t="s">
        <v>79</v>
      </c>
      <c r="D485" s="27"/>
      <c r="E485" s="28" t="s">
        <v>80</v>
      </c>
      <c r="F485" s="254"/>
      <c r="G485" s="30" t="s">
        <v>8</v>
      </c>
      <c r="H485" s="59">
        <f>H486</f>
        <v>369</v>
      </c>
      <c r="I485" s="376"/>
      <c r="J485" s="226">
        <f>H485*I485</f>
        <v>0</v>
      </c>
    </row>
    <row r="486" spans="1:13" s="224" customFormat="1" ht="38.25">
      <c r="A486" s="40"/>
      <c r="B486" s="41"/>
      <c r="C486" s="42"/>
      <c r="D486" s="33" t="s">
        <v>81</v>
      </c>
      <c r="E486" s="34" t="s">
        <v>82</v>
      </c>
      <c r="F486" s="255"/>
      <c r="G486" s="36" t="s">
        <v>8</v>
      </c>
      <c r="H486" s="58">
        <v>369</v>
      </c>
      <c r="I486" s="222"/>
      <c r="J486" s="223"/>
    </row>
    <row r="487" spans="1:13" s="224" customFormat="1">
      <c r="A487" s="355"/>
      <c r="B487" s="301"/>
      <c r="C487" s="302"/>
      <c r="D487" s="262"/>
      <c r="E487" s="307" t="s">
        <v>363</v>
      </c>
      <c r="F487" s="276"/>
      <c r="G487" s="263"/>
      <c r="H487" s="269"/>
      <c r="I487" s="225"/>
      <c r="J487" s="226"/>
    </row>
    <row r="488" spans="1:13" s="224" customFormat="1" ht="15.75">
      <c r="A488" s="355"/>
      <c r="B488" s="301"/>
      <c r="C488" s="302"/>
      <c r="D488" s="303"/>
      <c r="E488" s="258" t="s">
        <v>458</v>
      </c>
      <c r="F488" s="356"/>
      <c r="G488" s="185"/>
      <c r="H488" s="269"/>
      <c r="I488" s="222"/>
      <c r="J488" s="223"/>
      <c r="L488" s="156"/>
      <c r="M488" s="7"/>
    </row>
    <row r="489" spans="1:13" s="224" customFormat="1">
      <c r="A489" s="355"/>
      <c r="B489" s="301"/>
      <c r="C489" s="302"/>
      <c r="D489" s="303"/>
      <c r="E489" s="195" t="s">
        <v>459</v>
      </c>
      <c r="F489" s="270">
        <f>1223*0.15</f>
        <v>183.45</v>
      </c>
      <c r="G489" s="185"/>
      <c r="H489" s="269"/>
      <c r="I489" s="225"/>
      <c r="J489" s="226"/>
      <c r="M489" s="300"/>
    </row>
    <row r="490" spans="1:13" s="224" customFormat="1">
      <c r="A490" s="355"/>
      <c r="B490" s="301"/>
      <c r="C490" s="302"/>
      <c r="D490" s="303"/>
      <c r="E490" s="195" t="s">
        <v>460</v>
      </c>
      <c r="F490" s="270">
        <f>628*0.15</f>
        <v>94.2</v>
      </c>
      <c r="G490" s="185"/>
      <c r="H490" s="269"/>
      <c r="I490" s="222"/>
      <c r="J490" s="223"/>
    </row>
    <row r="491" spans="1:13" s="224" customFormat="1">
      <c r="A491" s="355"/>
      <c r="B491" s="301"/>
      <c r="C491" s="302"/>
      <c r="D491" s="303"/>
      <c r="E491" s="195" t="s">
        <v>461</v>
      </c>
      <c r="F491" s="304">
        <f>176*0.15</f>
        <v>26.4</v>
      </c>
      <c r="G491" s="185"/>
      <c r="H491" s="269"/>
      <c r="I491" s="225"/>
      <c r="J491" s="226"/>
    </row>
    <row r="492" spans="1:13" s="224" customFormat="1" ht="13.5" customHeight="1">
      <c r="A492" s="355"/>
      <c r="B492" s="301"/>
      <c r="C492" s="302"/>
      <c r="D492" s="303"/>
      <c r="E492" s="305"/>
      <c r="F492" s="270">
        <f>SUM(F489:F491)</f>
        <v>304.04999999999995</v>
      </c>
      <c r="G492" s="185"/>
      <c r="H492" s="269"/>
      <c r="I492" s="222"/>
      <c r="J492" s="223"/>
    </row>
    <row r="493" spans="1:13" s="224" customFormat="1">
      <c r="A493" s="355"/>
      <c r="B493" s="301"/>
      <c r="C493" s="302"/>
      <c r="D493" s="303"/>
      <c r="E493" s="307" t="s">
        <v>392</v>
      </c>
      <c r="F493" s="356"/>
      <c r="G493" s="185"/>
      <c r="H493" s="269"/>
      <c r="I493" s="225"/>
      <c r="J493" s="226"/>
    </row>
    <row r="494" spans="1:13" s="224" customFormat="1" ht="15.75">
      <c r="A494" s="355"/>
      <c r="B494" s="301"/>
      <c r="C494" s="302"/>
      <c r="D494" s="303"/>
      <c r="E494" s="258" t="s">
        <v>458</v>
      </c>
      <c r="F494" s="356"/>
      <c r="G494" s="185"/>
      <c r="H494" s="269"/>
      <c r="I494" s="222"/>
      <c r="J494" s="223"/>
    </row>
    <row r="495" spans="1:13" s="224" customFormat="1">
      <c r="A495" s="355"/>
      <c r="B495" s="301"/>
      <c r="C495" s="302"/>
      <c r="D495" s="303"/>
      <c r="E495" s="195" t="s">
        <v>462</v>
      </c>
      <c r="F495" s="270">
        <f>209*0.15</f>
        <v>31.349999999999998</v>
      </c>
      <c r="G495" s="185"/>
      <c r="H495" s="269"/>
      <c r="I495" s="225"/>
      <c r="J495" s="226"/>
    </row>
    <row r="496" spans="1:13" s="224" customFormat="1">
      <c r="A496" s="355"/>
      <c r="B496" s="301"/>
      <c r="C496" s="302"/>
      <c r="D496" s="303"/>
      <c r="E496" s="195" t="s">
        <v>463</v>
      </c>
      <c r="F496" s="304">
        <f>6*0.15</f>
        <v>0.89999999999999991</v>
      </c>
      <c r="G496" s="185"/>
      <c r="H496" s="269"/>
      <c r="I496" s="222"/>
      <c r="J496" s="223"/>
    </row>
    <row r="497" spans="1:12" s="224" customFormat="1">
      <c r="A497" s="355"/>
      <c r="B497" s="301"/>
      <c r="C497" s="302"/>
      <c r="D497" s="303"/>
      <c r="E497" s="307"/>
      <c r="F497" s="31">
        <f>SUM(F495:F496)</f>
        <v>32.25</v>
      </c>
      <c r="G497" s="185"/>
      <c r="H497" s="269"/>
      <c r="I497" s="225"/>
      <c r="J497" s="226"/>
    </row>
    <row r="498" spans="1:12" s="224" customFormat="1">
      <c r="A498" s="355"/>
      <c r="B498" s="301"/>
      <c r="C498" s="302"/>
      <c r="D498" s="303"/>
      <c r="E498" s="307" t="s">
        <v>464</v>
      </c>
      <c r="F498" s="356"/>
      <c r="G498" s="185"/>
      <c r="H498" s="269"/>
      <c r="I498" s="222"/>
      <c r="J498" s="223"/>
    </row>
    <row r="499" spans="1:12" s="224" customFormat="1" ht="15.75">
      <c r="A499" s="355"/>
      <c r="B499" s="301"/>
      <c r="C499" s="302"/>
      <c r="D499" s="303"/>
      <c r="E499" s="258" t="s">
        <v>465</v>
      </c>
      <c r="F499" s="356"/>
      <c r="G499" s="185"/>
      <c r="H499" s="269"/>
      <c r="I499" s="225"/>
      <c r="J499" s="226"/>
    </row>
    <row r="500" spans="1:12" s="224" customFormat="1">
      <c r="A500" s="355"/>
      <c r="B500" s="301"/>
      <c r="C500" s="302"/>
      <c r="D500" s="303"/>
      <c r="E500" s="195" t="s">
        <v>466</v>
      </c>
      <c r="F500" s="270">
        <f>131*0.1</f>
        <v>13.100000000000001</v>
      </c>
      <c r="G500" s="185"/>
      <c r="H500" s="269"/>
      <c r="I500" s="222"/>
      <c r="J500" s="223"/>
    </row>
    <row r="501" spans="1:12" s="224" customFormat="1">
      <c r="A501" s="355"/>
      <c r="B501" s="301"/>
      <c r="C501" s="302"/>
      <c r="D501" s="303"/>
      <c r="E501" s="195" t="s">
        <v>467</v>
      </c>
      <c r="F501" s="304">
        <f>196*0.1</f>
        <v>19.600000000000001</v>
      </c>
      <c r="G501" s="185"/>
      <c r="H501" s="269"/>
      <c r="I501" s="225"/>
      <c r="J501" s="226"/>
    </row>
    <row r="502" spans="1:12" s="224" customFormat="1">
      <c r="A502" s="355"/>
      <c r="B502" s="301"/>
      <c r="C502" s="302"/>
      <c r="D502" s="303"/>
      <c r="E502" s="358"/>
      <c r="F502" s="31">
        <f>SUM(F500:F501)</f>
        <v>32.700000000000003</v>
      </c>
      <c r="G502" s="185"/>
      <c r="H502" s="269"/>
      <c r="I502" s="222"/>
      <c r="J502" s="223"/>
    </row>
    <row r="503" spans="1:12" s="224" customFormat="1">
      <c r="A503" s="355"/>
      <c r="B503" s="301"/>
      <c r="C503" s="302"/>
      <c r="D503" s="303"/>
      <c r="E503" s="342" t="s">
        <v>117</v>
      </c>
      <c r="F503" s="361">
        <f>F492+F497+F502</f>
        <v>368.99999999999994</v>
      </c>
      <c r="G503" s="185"/>
      <c r="H503" s="269"/>
      <c r="I503" s="225"/>
      <c r="J503" s="226"/>
    </row>
    <row r="504" spans="1:12" s="224" customFormat="1">
      <c r="A504" s="355"/>
      <c r="B504" s="301"/>
      <c r="C504" s="302"/>
      <c r="D504" s="303"/>
      <c r="E504" s="358"/>
      <c r="F504" s="356"/>
      <c r="G504" s="185"/>
      <c r="H504" s="269"/>
      <c r="I504" s="222"/>
      <c r="J504" s="223"/>
    </row>
    <row r="505" spans="1:12" s="224" customFormat="1">
      <c r="A505" s="355"/>
      <c r="B505" s="301"/>
      <c r="C505" s="302"/>
      <c r="D505" s="303"/>
      <c r="E505" s="358"/>
      <c r="F505" s="356"/>
      <c r="G505" s="185"/>
      <c r="H505" s="269"/>
      <c r="I505" s="225"/>
      <c r="J505" s="226"/>
    </row>
    <row r="506" spans="1:12" s="224" customFormat="1" ht="25.5">
      <c r="A506" s="25">
        <f>MAX(A$1:A493)+1</f>
        <v>53</v>
      </c>
      <c r="B506" s="41"/>
      <c r="C506" s="26" t="s">
        <v>83</v>
      </c>
      <c r="D506" s="27"/>
      <c r="E506" s="28" t="s">
        <v>96</v>
      </c>
      <c r="F506" s="254"/>
      <c r="G506" s="30" t="s">
        <v>2</v>
      </c>
      <c r="H506" s="59">
        <f>H507</f>
        <v>2027</v>
      </c>
      <c r="I506" s="376"/>
      <c r="J506" s="226">
        <f>H506*I506</f>
        <v>0</v>
      </c>
    </row>
    <row r="507" spans="1:12" s="224" customFormat="1" ht="25.5">
      <c r="A507" s="40"/>
      <c r="B507" s="41"/>
      <c r="C507" s="42"/>
      <c r="D507" s="33" t="s">
        <v>84</v>
      </c>
      <c r="E507" s="34" t="s">
        <v>97</v>
      </c>
      <c r="F507" s="255"/>
      <c r="G507" s="36" t="s">
        <v>2</v>
      </c>
      <c r="H507" s="58">
        <v>2027</v>
      </c>
      <c r="I507" s="225"/>
      <c r="J507" s="226"/>
    </row>
    <row r="508" spans="1:12" s="224" customFormat="1">
      <c r="A508" s="40"/>
      <c r="B508" s="41"/>
      <c r="C508" s="42"/>
      <c r="D508" s="33"/>
      <c r="E508" s="307" t="s">
        <v>363</v>
      </c>
      <c r="F508" s="255"/>
      <c r="G508" s="36"/>
      <c r="H508" s="58"/>
      <c r="I508" s="222"/>
      <c r="J508" s="223"/>
    </row>
    <row r="509" spans="1:12" s="224" customFormat="1" ht="15.75">
      <c r="A509" s="40"/>
      <c r="B509" s="41"/>
      <c r="C509" s="42"/>
      <c r="D509" s="296"/>
      <c r="E509" s="258" t="s">
        <v>468</v>
      </c>
      <c r="F509" s="31"/>
      <c r="G509" s="24"/>
      <c r="H509" s="58"/>
      <c r="I509" s="225"/>
      <c r="J509" s="226"/>
    </row>
    <row r="510" spans="1:12" s="224" customFormat="1">
      <c r="A510" s="355"/>
      <c r="B510" s="301"/>
      <c r="C510" s="302"/>
      <c r="D510" s="303"/>
      <c r="E510" s="195" t="s">
        <v>469</v>
      </c>
      <c r="F510" s="270">
        <v>1223</v>
      </c>
      <c r="G510" s="185"/>
      <c r="H510" s="269"/>
      <c r="I510" s="222"/>
      <c r="J510" s="223"/>
    </row>
    <row r="511" spans="1:12" s="224" customFormat="1">
      <c r="A511" s="355"/>
      <c r="B511" s="301"/>
      <c r="C511" s="302"/>
      <c r="D511" s="303"/>
      <c r="E511" s="195" t="s">
        <v>470</v>
      </c>
      <c r="F511" s="270">
        <v>628</v>
      </c>
      <c r="G511" s="185"/>
      <c r="H511" s="269"/>
      <c r="I511" s="225"/>
      <c r="J511" s="226"/>
      <c r="K511" s="362"/>
      <c r="L511" s="362"/>
    </row>
    <row r="512" spans="1:12" s="224" customFormat="1">
      <c r="A512" s="355"/>
      <c r="B512" s="301"/>
      <c r="C512" s="302"/>
      <c r="D512" s="303"/>
      <c r="E512" s="195" t="s">
        <v>471</v>
      </c>
      <c r="F512" s="304">
        <v>176</v>
      </c>
      <c r="G512" s="185"/>
      <c r="H512" s="269"/>
      <c r="I512" s="222"/>
      <c r="J512" s="223"/>
    </row>
    <row r="513" spans="1:13" s="224" customFormat="1">
      <c r="A513" s="355"/>
      <c r="B513" s="301"/>
      <c r="C513" s="302"/>
      <c r="D513" s="303"/>
      <c r="E513" s="305"/>
      <c r="F513" s="270">
        <f>SUM(F510:F512)</f>
        <v>2027</v>
      </c>
      <c r="G513" s="185"/>
      <c r="H513" s="269"/>
      <c r="I513" s="225"/>
      <c r="J513" s="226"/>
    </row>
    <row r="514" spans="1:13" s="224" customFormat="1">
      <c r="A514" s="355"/>
      <c r="B514" s="301"/>
      <c r="C514" s="302"/>
      <c r="D514" s="303"/>
      <c r="E514" s="247"/>
      <c r="F514" s="356"/>
      <c r="G514" s="185"/>
      <c r="H514" s="269"/>
      <c r="I514" s="222"/>
      <c r="J514" s="223"/>
    </row>
    <row r="515" spans="1:13" s="224" customFormat="1" ht="25.5">
      <c r="A515" s="25">
        <f>MAX(A$1:A514)+1</f>
        <v>54</v>
      </c>
      <c r="B515" s="41"/>
      <c r="C515" s="26" t="s">
        <v>98</v>
      </c>
      <c r="D515" s="27"/>
      <c r="E515" s="28" t="s">
        <v>99</v>
      </c>
      <c r="F515" s="254"/>
      <c r="G515" s="30" t="s">
        <v>8</v>
      </c>
      <c r="H515" s="59">
        <f>H516</f>
        <v>101.35</v>
      </c>
      <c r="I515" s="376"/>
      <c r="J515" s="226">
        <f>H515*I515</f>
        <v>0</v>
      </c>
    </row>
    <row r="516" spans="1:13" s="224" customFormat="1" ht="25.5">
      <c r="A516" s="40"/>
      <c r="B516" s="41"/>
      <c r="C516" s="39"/>
      <c r="D516" s="33" t="s">
        <v>472</v>
      </c>
      <c r="E516" s="34" t="s">
        <v>473</v>
      </c>
      <c r="F516" s="255"/>
      <c r="G516" s="36" t="s">
        <v>8</v>
      </c>
      <c r="H516" s="58">
        <v>101.35</v>
      </c>
      <c r="I516" s="222"/>
      <c r="J516" s="223"/>
      <c r="L516" s="156"/>
      <c r="M516" s="7"/>
    </row>
    <row r="517" spans="1:13" s="224" customFormat="1">
      <c r="A517" s="40"/>
      <c r="B517" s="41"/>
      <c r="C517" s="39"/>
      <c r="D517" s="33"/>
      <c r="E517" s="307" t="s">
        <v>363</v>
      </c>
      <c r="F517" s="255"/>
      <c r="G517" s="36"/>
      <c r="H517" s="58"/>
      <c r="I517" s="225"/>
      <c r="J517" s="226"/>
      <c r="M517" s="300"/>
    </row>
    <row r="518" spans="1:13" s="224" customFormat="1">
      <c r="A518" s="355"/>
      <c r="B518" s="301"/>
      <c r="C518" s="302"/>
      <c r="D518" s="303"/>
      <c r="E518" s="258" t="s">
        <v>474</v>
      </c>
      <c r="F518" s="279"/>
      <c r="G518" s="185"/>
      <c r="H518" s="269"/>
      <c r="I518" s="222"/>
      <c r="J518" s="223"/>
    </row>
    <row r="519" spans="1:13" s="224" customFormat="1">
      <c r="A519" s="355"/>
      <c r="B519" s="301"/>
      <c r="C519" s="302"/>
      <c r="D519" s="303"/>
      <c r="E519" s="195" t="s">
        <v>475</v>
      </c>
      <c r="F519" s="270">
        <f>1223*0.05</f>
        <v>61.150000000000006</v>
      </c>
      <c r="G519" s="185"/>
      <c r="H519" s="269"/>
      <c r="I519" s="225"/>
      <c r="J519" s="226"/>
    </row>
    <row r="520" spans="1:13" s="224" customFormat="1">
      <c r="A520" s="355"/>
      <c r="B520" s="301"/>
      <c r="C520" s="302"/>
      <c r="D520" s="303"/>
      <c r="E520" s="195" t="s">
        <v>476</v>
      </c>
      <c r="F520" s="270">
        <f>628*0.05</f>
        <v>31.400000000000002</v>
      </c>
      <c r="G520" s="185"/>
      <c r="H520" s="269"/>
      <c r="I520" s="222"/>
      <c r="J520" s="223"/>
    </row>
    <row r="521" spans="1:13" s="224" customFormat="1">
      <c r="A521" s="355"/>
      <c r="B521" s="301"/>
      <c r="C521" s="302"/>
      <c r="D521" s="303"/>
      <c r="E521" s="195" t="s">
        <v>477</v>
      </c>
      <c r="F521" s="304">
        <f>176*0.05</f>
        <v>8.8000000000000007</v>
      </c>
      <c r="G521" s="185"/>
      <c r="H521" s="269"/>
      <c r="I521" s="225"/>
      <c r="J521" s="226"/>
    </row>
    <row r="522" spans="1:13" s="224" customFormat="1">
      <c r="A522" s="355"/>
      <c r="B522" s="301"/>
      <c r="C522" s="302"/>
      <c r="D522" s="303"/>
      <c r="E522" s="305"/>
      <c r="F522" s="270">
        <f>SUM(F519:F521)</f>
        <v>101.35000000000001</v>
      </c>
      <c r="G522" s="185"/>
      <c r="H522" s="269"/>
      <c r="I522" s="222"/>
      <c r="J522" s="223"/>
    </row>
    <row r="523" spans="1:13" s="224" customFormat="1">
      <c r="A523" s="355"/>
      <c r="B523" s="301"/>
      <c r="C523" s="302"/>
      <c r="D523" s="303"/>
      <c r="E523" s="363"/>
      <c r="F523" s="279"/>
      <c r="G523" s="185"/>
      <c r="H523" s="269"/>
      <c r="I523" s="225"/>
      <c r="J523" s="226"/>
    </row>
    <row r="524" spans="1:13" s="224" customFormat="1" ht="25.5">
      <c r="A524" s="355"/>
      <c r="B524" s="280" t="s">
        <v>147</v>
      </c>
      <c r="C524" s="280"/>
      <c r="D524" s="282"/>
      <c r="E524" s="251" t="s">
        <v>148</v>
      </c>
      <c r="F524" s="279"/>
      <c r="G524" s="185"/>
      <c r="H524" s="269"/>
      <c r="I524" s="222"/>
      <c r="J524" s="223"/>
    </row>
    <row r="525" spans="1:13" s="224" customFormat="1">
      <c r="A525" s="355"/>
      <c r="B525" s="301"/>
      <c r="C525" s="302"/>
      <c r="D525" s="303"/>
      <c r="E525" s="363"/>
      <c r="F525" s="279"/>
      <c r="G525" s="185"/>
      <c r="H525" s="269"/>
      <c r="I525" s="225"/>
      <c r="J525" s="226"/>
    </row>
    <row r="526" spans="1:13" s="224" customFormat="1" ht="25.5">
      <c r="A526" s="25">
        <f>MAX(A$1:A525)+1</f>
        <v>55</v>
      </c>
      <c r="B526" s="301"/>
      <c r="C526" s="26" t="s">
        <v>478</v>
      </c>
      <c r="D526" s="27"/>
      <c r="E526" s="28" t="s">
        <v>479</v>
      </c>
      <c r="F526" s="29"/>
      <c r="G526" s="30" t="s">
        <v>1</v>
      </c>
      <c r="H526" s="59">
        <v>4</v>
      </c>
      <c r="I526" s="376"/>
      <c r="J526" s="226">
        <f>H526*I526</f>
        <v>0</v>
      </c>
    </row>
    <row r="527" spans="1:13" s="224" customFormat="1">
      <c r="A527" s="355"/>
      <c r="B527" s="301"/>
      <c r="C527" s="302"/>
      <c r="D527" s="303"/>
      <c r="E527" s="258" t="s">
        <v>480</v>
      </c>
      <c r="F527" s="279"/>
      <c r="G527" s="185"/>
      <c r="H527" s="269"/>
      <c r="I527" s="225"/>
      <c r="J527" s="226"/>
    </row>
    <row r="528" spans="1:13" s="224" customFormat="1">
      <c r="A528" s="355"/>
      <c r="B528" s="301"/>
      <c r="C528" s="302"/>
      <c r="D528" s="303"/>
      <c r="E528" s="237" t="s">
        <v>265</v>
      </c>
      <c r="F528" s="238">
        <v>2</v>
      </c>
      <c r="G528" s="185"/>
      <c r="H528" s="269"/>
      <c r="I528" s="222"/>
      <c r="J528" s="223"/>
    </row>
    <row r="529" spans="1:10" s="224" customFormat="1">
      <c r="A529" s="355"/>
      <c r="B529" s="301"/>
      <c r="C529" s="302"/>
      <c r="D529" s="303"/>
      <c r="E529" s="237" t="s">
        <v>383</v>
      </c>
      <c r="F529" s="319">
        <v>2</v>
      </c>
      <c r="G529" s="185"/>
      <c r="H529" s="269"/>
      <c r="I529" s="225"/>
      <c r="J529" s="226"/>
    </row>
    <row r="530" spans="1:10" s="224" customFormat="1">
      <c r="A530" s="355"/>
      <c r="B530" s="301"/>
      <c r="C530" s="302"/>
      <c r="D530" s="303"/>
      <c r="E530" s="363"/>
      <c r="F530" s="238">
        <f>SUM(F528:F529)</f>
        <v>4</v>
      </c>
      <c r="G530" s="185"/>
      <c r="H530" s="269"/>
      <c r="I530" s="222"/>
      <c r="J530" s="223"/>
    </row>
    <row r="531" spans="1:10" s="224" customFormat="1">
      <c r="A531" s="355"/>
      <c r="B531" s="301"/>
      <c r="C531" s="302"/>
      <c r="D531" s="303"/>
      <c r="E531" s="363"/>
      <c r="F531" s="279"/>
      <c r="G531" s="185"/>
      <c r="H531" s="269"/>
      <c r="I531" s="225"/>
      <c r="J531" s="226"/>
    </row>
    <row r="532" spans="1:10" s="224" customFormat="1">
      <c r="A532" s="25">
        <f>MAX(A$1:A531)+1</f>
        <v>56</v>
      </c>
      <c r="B532" s="301"/>
      <c r="C532" s="26" t="s">
        <v>481</v>
      </c>
      <c r="D532" s="27"/>
      <c r="E532" s="28" t="s">
        <v>482</v>
      </c>
      <c r="F532" s="254"/>
      <c r="G532" s="30" t="s">
        <v>8</v>
      </c>
      <c r="H532" s="59">
        <f>H533</f>
        <v>4</v>
      </c>
      <c r="I532" s="376"/>
      <c r="J532" s="226">
        <f>H532*I532</f>
        <v>0</v>
      </c>
    </row>
    <row r="533" spans="1:10" s="224" customFormat="1">
      <c r="A533" s="355"/>
      <c r="B533" s="301"/>
      <c r="C533" s="39"/>
      <c r="D533" s="33" t="s">
        <v>483</v>
      </c>
      <c r="E533" s="34" t="s">
        <v>484</v>
      </c>
      <c r="F533" s="255"/>
      <c r="G533" s="36" t="s">
        <v>8</v>
      </c>
      <c r="H533" s="58">
        <v>4</v>
      </c>
      <c r="I533" s="225"/>
      <c r="J533" s="226"/>
    </row>
    <row r="534" spans="1:10" s="224" customFormat="1">
      <c r="A534" s="355"/>
      <c r="B534" s="301"/>
      <c r="C534" s="39"/>
      <c r="D534" s="33"/>
      <c r="E534" s="195" t="s">
        <v>485</v>
      </c>
      <c r="F534" s="233"/>
      <c r="G534" s="36"/>
      <c r="H534" s="58"/>
      <c r="I534" s="222"/>
      <c r="J534" s="223"/>
    </row>
    <row r="535" spans="1:10" s="224" customFormat="1">
      <c r="A535" s="355"/>
      <c r="B535" s="301"/>
      <c r="C535" s="302"/>
      <c r="D535" s="303"/>
      <c r="E535" s="237" t="s">
        <v>265</v>
      </c>
      <c r="F535" s="238">
        <v>2</v>
      </c>
      <c r="G535" s="185"/>
      <c r="H535" s="269"/>
      <c r="I535" s="225"/>
      <c r="J535" s="226"/>
    </row>
    <row r="536" spans="1:10" s="224" customFormat="1">
      <c r="A536" s="355"/>
      <c r="B536" s="301"/>
      <c r="C536" s="302"/>
      <c r="D536" s="303"/>
      <c r="E536" s="237" t="s">
        <v>383</v>
      </c>
      <c r="F536" s="319">
        <v>2</v>
      </c>
      <c r="G536" s="185"/>
      <c r="H536" s="269"/>
      <c r="I536" s="222"/>
      <c r="J536" s="223"/>
    </row>
    <row r="537" spans="1:10" s="224" customFormat="1">
      <c r="A537" s="355"/>
      <c r="B537" s="301"/>
      <c r="C537" s="302"/>
      <c r="D537" s="303"/>
      <c r="E537" s="363"/>
      <c r="F537" s="238">
        <f>SUM(F535:F536)</f>
        <v>4</v>
      </c>
      <c r="G537" s="185"/>
      <c r="H537" s="269"/>
      <c r="I537" s="225"/>
      <c r="J537" s="226"/>
    </row>
    <row r="538" spans="1:10" s="224" customFormat="1">
      <c r="A538" s="355"/>
      <c r="B538" s="301"/>
      <c r="C538" s="302"/>
      <c r="D538" s="303"/>
      <c r="E538" s="363"/>
      <c r="F538" s="238"/>
      <c r="G538" s="185"/>
      <c r="H538" s="269"/>
      <c r="I538" s="222"/>
      <c r="J538" s="223"/>
    </row>
    <row r="539" spans="1:10" s="224" customFormat="1">
      <c r="A539" s="355"/>
      <c r="B539" s="301"/>
      <c r="C539" s="302"/>
      <c r="D539" s="303"/>
      <c r="E539" s="363"/>
      <c r="F539" s="238"/>
      <c r="G539" s="185"/>
      <c r="H539" s="269"/>
      <c r="I539" s="225"/>
      <c r="J539" s="226"/>
    </row>
    <row r="540" spans="1:10" s="224" customFormat="1">
      <c r="A540" s="355"/>
      <c r="B540" s="280" t="s">
        <v>149</v>
      </c>
      <c r="C540" s="280"/>
      <c r="D540" s="282"/>
      <c r="E540" s="251" t="s">
        <v>150</v>
      </c>
      <c r="F540" s="279"/>
      <c r="G540" s="185"/>
      <c r="H540" s="269"/>
      <c r="I540" s="222"/>
      <c r="J540" s="223"/>
    </row>
    <row r="541" spans="1:10" s="224" customFormat="1">
      <c r="A541" s="355"/>
      <c r="B541" s="301"/>
      <c r="C541" s="302"/>
      <c r="D541" s="303"/>
      <c r="E541" s="363"/>
      <c r="F541" s="279"/>
      <c r="G541" s="185"/>
      <c r="H541" s="269"/>
      <c r="I541" s="225"/>
      <c r="J541" s="226"/>
    </row>
    <row r="542" spans="1:10" s="224" customFormat="1" ht="25.5">
      <c r="A542" s="25">
        <f>MAX(A$1:A541)+1</f>
        <v>57</v>
      </c>
      <c r="B542" s="105"/>
      <c r="C542" s="93" t="s">
        <v>151</v>
      </c>
      <c r="D542" s="94"/>
      <c r="E542" s="95" t="s">
        <v>152</v>
      </c>
      <c r="F542" s="96"/>
      <c r="G542" s="97" t="s">
        <v>2</v>
      </c>
      <c r="H542" s="98">
        <f>H543+H547</f>
        <v>30.92</v>
      </c>
      <c r="I542" s="376"/>
      <c r="J542" s="226">
        <f>H542*I542</f>
        <v>0</v>
      </c>
    </row>
    <row r="543" spans="1:10" s="224" customFormat="1" ht="25.5">
      <c r="A543" s="106"/>
      <c r="B543" s="105"/>
      <c r="C543" s="93"/>
      <c r="D543" s="100" t="s">
        <v>153</v>
      </c>
      <c r="E543" s="101" t="s">
        <v>154</v>
      </c>
      <c r="F543" s="102"/>
      <c r="G543" s="103" t="s">
        <v>2</v>
      </c>
      <c r="H543" s="104">
        <v>7.92</v>
      </c>
      <c r="I543" s="225"/>
      <c r="J543" s="226"/>
    </row>
    <row r="544" spans="1:10" s="224" customFormat="1">
      <c r="A544" s="106"/>
      <c r="B544" s="105"/>
      <c r="C544" s="93"/>
      <c r="D544" s="100"/>
      <c r="E544" s="258" t="s">
        <v>486</v>
      </c>
      <c r="F544" s="102"/>
      <c r="G544" s="103"/>
      <c r="H544" s="104"/>
      <c r="I544" s="222"/>
      <c r="J544" s="223"/>
    </row>
    <row r="545" spans="1:10" s="224" customFormat="1">
      <c r="A545" s="40"/>
      <c r="B545" s="41"/>
      <c r="C545" s="42"/>
      <c r="D545" s="296"/>
      <c r="E545" s="107" t="s">
        <v>487</v>
      </c>
      <c r="F545" s="270"/>
      <c r="G545" s="24"/>
      <c r="H545" s="58"/>
      <c r="I545" s="225"/>
      <c r="J545" s="226"/>
    </row>
    <row r="546" spans="1:10" s="224" customFormat="1">
      <c r="A546" s="40"/>
      <c r="B546" s="41"/>
      <c r="C546" s="42"/>
      <c r="D546" s="296"/>
      <c r="E546" s="108" t="s">
        <v>488</v>
      </c>
      <c r="F546" s="109">
        <f>2*3.96</f>
        <v>7.92</v>
      </c>
      <c r="G546" s="24"/>
      <c r="H546" s="58"/>
      <c r="I546" s="222"/>
      <c r="J546" s="223"/>
    </row>
    <row r="547" spans="1:10" s="224" customFormat="1" ht="25.5">
      <c r="A547" s="40"/>
      <c r="B547" s="41"/>
      <c r="C547" s="42"/>
      <c r="D547" s="100" t="s">
        <v>155</v>
      </c>
      <c r="E547" s="101" t="s">
        <v>156</v>
      </c>
      <c r="F547" s="102"/>
      <c r="G547" s="103" t="s">
        <v>2</v>
      </c>
      <c r="H547" s="104">
        <v>23</v>
      </c>
      <c r="I547" s="225"/>
      <c r="J547" s="226"/>
    </row>
    <row r="548" spans="1:10" s="224" customFormat="1">
      <c r="A548" s="40"/>
      <c r="B548" s="41"/>
      <c r="C548" s="42"/>
      <c r="D548" s="100"/>
      <c r="E548" s="258" t="s">
        <v>489</v>
      </c>
      <c r="F548" s="102"/>
      <c r="G548" s="103"/>
      <c r="H548" s="104"/>
      <c r="I548" s="222"/>
      <c r="J548" s="223"/>
    </row>
    <row r="549" spans="1:10" s="224" customFormat="1">
      <c r="A549" s="40"/>
      <c r="B549" s="41"/>
      <c r="C549" s="42"/>
      <c r="D549" s="296"/>
      <c r="E549" s="107" t="s">
        <v>487</v>
      </c>
      <c r="F549" s="270"/>
      <c r="G549" s="24"/>
      <c r="H549" s="58"/>
      <c r="I549" s="225"/>
      <c r="J549" s="226"/>
    </row>
    <row r="550" spans="1:10" s="224" customFormat="1">
      <c r="A550" s="40"/>
      <c r="B550" s="41"/>
      <c r="C550" s="42"/>
      <c r="D550" s="296"/>
      <c r="E550" s="108" t="s">
        <v>490</v>
      </c>
      <c r="F550" s="109">
        <f>2*11.5</f>
        <v>23</v>
      </c>
      <c r="G550" s="24"/>
      <c r="H550" s="58"/>
      <c r="I550" s="222"/>
      <c r="J550" s="223"/>
    </row>
    <row r="551" spans="1:10" s="224" customFormat="1">
      <c r="A551" s="40"/>
      <c r="B551" s="41"/>
      <c r="C551" s="42"/>
      <c r="D551" s="296"/>
      <c r="E551" s="364"/>
      <c r="F551" s="270"/>
      <c r="G551" s="24"/>
      <c r="H551" s="58"/>
      <c r="I551" s="225"/>
      <c r="J551" s="226"/>
    </row>
    <row r="552" spans="1:10" s="224" customFormat="1">
      <c r="A552" s="355"/>
      <c r="B552" s="301"/>
      <c r="C552" s="302"/>
      <c r="D552" s="303"/>
      <c r="E552" s="363"/>
      <c r="F552" s="279"/>
      <c r="G552" s="185"/>
      <c r="H552" s="269"/>
      <c r="I552" s="222"/>
      <c r="J552" s="223"/>
    </row>
    <row r="553" spans="1:10" s="224" customFormat="1">
      <c r="A553" s="40"/>
      <c r="B553" s="280" t="s">
        <v>9</v>
      </c>
      <c r="C553" s="280"/>
      <c r="D553" s="282"/>
      <c r="E553" s="251" t="s">
        <v>10</v>
      </c>
      <c r="F553" s="298"/>
      <c r="G553" s="285"/>
      <c r="H553" s="58"/>
      <c r="I553" s="225"/>
      <c r="J553" s="226"/>
    </row>
    <row r="554" spans="1:10" s="224" customFormat="1">
      <c r="A554" s="40"/>
      <c r="B554" s="41"/>
      <c r="C554" s="42"/>
      <c r="D554" s="296"/>
      <c r="E554" s="364"/>
      <c r="F554" s="270"/>
      <c r="G554" s="24"/>
      <c r="H554" s="58"/>
      <c r="I554" s="222"/>
      <c r="J554" s="223"/>
    </row>
    <row r="555" spans="1:10" s="224" customFormat="1" ht="25.5">
      <c r="A555" s="25">
        <f>MAX(A$1:A554)+1</f>
        <v>58</v>
      </c>
      <c r="B555" s="41"/>
      <c r="C555" s="26" t="s">
        <v>491</v>
      </c>
      <c r="D555" s="27"/>
      <c r="E555" s="28" t="s">
        <v>492</v>
      </c>
      <c r="F555" s="254"/>
      <c r="G555" s="30" t="s">
        <v>8</v>
      </c>
      <c r="H555" s="59">
        <f>H556</f>
        <v>29.6</v>
      </c>
      <c r="I555" s="376"/>
      <c r="J555" s="226">
        <f>H555*I555</f>
        <v>0</v>
      </c>
    </row>
    <row r="556" spans="1:10" s="224" customFormat="1" ht="25.5">
      <c r="A556" s="40"/>
      <c r="B556" s="41"/>
      <c r="C556" s="39"/>
      <c r="D556" s="33" t="s">
        <v>493</v>
      </c>
      <c r="E556" s="34" t="s">
        <v>494</v>
      </c>
      <c r="F556" s="255"/>
      <c r="G556" s="36" t="s">
        <v>8</v>
      </c>
      <c r="H556" s="58">
        <v>29.6</v>
      </c>
      <c r="I556" s="222"/>
      <c r="J556" s="223"/>
    </row>
    <row r="557" spans="1:10" s="224" customFormat="1">
      <c r="A557" s="40"/>
      <c r="B557" s="41"/>
      <c r="C557" s="42"/>
      <c r="D557" s="296"/>
      <c r="E557" s="258" t="s">
        <v>495</v>
      </c>
      <c r="F557" s="233"/>
      <c r="G557" s="24"/>
      <c r="H557" s="58"/>
      <c r="I557" s="225"/>
      <c r="J557" s="226"/>
    </row>
    <row r="558" spans="1:10" s="224" customFormat="1">
      <c r="A558" s="40"/>
      <c r="B558" s="41"/>
      <c r="C558" s="42"/>
      <c r="D558" s="296"/>
      <c r="E558" s="195" t="s">
        <v>496</v>
      </c>
      <c r="F558" s="233">
        <f>148*0.2</f>
        <v>29.6</v>
      </c>
      <c r="G558" s="24"/>
      <c r="H558" s="58"/>
      <c r="I558" s="222"/>
      <c r="J558" s="223"/>
    </row>
    <row r="559" spans="1:10" s="224" customFormat="1">
      <c r="A559" s="355"/>
      <c r="B559" s="301"/>
      <c r="C559" s="302"/>
      <c r="D559" s="303"/>
      <c r="E559" s="363"/>
      <c r="F559" s="279"/>
      <c r="G559" s="185"/>
      <c r="H559" s="269"/>
      <c r="I559" s="225"/>
      <c r="J559" s="226"/>
    </row>
    <row r="560" spans="1:10" s="224" customFormat="1" ht="25.5">
      <c r="A560" s="25">
        <f>MAX(A$1:A559)+1</f>
        <v>59</v>
      </c>
      <c r="B560" s="301"/>
      <c r="C560" s="26" t="s">
        <v>497</v>
      </c>
      <c r="D560" s="27"/>
      <c r="E560" s="28" t="s">
        <v>498</v>
      </c>
      <c r="F560" s="29"/>
      <c r="G560" s="30" t="s">
        <v>8</v>
      </c>
      <c r="H560" s="59">
        <f>H561</f>
        <v>104</v>
      </c>
      <c r="I560" s="376"/>
      <c r="J560" s="226">
        <f>H560*I560</f>
        <v>0</v>
      </c>
    </row>
    <row r="561" spans="1:10" s="224" customFormat="1" ht="25.5">
      <c r="A561" s="355"/>
      <c r="B561" s="301"/>
      <c r="C561" s="302"/>
      <c r="D561" s="33" t="s">
        <v>499</v>
      </c>
      <c r="E561" s="34" t="s">
        <v>500</v>
      </c>
      <c r="F561" s="35"/>
      <c r="G561" s="36" t="s">
        <v>8</v>
      </c>
      <c r="H561" s="58">
        <v>104</v>
      </c>
      <c r="I561" s="225"/>
      <c r="J561" s="226"/>
    </row>
    <row r="562" spans="1:10" s="224" customFormat="1">
      <c r="A562" s="355"/>
      <c r="B562" s="301"/>
      <c r="C562" s="302"/>
      <c r="D562" s="303"/>
      <c r="E562" s="258" t="s">
        <v>501</v>
      </c>
      <c r="F562" s="279"/>
      <c r="G562" s="185"/>
      <c r="H562" s="269"/>
      <c r="I562" s="222"/>
      <c r="J562" s="223"/>
    </row>
    <row r="563" spans="1:10" s="224" customFormat="1">
      <c r="A563" s="355"/>
      <c r="B563" s="301"/>
      <c r="C563" s="302"/>
      <c r="D563" s="303"/>
      <c r="E563" s="237" t="s">
        <v>271</v>
      </c>
      <c r="F563" s="238">
        <f>1*2*30</f>
        <v>60</v>
      </c>
      <c r="G563" s="185"/>
      <c r="H563" s="269"/>
      <c r="I563" s="225"/>
      <c r="J563" s="226"/>
    </row>
    <row r="564" spans="1:10" s="224" customFormat="1">
      <c r="A564" s="355"/>
      <c r="B564" s="301"/>
      <c r="C564" s="302"/>
      <c r="D564" s="303"/>
      <c r="E564" s="237" t="s">
        <v>502</v>
      </c>
      <c r="F564" s="319">
        <f>1*2*22</f>
        <v>44</v>
      </c>
      <c r="G564" s="185"/>
      <c r="H564" s="269"/>
      <c r="I564" s="222"/>
      <c r="J564" s="223"/>
    </row>
    <row r="565" spans="1:10" s="224" customFormat="1">
      <c r="A565" s="355"/>
      <c r="B565" s="301"/>
      <c r="C565" s="302"/>
      <c r="D565" s="303"/>
      <c r="E565" s="363"/>
      <c r="F565" s="238">
        <f>SUM(F563:F564)</f>
        <v>104</v>
      </c>
      <c r="G565" s="185"/>
      <c r="H565" s="269"/>
      <c r="I565" s="225"/>
      <c r="J565" s="226"/>
    </row>
    <row r="566" spans="1:10" s="224" customFormat="1">
      <c r="A566" s="355"/>
      <c r="B566" s="301"/>
      <c r="C566" s="302"/>
      <c r="D566" s="303"/>
      <c r="E566" s="363"/>
      <c r="F566" s="279"/>
      <c r="G566" s="185"/>
      <c r="H566" s="269"/>
      <c r="I566" s="222"/>
      <c r="J566" s="223"/>
    </row>
    <row r="567" spans="1:10" s="224" customFormat="1" ht="25.5">
      <c r="A567" s="25">
        <f>MAX(A$1:A566)+1</f>
        <v>60</v>
      </c>
      <c r="B567" s="301"/>
      <c r="C567" s="26" t="s">
        <v>503</v>
      </c>
      <c r="D567" s="27"/>
      <c r="E567" s="28" t="s">
        <v>504</v>
      </c>
      <c r="F567" s="29"/>
      <c r="G567" s="30" t="s">
        <v>2</v>
      </c>
      <c r="H567" s="59">
        <f>H568+H573</f>
        <v>312</v>
      </c>
      <c r="I567" s="376"/>
      <c r="J567" s="226">
        <f>H567*I567</f>
        <v>0</v>
      </c>
    </row>
    <row r="568" spans="1:10" s="224" customFormat="1" ht="25.5">
      <c r="A568" s="355"/>
      <c r="B568" s="301"/>
      <c r="C568" s="39"/>
      <c r="D568" s="33" t="s">
        <v>505</v>
      </c>
      <c r="E568" s="34" t="s">
        <v>506</v>
      </c>
      <c r="F568" s="35"/>
      <c r="G568" s="36" t="s">
        <v>2</v>
      </c>
      <c r="H568" s="58">
        <v>104</v>
      </c>
      <c r="I568" s="225"/>
      <c r="J568" s="226"/>
    </row>
    <row r="569" spans="1:10" s="224" customFormat="1">
      <c r="A569" s="355"/>
      <c r="B569" s="301"/>
      <c r="C569" s="39"/>
      <c r="D569" s="33"/>
      <c r="E569" s="258" t="s">
        <v>270</v>
      </c>
      <c r="F569" s="35"/>
      <c r="G569" s="36"/>
      <c r="H569" s="269"/>
      <c r="I569" s="225"/>
      <c r="J569" s="226"/>
    </row>
    <row r="570" spans="1:10" s="224" customFormat="1">
      <c r="A570" s="355"/>
      <c r="B570" s="301"/>
      <c r="C570" s="39"/>
      <c r="D570" s="33"/>
      <c r="E570" s="237" t="s">
        <v>507</v>
      </c>
      <c r="F570" s="238">
        <f>2*1*30</f>
        <v>60</v>
      </c>
      <c r="G570" s="36"/>
      <c r="H570" s="269"/>
      <c r="I570" s="222"/>
      <c r="J570" s="226"/>
    </row>
    <row r="571" spans="1:10" s="224" customFormat="1">
      <c r="A571" s="355"/>
      <c r="B571" s="301"/>
      <c r="C571" s="39"/>
      <c r="D571" s="33"/>
      <c r="E571" s="237" t="s">
        <v>508</v>
      </c>
      <c r="F571" s="319">
        <f>2*1*22</f>
        <v>44</v>
      </c>
      <c r="G571" s="36"/>
      <c r="H571" s="269"/>
      <c r="I571" s="225"/>
      <c r="J571" s="226"/>
    </row>
    <row r="572" spans="1:10" s="224" customFormat="1">
      <c r="A572" s="355"/>
      <c r="B572" s="301"/>
      <c r="C572" s="39"/>
      <c r="D572" s="33"/>
      <c r="E572" s="363"/>
      <c r="F572" s="238">
        <f>SUM(F570:F571)</f>
        <v>104</v>
      </c>
      <c r="G572" s="36"/>
      <c r="H572" s="269"/>
      <c r="I572" s="222"/>
      <c r="J572" s="226"/>
    </row>
    <row r="573" spans="1:10" s="224" customFormat="1" ht="38.25">
      <c r="A573" s="355"/>
      <c r="B573" s="301"/>
      <c r="C573" s="39"/>
      <c r="D573" s="33" t="s">
        <v>509</v>
      </c>
      <c r="E573" s="34" t="s">
        <v>510</v>
      </c>
      <c r="F573" s="35"/>
      <c r="G573" s="36" t="s">
        <v>2</v>
      </c>
      <c r="H573" s="58">
        <v>208</v>
      </c>
      <c r="I573" s="225"/>
      <c r="J573" s="226"/>
    </row>
    <row r="574" spans="1:10" s="224" customFormat="1">
      <c r="A574" s="355"/>
      <c r="B574" s="301"/>
      <c r="C574" s="302"/>
      <c r="D574" s="303"/>
      <c r="E574" s="258" t="s">
        <v>270</v>
      </c>
      <c r="F574" s="35"/>
      <c r="G574" s="185"/>
      <c r="H574" s="269"/>
      <c r="I574" s="222"/>
      <c r="J574" s="223"/>
    </row>
    <row r="575" spans="1:10" s="224" customFormat="1">
      <c r="A575" s="355"/>
      <c r="B575" s="301"/>
      <c r="C575" s="302"/>
      <c r="D575" s="303"/>
      <c r="E575" s="237" t="s">
        <v>511</v>
      </c>
      <c r="F575" s="238">
        <f>2*2*30</f>
        <v>120</v>
      </c>
      <c r="G575" s="185"/>
      <c r="H575" s="269"/>
      <c r="I575" s="225"/>
      <c r="J575" s="226"/>
    </row>
    <row r="576" spans="1:10" s="224" customFormat="1">
      <c r="A576" s="355"/>
      <c r="B576" s="301"/>
      <c r="C576" s="302"/>
      <c r="D576" s="303"/>
      <c r="E576" s="237" t="s">
        <v>512</v>
      </c>
      <c r="F576" s="319">
        <f>2*2*22</f>
        <v>88</v>
      </c>
      <c r="G576" s="185"/>
      <c r="H576" s="269"/>
      <c r="I576" s="222"/>
      <c r="J576" s="223"/>
    </row>
    <row r="577" spans="1:10" s="224" customFormat="1">
      <c r="A577" s="355"/>
      <c r="B577" s="301"/>
      <c r="C577" s="302"/>
      <c r="D577" s="303"/>
      <c r="E577" s="363"/>
      <c r="F577" s="238">
        <f>SUM(F575:F576)</f>
        <v>208</v>
      </c>
      <c r="G577" s="185"/>
      <c r="H577" s="269"/>
      <c r="I577" s="225"/>
      <c r="J577" s="226"/>
    </row>
    <row r="578" spans="1:10" s="224" customFormat="1">
      <c r="A578" s="355"/>
      <c r="B578" s="301"/>
      <c r="C578" s="302"/>
      <c r="D578" s="303"/>
      <c r="E578" s="363"/>
      <c r="F578" s="279"/>
      <c r="G578" s="185"/>
      <c r="H578" s="269"/>
      <c r="I578" s="222"/>
      <c r="J578" s="223"/>
    </row>
    <row r="579" spans="1:10" s="224" customFormat="1" ht="25.5">
      <c r="A579" s="25">
        <f>MAX(A$1:A578)+1</f>
        <v>61</v>
      </c>
      <c r="B579" s="41"/>
      <c r="C579" s="26" t="s">
        <v>513</v>
      </c>
      <c r="D579" s="27"/>
      <c r="E579" s="28" t="s">
        <v>514</v>
      </c>
      <c r="F579" s="254"/>
      <c r="G579" s="30" t="s">
        <v>8</v>
      </c>
      <c r="H579" s="59">
        <f>H580</f>
        <v>5.7</v>
      </c>
      <c r="I579" s="376"/>
      <c r="J579" s="226">
        <f>H579*I579</f>
        <v>0</v>
      </c>
    </row>
    <row r="580" spans="1:10" s="224" customFormat="1" ht="25.5">
      <c r="A580" s="40"/>
      <c r="B580" s="41"/>
      <c r="C580" s="39"/>
      <c r="D580" s="33" t="s">
        <v>515</v>
      </c>
      <c r="E580" s="34" t="s">
        <v>516</v>
      </c>
      <c r="F580" s="255"/>
      <c r="G580" s="36" t="s">
        <v>8</v>
      </c>
      <c r="H580" s="58">
        <v>5.7</v>
      </c>
      <c r="I580" s="222"/>
      <c r="J580" s="223"/>
    </row>
    <row r="581" spans="1:10" s="224" customFormat="1">
      <c r="A581" s="40"/>
      <c r="B581" s="41"/>
      <c r="C581" s="42"/>
      <c r="D581" s="296"/>
      <c r="E581" s="258" t="s">
        <v>517</v>
      </c>
      <c r="F581" s="233"/>
      <c r="G581" s="24"/>
      <c r="H581" s="58"/>
      <c r="I581" s="225"/>
      <c r="J581" s="226"/>
    </row>
    <row r="582" spans="1:10" s="224" customFormat="1">
      <c r="A582" s="40"/>
      <c r="B582" s="41"/>
      <c r="C582" s="42"/>
      <c r="D582" s="296"/>
      <c r="E582" s="195" t="s">
        <v>518</v>
      </c>
      <c r="F582" s="233">
        <f>148*0.5*0.07*1.1</f>
        <v>5.6980000000000013</v>
      </c>
      <c r="G582" s="24"/>
      <c r="H582" s="58"/>
      <c r="I582" s="222"/>
      <c r="J582" s="223"/>
    </row>
    <row r="583" spans="1:10" s="224" customFormat="1">
      <c r="A583" s="355"/>
      <c r="B583" s="301"/>
      <c r="C583" s="302"/>
      <c r="D583" s="303"/>
      <c r="E583" s="363"/>
      <c r="F583" s="279"/>
      <c r="G583" s="185"/>
      <c r="H583" s="269"/>
      <c r="I583" s="225"/>
      <c r="J583" s="226"/>
    </row>
    <row r="584" spans="1:10" s="224" customFormat="1">
      <c r="A584" s="355"/>
      <c r="B584" s="301"/>
      <c r="C584" s="302"/>
      <c r="D584" s="303"/>
      <c r="E584" s="363"/>
      <c r="F584" s="279"/>
      <c r="G584" s="185"/>
      <c r="H584" s="269"/>
      <c r="I584" s="222"/>
      <c r="J584" s="223"/>
    </row>
    <row r="585" spans="1:10" s="224" customFormat="1" ht="25.5">
      <c r="A585" s="25">
        <f>MAX(A$1:A584)+1</f>
        <v>62</v>
      </c>
      <c r="B585" s="41"/>
      <c r="C585" s="26" t="s">
        <v>519</v>
      </c>
      <c r="D585" s="27"/>
      <c r="E585" s="28" t="s">
        <v>520</v>
      </c>
      <c r="F585" s="254"/>
      <c r="G585" s="30" t="s">
        <v>7</v>
      </c>
      <c r="H585" s="59">
        <f>H586</f>
        <v>148</v>
      </c>
      <c r="I585" s="376"/>
      <c r="J585" s="226">
        <f>H585*I585</f>
        <v>0</v>
      </c>
    </row>
    <row r="586" spans="1:10" s="224" customFormat="1" ht="25.5">
      <c r="A586" s="40"/>
      <c r="B586" s="41"/>
      <c r="C586" s="42"/>
      <c r="D586" s="33" t="s">
        <v>521</v>
      </c>
      <c r="E586" s="34" t="s">
        <v>522</v>
      </c>
      <c r="F586" s="255"/>
      <c r="G586" s="36" t="s">
        <v>7</v>
      </c>
      <c r="H586" s="58">
        <v>148</v>
      </c>
      <c r="I586" s="222"/>
      <c r="J586" s="223"/>
    </row>
    <row r="587" spans="1:10" s="224" customFormat="1">
      <c r="A587" s="40"/>
      <c r="B587" s="41"/>
      <c r="C587" s="42"/>
      <c r="D587" s="296"/>
      <c r="E587" s="195" t="s">
        <v>523</v>
      </c>
      <c r="F587" s="233">
        <v>148</v>
      </c>
      <c r="G587" s="24"/>
      <c r="H587" s="58"/>
      <c r="I587" s="225"/>
      <c r="J587" s="226"/>
    </row>
    <row r="588" spans="1:10" s="224" customFormat="1">
      <c r="A588" s="355"/>
      <c r="B588" s="301"/>
      <c r="C588" s="302"/>
      <c r="D588" s="303"/>
      <c r="E588" s="247"/>
      <c r="F588" s="260"/>
      <c r="G588" s="185"/>
      <c r="H588" s="269"/>
      <c r="I588" s="222"/>
      <c r="J588" s="223"/>
    </row>
    <row r="589" spans="1:10" s="224" customFormat="1">
      <c r="A589" s="355"/>
      <c r="B589" s="301"/>
      <c r="C589" s="302"/>
      <c r="D589" s="303"/>
      <c r="E589" s="247"/>
      <c r="F589" s="260"/>
      <c r="G589" s="185"/>
      <c r="H589" s="269"/>
      <c r="I589" s="225"/>
      <c r="J589" s="226"/>
    </row>
    <row r="590" spans="1:10" s="224" customFormat="1">
      <c r="A590" s="25">
        <f>MAX(A$1:A589)+1</f>
        <v>63</v>
      </c>
      <c r="B590" s="105"/>
      <c r="C590" s="93" t="s">
        <v>524</v>
      </c>
      <c r="D590" s="94"/>
      <c r="E590" s="95" t="s">
        <v>525</v>
      </c>
      <c r="F590" s="96"/>
      <c r="G590" s="97" t="s">
        <v>7</v>
      </c>
      <c r="H590" s="98">
        <f>H591</f>
        <v>10.8</v>
      </c>
      <c r="I590" s="376"/>
      <c r="J590" s="226">
        <f>H590*I590</f>
        <v>0</v>
      </c>
    </row>
    <row r="591" spans="1:10" s="224" customFormat="1">
      <c r="A591" s="40"/>
      <c r="B591" s="41"/>
      <c r="C591" s="42"/>
      <c r="D591" s="33" t="s">
        <v>526</v>
      </c>
      <c r="E591" s="34" t="s">
        <v>527</v>
      </c>
      <c r="F591" s="35"/>
      <c r="G591" s="36" t="s">
        <v>7</v>
      </c>
      <c r="H591" s="58">
        <v>10.8</v>
      </c>
      <c r="I591" s="225"/>
      <c r="J591" s="226"/>
    </row>
    <row r="592" spans="1:10" s="224" customFormat="1" ht="25.5">
      <c r="A592" s="40"/>
      <c r="B592" s="41"/>
      <c r="C592" s="42"/>
      <c r="D592" s="296"/>
      <c r="E592" s="108" t="s">
        <v>528</v>
      </c>
      <c r="F592" s="110">
        <f>2*2*4.5*0.6</f>
        <v>10.799999999999999</v>
      </c>
      <c r="G592" s="24"/>
      <c r="H592" s="58"/>
      <c r="I592" s="222"/>
      <c r="J592" s="223"/>
    </row>
    <row r="593" spans="1:10" s="224" customFormat="1">
      <c r="A593" s="355"/>
      <c r="B593" s="301"/>
      <c r="C593" s="302"/>
      <c r="D593" s="303"/>
      <c r="E593" s="247"/>
      <c r="F593" s="260"/>
      <c r="G593" s="185"/>
      <c r="H593" s="269"/>
      <c r="I593" s="225"/>
      <c r="J593" s="226"/>
    </row>
    <row r="594" spans="1:10" s="224" customFormat="1">
      <c r="A594" s="25">
        <f>MAX(A$1:A593)+1</f>
        <v>64</v>
      </c>
      <c r="B594" s="41"/>
      <c r="C594" s="26" t="s">
        <v>529</v>
      </c>
      <c r="D594" s="27"/>
      <c r="E594" s="28" t="s">
        <v>530</v>
      </c>
      <c r="F594" s="29"/>
      <c r="G594" s="30" t="s">
        <v>7</v>
      </c>
      <c r="H594" s="98">
        <f>H595</f>
        <v>7.2</v>
      </c>
      <c r="I594" s="376"/>
      <c r="J594" s="226">
        <f>H594*I594</f>
        <v>0</v>
      </c>
    </row>
    <row r="595" spans="1:10" s="224" customFormat="1">
      <c r="A595" s="40"/>
      <c r="B595" s="41"/>
      <c r="C595" s="42"/>
      <c r="D595" s="33" t="s">
        <v>531</v>
      </c>
      <c r="E595" s="34" t="s">
        <v>532</v>
      </c>
      <c r="F595" s="35"/>
      <c r="G595" s="36" t="s">
        <v>7</v>
      </c>
      <c r="H595" s="58">
        <v>7.2</v>
      </c>
      <c r="I595" s="225"/>
      <c r="J595" s="226"/>
    </row>
    <row r="596" spans="1:10" s="224" customFormat="1" ht="25.5">
      <c r="A596" s="40"/>
      <c r="B596" s="41"/>
      <c r="C596" s="42"/>
      <c r="D596" s="296"/>
      <c r="E596" s="108" t="s">
        <v>533</v>
      </c>
      <c r="F596" s="110">
        <f>2*2*4.5*0.4</f>
        <v>7.2</v>
      </c>
      <c r="G596" s="24"/>
      <c r="H596" s="58"/>
      <c r="I596" s="222"/>
      <c r="J596" s="223"/>
    </row>
    <row r="597" spans="1:10" s="224" customFormat="1">
      <c r="A597" s="355"/>
      <c r="B597" s="301"/>
      <c r="C597" s="302"/>
      <c r="D597" s="303"/>
      <c r="E597" s="247"/>
      <c r="F597" s="260"/>
      <c r="G597" s="185"/>
      <c r="H597" s="269"/>
      <c r="I597" s="225"/>
      <c r="J597" s="226"/>
    </row>
    <row r="598" spans="1:10" s="224" customFormat="1">
      <c r="A598" s="355"/>
      <c r="B598" s="301"/>
      <c r="C598" s="302"/>
      <c r="D598" s="303"/>
      <c r="E598" s="195"/>
      <c r="F598" s="233"/>
      <c r="G598" s="185"/>
      <c r="H598" s="269"/>
      <c r="I598" s="222"/>
      <c r="J598" s="223"/>
    </row>
    <row r="599" spans="1:10" s="224" customFormat="1" ht="25.5">
      <c r="A599" s="25">
        <f>MAX(A$1:A598)+1</f>
        <v>65</v>
      </c>
      <c r="B599" s="41"/>
      <c r="C599" s="93" t="s">
        <v>534</v>
      </c>
      <c r="D599" s="94"/>
      <c r="E599" s="95" t="s">
        <v>535</v>
      </c>
      <c r="F599" s="96"/>
      <c r="G599" s="97" t="s">
        <v>8</v>
      </c>
      <c r="H599" s="98">
        <f>H600</f>
        <v>12.22</v>
      </c>
      <c r="I599" s="376"/>
      <c r="J599" s="226">
        <f>H599*I599</f>
        <v>0</v>
      </c>
    </row>
    <row r="600" spans="1:10" s="224" customFormat="1" ht="25.5">
      <c r="A600" s="40"/>
      <c r="B600" s="41"/>
      <c r="C600" s="111"/>
      <c r="D600" s="100" t="s">
        <v>536</v>
      </c>
      <c r="E600" s="101" t="s">
        <v>537</v>
      </c>
      <c r="F600" s="102"/>
      <c r="G600" s="103" t="s">
        <v>8</v>
      </c>
      <c r="H600" s="104">
        <v>12.22</v>
      </c>
      <c r="I600" s="222"/>
      <c r="J600" s="223"/>
    </row>
    <row r="601" spans="1:10" s="224" customFormat="1" ht="25.5">
      <c r="A601" s="40"/>
      <c r="B601" s="41"/>
      <c r="C601" s="111"/>
      <c r="D601" s="100"/>
      <c r="E601" s="108" t="s">
        <v>538</v>
      </c>
      <c r="F601" s="110">
        <f>2*2*3.14*0.465*0.465*4.5</f>
        <v>12.221037000000003</v>
      </c>
      <c r="G601" s="103"/>
      <c r="H601" s="104"/>
      <c r="I601" s="225"/>
      <c r="J601" s="226"/>
    </row>
    <row r="602" spans="1:10" s="224" customFormat="1">
      <c r="A602" s="40"/>
      <c r="B602" s="41"/>
      <c r="C602" s="42"/>
      <c r="D602" s="296"/>
      <c r="E602" s="195"/>
      <c r="F602" s="233"/>
      <c r="G602" s="24"/>
      <c r="H602" s="58"/>
      <c r="I602" s="222"/>
      <c r="J602" s="223"/>
    </row>
    <row r="603" spans="1:10" s="224" customFormat="1">
      <c r="A603" s="355"/>
      <c r="B603" s="301"/>
      <c r="C603" s="302"/>
      <c r="D603" s="303"/>
      <c r="E603" s="247"/>
      <c r="F603" s="260"/>
      <c r="G603" s="185"/>
      <c r="H603" s="269"/>
      <c r="I603" s="225"/>
      <c r="J603" s="226"/>
    </row>
    <row r="604" spans="1:10" s="224" customFormat="1" ht="25.5">
      <c r="A604" s="25">
        <f>MAX(A$1:A603)+1</f>
        <v>66</v>
      </c>
      <c r="B604" s="41"/>
      <c r="C604" s="93" t="s">
        <v>539</v>
      </c>
      <c r="D604" s="94"/>
      <c r="E604" s="95" t="s">
        <v>540</v>
      </c>
      <c r="F604" s="96"/>
      <c r="G604" s="97" t="s">
        <v>0</v>
      </c>
      <c r="H604" s="98">
        <f>H605</f>
        <v>0.94</v>
      </c>
      <c r="I604" s="376"/>
      <c r="J604" s="226">
        <f>H604*I604</f>
        <v>0</v>
      </c>
    </row>
    <row r="605" spans="1:10" s="224" customFormat="1" ht="25.5">
      <c r="A605" s="40"/>
      <c r="B605" s="41"/>
      <c r="C605" s="111"/>
      <c r="D605" s="100" t="s">
        <v>541</v>
      </c>
      <c r="E605" s="101" t="s">
        <v>542</v>
      </c>
      <c r="F605" s="102"/>
      <c r="G605" s="103" t="s">
        <v>0</v>
      </c>
      <c r="H605" s="104">
        <v>0.94</v>
      </c>
      <c r="I605" s="225"/>
      <c r="J605" s="226"/>
    </row>
    <row r="606" spans="1:10" s="224" customFormat="1" ht="25.5">
      <c r="A606" s="40"/>
      <c r="B606" s="41"/>
      <c r="C606" s="111"/>
      <c r="D606" s="100"/>
      <c r="E606" s="108" t="s">
        <v>543</v>
      </c>
      <c r="F606" s="102">
        <f>2*2*0.23621</f>
        <v>0.94484000000000001</v>
      </c>
      <c r="G606" s="103"/>
      <c r="H606" s="104"/>
      <c r="I606" s="222"/>
      <c r="J606" s="223"/>
    </row>
    <row r="607" spans="1:10" s="224" customFormat="1">
      <c r="A607" s="355"/>
      <c r="B607" s="301"/>
      <c r="C607" s="302"/>
      <c r="D607" s="303"/>
      <c r="E607" s="195"/>
      <c r="F607" s="233"/>
      <c r="G607" s="185"/>
      <c r="H607" s="269"/>
      <c r="I607" s="225"/>
      <c r="J607" s="226"/>
    </row>
    <row r="608" spans="1:10" s="224" customFormat="1">
      <c r="A608" s="355"/>
      <c r="B608" s="301"/>
      <c r="C608" s="302"/>
      <c r="D608" s="303"/>
      <c r="E608" s="363"/>
      <c r="F608" s="279"/>
      <c r="G608" s="185"/>
      <c r="H608" s="269"/>
      <c r="I608" s="222"/>
      <c r="J608" s="223"/>
    </row>
    <row r="609" spans="1:10" s="224" customFormat="1">
      <c r="A609" s="40"/>
      <c r="B609" s="280" t="s">
        <v>11</v>
      </c>
      <c r="C609" s="280"/>
      <c r="D609" s="282"/>
      <c r="E609" s="251" t="s">
        <v>12</v>
      </c>
      <c r="F609" s="298"/>
      <c r="G609" s="285"/>
      <c r="H609" s="58"/>
      <c r="I609" s="225"/>
      <c r="J609" s="226"/>
    </row>
    <row r="610" spans="1:10" s="224" customFormat="1">
      <c r="A610" s="40"/>
      <c r="B610" s="41"/>
      <c r="C610" s="42"/>
      <c r="D610" s="296"/>
      <c r="E610" s="364"/>
      <c r="F610" s="270"/>
      <c r="G610" s="24"/>
      <c r="H610" s="58"/>
      <c r="I610" s="222"/>
      <c r="J610" s="223"/>
    </row>
    <row r="611" spans="1:10">
      <c r="A611" s="346">
        <f>MAX(A$1:A610)+1</f>
        <v>67</v>
      </c>
      <c r="B611" s="41"/>
      <c r="C611" s="26" t="s">
        <v>544</v>
      </c>
      <c r="D611" s="27"/>
      <c r="E611" s="28" t="s">
        <v>545</v>
      </c>
      <c r="F611" s="29"/>
      <c r="G611" s="30" t="s">
        <v>8</v>
      </c>
      <c r="H611" s="59">
        <f>H612</f>
        <v>10.1</v>
      </c>
      <c r="I611" s="376"/>
      <c r="J611" s="226">
        <f>H611*I611</f>
        <v>0</v>
      </c>
    </row>
    <row r="612" spans="1:10">
      <c r="A612" s="40"/>
      <c r="B612" s="41"/>
      <c r="C612" s="42"/>
      <c r="D612" s="365" t="s">
        <v>546</v>
      </c>
      <c r="E612" s="366" t="s">
        <v>547</v>
      </c>
      <c r="F612" s="367"/>
      <c r="G612" s="24" t="s">
        <v>8</v>
      </c>
      <c r="H612" s="58">
        <v>10.1</v>
      </c>
      <c r="I612" s="222"/>
      <c r="J612" s="223"/>
    </row>
    <row r="613" spans="1:10">
      <c r="A613" s="40"/>
      <c r="B613" s="41"/>
      <c r="C613" s="42"/>
      <c r="D613" s="365"/>
      <c r="E613" s="195" t="s">
        <v>548</v>
      </c>
      <c r="F613" s="270">
        <f>2*4.55</f>
        <v>9.1</v>
      </c>
      <c r="G613" s="24"/>
      <c r="H613" s="368"/>
      <c r="I613" s="225"/>
      <c r="J613" s="226"/>
    </row>
    <row r="614" spans="1:10">
      <c r="A614" s="40"/>
      <c r="B614" s="41"/>
      <c r="C614" s="42"/>
      <c r="D614" s="365"/>
      <c r="E614" s="195"/>
      <c r="F614" s="367"/>
      <c r="G614" s="24"/>
      <c r="H614" s="368"/>
      <c r="I614" s="222"/>
      <c r="J614" s="223"/>
    </row>
    <row r="615" spans="1:10" ht="25.5">
      <c r="A615" s="40"/>
      <c r="B615" s="41"/>
      <c r="C615" s="42"/>
      <c r="D615" s="365"/>
      <c r="E615" s="195" t="s">
        <v>549</v>
      </c>
      <c r="F615" s="236">
        <v>1</v>
      </c>
      <c r="G615" s="24"/>
      <c r="H615" s="368"/>
      <c r="I615" s="225"/>
      <c r="J615" s="226"/>
    </row>
    <row r="616" spans="1:10">
      <c r="A616" s="40"/>
      <c r="B616" s="41"/>
      <c r="C616" s="42"/>
      <c r="D616" s="365"/>
      <c r="E616" s="369" t="s">
        <v>115</v>
      </c>
      <c r="F616" s="370">
        <f>SUM(F615,F613)</f>
        <v>10.1</v>
      </c>
      <c r="G616" s="24"/>
      <c r="H616" s="368"/>
      <c r="I616" s="222"/>
      <c r="J616" s="223"/>
    </row>
    <row r="617" spans="1:10">
      <c r="A617" s="355"/>
      <c r="B617" s="301"/>
      <c r="C617" s="302"/>
      <c r="D617" s="371"/>
      <c r="E617" s="247"/>
      <c r="F617" s="372"/>
      <c r="G617" s="185"/>
      <c r="H617" s="373"/>
      <c r="I617" s="225"/>
      <c r="J617" s="226"/>
    </row>
    <row r="618" spans="1:10">
      <c r="A618" s="346">
        <f>MAX(A$1:A617)+1</f>
        <v>68</v>
      </c>
      <c r="B618" s="41"/>
      <c r="C618" s="26" t="s">
        <v>550</v>
      </c>
      <c r="D618" s="27"/>
      <c r="E618" s="28" t="s">
        <v>551</v>
      </c>
      <c r="F618" s="29"/>
      <c r="G618" s="30" t="s">
        <v>2</v>
      </c>
      <c r="H618" s="59">
        <f>H619</f>
        <v>25.4</v>
      </c>
      <c r="I618" s="376"/>
      <c r="J618" s="226">
        <f>H618*I618</f>
        <v>0</v>
      </c>
    </row>
    <row r="619" spans="1:10">
      <c r="A619" s="40"/>
      <c r="B619" s="41"/>
      <c r="C619" s="39"/>
      <c r="D619" s="33" t="s">
        <v>552</v>
      </c>
      <c r="E619" s="34" t="s">
        <v>553</v>
      </c>
      <c r="F619" s="35"/>
      <c r="G619" s="36" t="s">
        <v>2</v>
      </c>
      <c r="H619" s="58">
        <v>25.4</v>
      </c>
      <c r="I619" s="225"/>
      <c r="J619" s="226"/>
    </row>
    <row r="620" spans="1:10">
      <c r="A620" s="40"/>
      <c r="B620" s="41"/>
      <c r="C620" s="42"/>
      <c r="D620" s="296"/>
      <c r="E620" s="374" t="s">
        <v>554</v>
      </c>
      <c r="F620" s="270">
        <f>12.7*2</f>
        <v>25.4</v>
      </c>
      <c r="G620" s="24"/>
      <c r="H620" s="368"/>
      <c r="I620" s="222"/>
      <c r="J620" s="223"/>
    </row>
    <row r="621" spans="1:10">
      <c r="A621" s="355"/>
      <c r="B621" s="301"/>
      <c r="C621" s="302"/>
      <c r="D621" s="303"/>
      <c r="E621" s="363"/>
      <c r="F621" s="375"/>
      <c r="G621" s="185"/>
      <c r="H621" s="373"/>
      <c r="I621" s="225"/>
      <c r="J621" s="226"/>
    </row>
    <row r="622" spans="1:10">
      <c r="A622" s="346">
        <f>MAX(A$1:A621)+1</f>
        <v>69</v>
      </c>
      <c r="B622" s="41"/>
      <c r="C622" s="26" t="s">
        <v>555</v>
      </c>
      <c r="D622" s="27"/>
      <c r="E622" s="28" t="s">
        <v>556</v>
      </c>
      <c r="F622" s="29"/>
      <c r="G622" s="30" t="s">
        <v>0</v>
      </c>
      <c r="H622" s="59">
        <f>H623</f>
        <v>0.76</v>
      </c>
      <c r="I622" s="376"/>
      <c r="J622" s="226">
        <f>H622*I622</f>
        <v>0</v>
      </c>
    </row>
    <row r="623" spans="1:10">
      <c r="A623" s="40"/>
      <c r="B623" s="41"/>
      <c r="C623" s="42"/>
      <c r="D623" s="33" t="s">
        <v>557</v>
      </c>
      <c r="E623" s="34" t="s">
        <v>558</v>
      </c>
      <c r="F623" s="35"/>
      <c r="G623" s="36" t="s">
        <v>0</v>
      </c>
      <c r="H623" s="58">
        <v>0.76</v>
      </c>
      <c r="I623" s="225"/>
      <c r="J623" s="226"/>
    </row>
    <row r="624" spans="1:10">
      <c r="A624" s="40"/>
      <c r="B624" s="41"/>
      <c r="C624" s="42"/>
      <c r="D624" s="296"/>
      <c r="E624" s="195" t="s">
        <v>559</v>
      </c>
      <c r="F624" s="270"/>
      <c r="G624" s="24"/>
      <c r="H624" s="368"/>
      <c r="I624" s="222"/>
      <c r="J624" s="223"/>
    </row>
    <row r="625" spans="1:10" s="224" customFormat="1">
      <c r="A625" s="40"/>
      <c r="B625" s="41"/>
      <c r="C625" s="42"/>
      <c r="D625" s="296"/>
      <c r="E625" s="195" t="s">
        <v>560</v>
      </c>
      <c r="F625" s="270">
        <f>2*0.382</f>
        <v>0.76400000000000001</v>
      </c>
      <c r="G625" s="24"/>
      <c r="H625" s="58"/>
      <c r="I625" s="225"/>
      <c r="J625" s="226"/>
    </row>
    <row r="626" spans="1:10" s="224" customFormat="1">
      <c r="A626" s="355"/>
      <c r="B626" s="301"/>
      <c r="C626" s="302"/>
      <c r="D626" s="303"/>
      <c r="E626" s="363"/>
      <c r="F626" s="279"/>
      <c r="G626" s="185"/>
      <c r="H626" s="269"/>
      <c r="I626" s="222"/>
      <c r="J626" s="223"/>
    </row>
    <row r="627" spans="1:10">
      <c r="A627" s="22"/>
      <c r="B627" s="23"/>
      <c r="C627" s="37"/>
      <c r="D627" s="37"/>
      <c r="E627" s="43"/>
      <c r="F627" s="31"/>
      <c r="G627" s="24"/>
      <c r="H627" s="44"/>
      <c r="I627" s="197"/>
      <c r="J627" s="113"/>
    </row>
    <row r="628" spans="1:10" ht="13.5" thickBot="1">
      <c r="A628" s="45"/>
      <c r="B628" s="46"/>
      <c r="C628" s="47"/>
      <c r="D628" s="48"/>
      <c r="E628" s="49"/>
      <c r="F628" s="50"/>
      <c r="G628" s="51"/>
      <c r="H628" s="52"/>
      <c r="I628" s="198"/>
      <c r="J628" s="114"/>
    </row>
    <row r="629" spans="1:10" ht="13.5" thickBot="1">
      <c r="A629" s="66"/>
      <c r="B629" s="67"/>
      <c r="C629" s="67"/>
      <c r="D629" s="67"/>
      <c r="E629" s="67" t="s">
        <v>561</v>
      </c>
      <c r="F629" s="68"/>
      <c r="G629" s="67"/>
      <c r="H629" s="68"/>
      <c r="I629" s="68"/>
      <c r="J629" s="380">
        <f>SUM(J6:J628)</f>
        <v>0</v>
      </c>
    </row>
  </sheetData>
  <sheetProtection algorithmName="SHA-512" hashValue="hRIIuXf/jsOa7lE8M6c7dR1NeJ66Qeqfu1+8idpHvFG8VUsF2T1KweS/mnq0QcbNi3oOGyM9jsLxDfRqlgla0A==" saltValue="gRbk5LvWOukQJqcf7EmGzw==" spinCount="100000" sheet="1" objects="1" scenarios="1"/>
  <mergeCells count="6">
    <mergeCell ref="J4:J5"/>
    <mergeCell ref="A4:C4"/>
    <mergeCell ref="E4:F5"/>
    <mergeCell ref="G4:G5"/>
    <mergeCell ref="H4:H5"/>
    <mergeCell ref="I4:I5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 : ZVOLEN-KRUHOVÝ OBJAZD NA KRIŽOVATKE ULICE J. KOLLÁRA A CESTY 2460&amp;RO.Výkaz výmer a rozpočet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7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53" customWidth="1"/>
    <col min="10" max="10" width="14.85546875" style="53" customWidth="1"/>
    <col min="11" max="16384" width="9.140625" style="7"/>
  </cols>
  <sheetData>
    <row r="1" spans="1:10">
      <c r="A1" s="1" t="s">
        <v>13</v>
      </c>
      <c r="B1" s="1"/>
      <c r="C1" s="2"/>
      <c r="D1" s="3"/>
      <c r="E1" s="54" t="s">
        <v>195</v>
      </c>
      <c r="G1" s="5"/>
      <c r="H1" s="6"/>
      <c r="I1" s="224"/>
      <c r="J1" s="224"/>
    </row>
    <row r="2" spans="1:10">
      <c r="A2" s="1"/>
      <c r="B2" s="1"/>
      <c r="C2" s="2"/>
      <c r="D2" s="3"/>
      <c r="E2" s="54" t="s">
        <v>562</v>
      </c>
      <c r="G2" s="5"/>
      <c r="H2" s="6"/>
      <c r="I2" s="224"/>
      <c r="J2" s="224"/>
    </row>
    <row r="3" spans="1:10" ht="13.5" thickBot="1">
      <c r="A3" s="8" t="s">
        <v>14</v>
      </c>
      <c r="B3" s="1"/>
      <c r="C3" s="2"/>
      <c r="D3" s="3"/>
      <c r="E3" s="9">
        <v>2112</v>
      </c>
      <c r="G3" s="10"/>
      <c r="H3" s="11"/>
      <c r="I3" s="224"/>
      <c r="J3" s="224"/>
    </row>
    <row r="4" spans="1:10">
      <c r="A4" s="828" t="s">
        <v>15</v>
      </c>
      <c r="B4" s="829"/>
      <c r="C4" s="829"/>
      <c r="D4" s="12"/>
      <c r="E4" s="830" t="s">
        <v>16</v>
      </c>
      <c r="F4" s="831"/>
      <c r="G4" s="834" t="s">
        <v>17</v>
      </c>
      <c r="H4" s="838" t="s">
        <v>18</v>
      </c>
      <c r="I4" s="826" t="s">
        <v>163</v>
      </c>
      <c r="J4" s="826" t="s">
        <v>164</v>
      </c>
    </row>
    <row r="5" spans="1:10" ht="13.5" thickBot="1">
      <c r="A5" s="13" t="s">
        <v>19</v>
      </c>
      <c r="B5" s="14" t="s">
        <v>22</v>
      </c>
      <c r="C5" s="14" t="s">
        <v>20</v>
      </c>
      <c r="D5" s="14" t="s">
        <v>21</v>
      </c>
      <c r="E5" s="832"/>
      <c r="F5" s="833"/>
      <c r="G5" s="835"/>
      <c r="H5" s="839"/>
      <c r="I5" s="827"/>
      <c r="J5" s="827"/>
    </row>
    <row r="6" spans="1:10">
      <c r="A6" s="15"/>
      <c r="B6" s="16"/>
      <c r="C6" s="16"/>
      <c r="D6" s="17"/>
      <c r="E6" s="18"/>
      <c r="F6" s="19"/>
      <c r="G6" s="20"/>
      <c r="H6" s="21"/>
      <c r="I6" s="196"/>
      <c r="J6" s="112"/>
    </row>
    <row r="7" spans="1:10">
      <c r="A7" s="22"/>
      <c r="B7" s="216" t="s">
        <v>107</v>
      </c>
      <c r="C7" s="217"/>
      <c r="D7" s="218"/>
      <c r="E7" s="219" t="s">
        <v>108</v>
      </c>
      <c r="F7" s="220"/>
      <c r="G7" s="221"/>
      <c r="H7" s="181"/>
      <c r="I7" s="222"/>
      <c r="J7" s="223"/>
    </row>
    <row r="8" spans="1:10">
      <c r="A8" s="22"/>
      <c r="B8" s="23"/>
      <c r="C8" s="23"/>
      <c r="D8" s="24"/>
      <c r="E8" s="179"/>
      <c r="F8" s="180"/>
      <c r="G8" s="155"/>
      <c r="H8" s="181"/>
      <c r="I8" s="222"/>
      <c r="J8" s="223"/>
    </row>
    <row r="9" spans="1:10" ht="25.5">
      <c r="A9" s="25">
        <f>MAX(A$1:A8)+1</f>
        <v>1</v>
      </c>
      <c r="B9" s="23"/>
      <c r="C9" s="26" t="s">
        <v>113</v>
      </c>
      <c r="D9" s="27"/>
      <c r="E9" s="28" t="s">
        <v>114</v>
      </c>
      <c r="F9" s="29"/>
      <c r="G9" s="30" t="s">
        <v>0</v>
      </c>
      <c r="H9" s="59">
        <v>1295.4000000000001</v>
      </c>
      <c r="I9" s="376"/>
      <c r="J9" s="226">
        <f>H9*I9</f>
        <v>0</v>
      </c>
    </row>
    <row r="10" spans="1:10">
      <c r="A10" s="25"/>
      <c r="B10" s="23"/>
      <c r="C10" s="257"/>
      <c r="D10" s="259"/>
      <c r="E10" s="195" t="s">
        <v>563</v>
      </c>
      <c r="F10" s="233">
        <f>5.5*0.44</f>
        <v>2.42</v>
      </c>
      <c r="G10" s="261"/>
      <c r="H10" s="59"/>
      <c r="I10" s="222"/>
      <c r="J10" s="223"/>
    </row>
    <row r="11" spans="1:10">
      <c r="A11" s="25"/>
      <c r="B11" s="23"/>
      <c r="C11" s="257"/>
      <c r="D11" s="259"/>
      <c r="E11" s="195" t="s">
        <v>564</v>
      </c>
      <c r="F11" s="233">
        <f>14*0.181</f>
        <v>2.5339999999999998</v>
      </c>
      <c r="G11" s="261"/>
      <c r="H11" s="59"/>
      <c r="I11" s="222"/>
      <c r="J11" s="223"/>
    </row>
    <row r="12" spans="1:10">
      <c r="A12" s="25"/>
      <c r="B12" s="23"/>
      <c r="C12" s="257"/>
      <c r="D12" s="259"/>
      <c r="E12" s="195" t="s">
        <v>565</v>
      </c>
      <c r="F12" s="233">
        <f>922*0.45</f>
        <v>414.90000000000003</v>
      </c>
      <c r="G12" s="261"/>
      <c r="H12" s="59"/>
      <c r="I12" s="222"/>
      <c r="J12" s="223"/>
    </row>
    <row r="13" spans="1:10">
      <c r="A13" s="25"/>
      <c r="B13" s="23"/>
      <c r="C13" s="257"/>
      <c r="D13" s="259"/>
      <c r="E13" s="195" t="s">
        <v>566</v>
      </c>
      <c r="F13" s="233">
        <f>181*0.288</f>
        <v>52.127999999999993</v>
      </c>
      <c r="G13" s="261"/>
      <c r="H13" s="59"/>
      <c r="I13" s="222"/>
      <c r="J13" s="223"/>
    </row>
    <row r="14" spans="1:10">
      <c r="A14" s="25"/>
      <c r="B14" s="23"/>
      <c r="C14" s="257"/>
      <c r="D14" s="259"/>
      <c r="E14" s="195" t="s">
        <v>567</v>
      </c>
      <c r="F14" s="233">
        <f>117*0.397</f>
        <v>46.449000000000005</v>
      </c>
      <c r="G14" s="261"/>
      <c r="H14" s="59"/>
      <c r="I14" s="222"/>
      <c r="J14" s="223"/>
    </row>
    <row r="15" spans="1:10">
      <c r="A15" s="25"/>
      <c r="B15" s="23"/>
      <c r="C15" s="257"/>
      <c r="D15" s="259"/>
      <c r="E15" s="195" t="s">
        <v>568</v>
      </c>
      <c r="F15" s="233">
        <f>103*0.22</f>
        <v>22.66</v>
      </c>
      <c r="G15" s="261"/>
      <c r="H15" s="59"/>
      <c r="I15" s="222"/>
      <c r="J15" s="223"/>
    </row>
    <row r="16" spans="1:10">
      <c r="A16" s="25"/>
      <c r="B16" s="23"/>
      <c r="C16" s="257"/>
      <c r="D16" s="259"/>
      <c r="E16" s="195" t="s">
        <v>569</v>
      </c>
      <c r="F16" s="233">
        <f>969*0.45</f>
        <v>436.05</v>
      </c>
      <c r="G16" s="261"/>
      <c r="H16" s="59"/>
      <c r="I16" s="222"/>
      <c r="J16" s="223"/>
    </row>
    <row r="17" spans="1:10">
      <c r="A17" s="25"/>
      <c r="B17" s="23"/>
      <c r="C17" s="257"/>
      <c r="D17" s="259"/>
      <c r="E17" s="195" t="s">
        <v>570</v>
      </c>
      <c r="F17" s="233">
        <f>369*0.145</f>
        <v>53.504999999999995</v>
      </c>
      <c r="G17" s="261"/>
      <c r="H17" s="59"/>
      <c r="I17" s="222"/>
      <c r="J17" s="223"/>
    </row>
    <row r="18" spans="1:10">
      <c r="A18" s="25"/>
      <c r="B18" s="23"/>
      <c r="C18" s="257"/>
      <c r="D18" s="259"/>
      <c r="E18" s="195" t="s">
        <v>571</v>
      </c>
      <c r="F18" s="233">
        <f>91*0.04</f>
        <v>3.64</v>
      </c>
      <c r="G18" s="261"/>
      <c r="H18" s="59"/>
      <c r="I18" s="222"/>
      <c r="J18" s="223"/>
    </row>
    <row r="19" spans="1:10">
      <c r="A19" s="25"/>
      <c r="B19" s="23"/>
      <c r="C19" s="257"/>
      <c r="D19" s="259"/>
      <c r="E19" s="195" t="s">
        <v>572</v>
      </c>
      <c r="F19" s="236">
        <f>2056*0.127</f>
        <v>261.11200000000002</v>
      </c>
      <c r="G19" s="261"/>
      <c r="H19" s="59"/>
      <c r="I19" s="222"/>
      <c r="J19" s="223"/>
    </row>
    <row r="20" spans="1:10">
      <c r="A20" s="246"/>
      <c r="B20" s="184"/>
      <c r="C20" s="184"/>
      <c r="D20" s="185"/>
      <c r="E20" s="195"/>
      <c r="F20" s="270">
        <f>SUM(F10:F19)</f>
        <v>1295.3980000000004</v>
      </c>
      <c r="G20" s="188"/>
      <c r="H20" s="189"/>
      <c r="I20" s="222"/>
      <c r="J20" s="223"/>
    </row>
    <row r="21" spans="1:10">
      <c r="A21" s="246"/>
      <c r="B21" s="184"/>
      <c r="C21" s="184"/>
      <c r="D21" s="185"/>
      <c r="E21" s="195"/>
      <c r="F21" s="270"/>
      <c r="G21" s="188"/>
      <c r="H21" s="189"/>
      <c r="I21" s="222"/>
      <c r="J21" s="223"/>
    </row>
    <row r="22" spans="1:10">
      <c r="A22" s="25">
        <f>MAX(A$1:A20)+1</f>
        <v>2</v>
      </c>
      <c r="B22" s="184"/>
      <c r="C22" s="26" t="s">
        <v>109</v>
      </c>
      <c r="D22" s="27"/>
      <c r="E22" s="28" t="s">
        <v>110</v>
      </c>
      <c r="F22" s="254"/>
      <c r="G22" s="30" t="s">
        <v>8</v>
      </c>
      <c r="H22" s="59">
        <v>28</v>
      </c>
      <c r="I22" s="376"/>
      <c r="J22" s="226">
        <f>H22*I22</f>
        <v>0</v>
      </c>
    </row>
    <row r="23" spans="1:10">
      <c r="A23" s="246"/>
      <c r="B23" s="184"/>
      <c r="C23" s="184"/>
      <c r="D23" s="185"/>
      <c r="E23" s="195" t="s">
        <v>203</v>
      </c>
      <c r="F23" s="270">
        <v>28</v>
      </c>
      <c r="G23" s="188"/>
      <c r="H23" s="189"/>
      <c r="I23" s="222"/>
      <c r="J23" s="223"/>
    </row>
    <row r="24" spans="1:10">
      <c r="A24" s="246"/>
      <c r="B24" s="184"/>
      <c r="C24" s="184"/>
      <c r="D24" s="185"/>
      <c r="E24" s="195"/>
      <c r="F24" s="270"/>
      <c r="G24" s="188"/>
      <c r="H24" s="189"/>
      <c r="I24" s="222"/>
      <c r="J24" s="223"/>
    </row>
    <row r="25" spans="1:10">
      <c r="A25" s="25">
        <f>MAX(A$1:A24)+1</f>
        <v>3</v>
      </c>
      <c r="B25" s="23"/>
      <c r="C25" s="26" t="s">
        <v>111</v>
      </c>
      <c r="D25" s="27"/>
      <c r="E25" s="28" t="s">
        <v>112</v>
      </c>
      <c r="F25" s="254"/>
      <c r="G25" s="30" t="s">
        <v>8</v>
      </c>
      <c r="H25" s="59">
        <v>480.06</v>
      </c>
      <c r="I25" s="376"/>
      <c r="J25" s="226">
        <f>H25*I25</f>
        <v>0</v>
      </c>
    </row>
    <row r="26" spans="1:10">
      <c r="A26" s="25"/>
      <c r="B26" s="23"/>
      <c r="C26" s="26"/>
      <c r="D26" s="27"/>
      <c r="E26" s="195" t="s">
        <v>118</v>
      </c>
      <c r="F26" s="233"/>
      <c r="G26" s="30"/>
      <c r="H26" s="59"/>
      <c r="I26" s="222"/>
      <c r="J26" s="223"/>
    </row>
    <row r="27" spans="1:10">
      <c r="A27" s="22"/>
      <c r="B27" s="23"/>
      <c r="C27" s="23"/>
      <c r="D27" s="24"/>
      <c r="E27" s="195" t="s">
        <v>573</v>
      </c>
      <c r="F27" s="233">
        <f>918+20.1+18.15+6.11-469-13.3</f>
        <v>480.06</v>
      </c>
      <c r="G27" s="155"/>
      <c r="H27" s="181"/>
      <c r="I27" s="222"/>
      <c r="J27" s="223"/>
    </row>
    <row r="28" spans="1:10">
      <c r="A28" s="22"/>
      <c r="B28" s="23"/>
      <c r="C28" s="23"/>
      <c r="D28" s="24"/>
      <c r="E28" s="195"/>
      <c r="F28" s="331"/>
      <c r="G28" s="155"/>
      <c r="H28" s="181"/>
      <c r="I28" s="222"/>
      <c r="J28" s="223"/>
    </row>
    <row r="29" spans="1:10">
      <c r="A29" s="22"/>
      <c r="B29" s="23"/>
      <c r="C29" s="23"/>
      <c r="D29" s="24"/>
      <c r="E29" s="179"/>
      <c r="F29" s="180"/>
      <c r="G29" s="155"/>
      <c r="H29" s="181"/>
      <c r="I29" s="222"/>
      <c r="J29" s="223"/>
    </row>
    <row r="30" spans="1:10" ht="15.75">
      <c r="A30" s="22"/>
      <c r="B30" s="216" t="s">
        <v>23</v>
      </c>
      <c r="C30" s="249"/>
      <c r="D30" s="250"/>
      <c r="E30" s="251" t="s">
        <v>24</v>
      </c>
      <c r="F30" s="252"/>
      <c r="G30" s="253"/>
      <c r="H30" s="181"/>
      <c r="I30" s="222"/>
      <c r="J30" s="223"/>
    </row>
    <row r="31" spans="1:10">
      <c r="A31" s="22"/>
      <c r="B31" s="23"/>
      <c r="C31" s="23"/>
      <c r="D31" s="24"/>
      <c r="E31" s="179"/>
      <c r="F31" s="180"/>
      <c r="G31" s="155"/>
      <c r="H31" s="181"/>
      <c r="I31" s="222"/>
      <c r="J31" s="223"/>
    </row>
    <row r="32" spans="1:10">
      <c r="A32" s="246"/>
      <c r="B32" s="184"/>
      <c r="C32" s="184"/>
      <c r="D32" s="185"/>
      <c r="E32" s="186"/>
      <c r="F32" s="187"/>
      <c r="G32" s="188"/>
      <c r="H32" s="189"/>
      <c r="I32" s="222"/>
      <c r="J32" s="223"/>
    </row>
    <row r="33" spans="1:10" ht="25.5">
      <c r="A33" s="25">
        <f>MAX(A$1:A32)+1</f>
        <v>4</v>
      </c>
      <c r="B33" s="23"/>
      <c r="C33" s="26" t="s">
        <v>205</v>
      </c>
      <c r="D33" s="27"/>
      <c r="E33" s="28" t="s">
        <v>206</v>
      </c>
      <c r="F33" s="254"/>
      <c r="G33" s="30" t="s">
        <v>2</v>
      </c>
      <c r="H33" s="59">
        <f>H34</f>
        <v>5.5</v>
      </c>
      <c r="I33" s="376"/>
      <c r="J33" s="226">
        <f>H33*I33</f>
        <v>0</v>
      </c>
    </row>
    <row r="34" spans="1:10" ht="38.25">
      <c r="A34" s="25"/>
      <c r="B34" s="23"/>
      <c r="C34" s="26"/>
      <c r="D34" s="33" t="s">
        <v>207</v>
      </c>
      <c r="E34" s="34" t="s">
        <v>208</v>
      </c>
      <c r="F34" s="255"/>
      <c r="G34" s="36" t="s">
        <v>2</v>
      </c>
      <c r="H34" s="58">
        <v>5.5</v>
      </c>
      <c r="I34" s="222"/>
      <c r="J34" s="223"/>
    </row>
    <row r="35" spans="1:10" ht="25.5">
      <c r="A35" s="256"/>
      <c r="B35" s="184"/>
      <c r="C35" s="257"/>
      <c r="D35" s="259"/>
      <c r="E35" s="195" t="s">
        <v>574</v>
      </c>
      <c r="F35" s="233">
        <f>10*0.55</f>
        <v>5.5</v>
      </c>
      <c r="G35" s="261"/>
      <c r="H35" s="189"/>
      <c r="I35" s="222"/>
      <c r="J35" s="223"/>
    </row>
    <row r="36" spans="1:10">
      <c r="A36" s="246"/>
      <c r="B36" s="184"/>
      <c r="C36" s="184"/>
      <c r="D36" s="185"/>
      <c r="E36" s="186"/>
      <c r="F36" s="187"/>
      <c r="G36" s="188"/>
      <c r="H36" s="189"/>
      <c r="I36" s="222"/>
      <c r="J36" s="223"/>
    </row>
    <row r="37" spans="1:10" ht="25.5">
      <c r="A37" s="25">
        <f>MAX(A$1:A36)+1</f>
        <v>5</v>
      </c>
      <c r="B37" s="184"/>
      <c r="C37" s="26" t="s">
        <v>210</v>
      </c>
      <c r="D37" s="27"/>
      <c r="E37" s="28" t="s">
        <v>211</v>
      </c>
      <c r="F37" s="29"/>
      <c r="G37" s="30" t="s">
        <v>2</v>
      </c>
      <c r="H37" s="59">
        <f>H38+H41</f>
        <v>936</v>
      </c>
      <c r="I37" s="376"/>
      <c r="J37" s="226">
        <f>H37*I37</f>
        <v>0</v>
      </c>
    </row>
    <row r="38" spans="1:10" ht="25.5">
      <c r="A38" s="256"/>
      <c r="B38" s="184"/>
      <c r="C38" s="26"/>
      <c r="D38" s="33" t="s">
        <v>575</v>
      </c>
      <c r="E38" s="34" t="s">
        <v>576</v>
      </c>
      <c r="F38" s="35"/>
      <c r="G38" s="36" t="s">
        <v>2</v>
      </c>
      <c r="H38" s="58">
        <v>14</v>
      </c>
      <c r="I38" s="225"/>
      <c r="J38" s="226"/>
    </row>
    <row r="39" spans="1:10">
      <c r="A39" s="256"/>
      <c r="B39" s="184"/>
      <c r="C39" s="26"/>
      <c r="D39" s="33"/>
      <c r="E39" s="258" t="s">
        <v>577</v>
      </c>
      <c r="F39" s="35"/>
      <c r="G39" s="36"/>
      <c r="H39" s="59"/>
      <c r="I39" s="222"/>
      <c r="J39" s="223"/>
    </row>
    <row r="40" spans="1:10">
      <c r="A40" s="256"/>
      <c r="B40" s="184"/>
      <c r="C40" s="26"/>
      <c r="D40" s="27"/>
      <c r="E40" s="195" t="s">
        <v>578</v>
      </c>
      <c r="F40" s="233">
        <v>14</v>
      </c>
      <c r="G40" s="30"/>
      <c r="H40" s="59"/>
      <c r="I40" s="222"/>
      <c r="J40" s="223"/>
    </row>
    <row r="41" spans="1:10" ht="25.5">
      <c r="A41" s="256"/>
      <c r="B41" s="184"/>
      <c r="C41" s="257"/>
      <c r="D41" s="33" t="s">
        <v>212</v>
      </c>
      <c r="E41" s="34" t="s">
        <v>213</v>
      </c>
      <c r="F41" s="35"/>
      <c r="G41" s="36" t="s">
        <v>2</v>
      </c>
      <c r="H41" s="58">
        <v>922</v>
      </c>
      <c r="I41" s="225"/>
      <c r="J41" s="226"/>
    </row>
    <row r="42" spans="1:10">
      <c r="A42" s="256"/>
      <c r="B42" s="184"/>
      <c r="C42" s="257"/>
      <c r="D42" s="259"/>
      <c r="E42" s="258" t="s">
        <v>214</v>
      </c>
      <c r="F42" s="260"/>
      <c r="G42" s="261"/>
      <c r="H42" s="189"/>
      <c r="I42" s="222"/>
      <c r="J42" s="223"/>
    </row>
    <row r="43" spans="1:10">
      <c r="A43" s="256"/>
      <c r="B43" s="184"/>
      <c r="C43" s="257"/>
      <c r="D43" s="259"/>
      <c r="E43" s="195" t="s">
        <v>579</v>
      </c>
      <c r="F43" s="233">
        <v>390</v>
      </c>
      <c r="G43" s="261"/>
      <c r="H43" s="189"/>
      <c r="I43" s="222"/>
      <c r="J43" s="223"/>
    </row>
    <row r="44" spans="1:10">
      <c r="A44" s="256"/>
      <c r="B44" s="184"/>
      <c r="C44" s="257"/>
      <c r="D44" s="259"/>
      <c r="E44" s="195" t="s">
        <v>580</v>
      </c>
      <c r="F44" s="233">
        <v>195</v>
      </c>
      <c r="G44" s="261"/>
      <c r="H44" s="189"/>
      <c r="I44" s="222"/>
      <c r="J44" s="223"/>
    </row>
    <row r="45" spans="1:10">
      <c r="A45" s="256"/>
      <c r="B45" s="184"/>
      <c r="C45" s="257"/>
      <c r="D45" s="259"/>
      <c r="E45" s="195" t="s">
        <v>266</v>
      </c>
      <c r="F45" s="236">
        <v>337</v>
      </c>
      <c r="G45" s="261"/>
      <c r="H45" s="189"/>
      <c r="I45" s="222"/>
      <c r="J45" s="223"/>
    </row>
    <row r="46" spans="1:10">
      <c r="A46" s="256"/>
      <c r="B46" s="184"/>
      <c r="C46" s="257"/>
      <c r="D46" s="259"/>
      <c r="E46" s="195"/>
      <c r="F46" s="233">
        <f>SUM(F43:F45)</f>
        <v>922</v>
      </c>
      <c r="G46" s="261"/>
      <c r="H46" s="189"/>
      <c r="I46" s="222"/>
      <c r="J46" s="223"/>
    </row>
    <row r="47" spans="1:10">
      <c r="A47" s="256"/>
      <c r="B47" s="184"/>
      <c r="C47" s="257"/>
      <c r="D47" s="259"/>
      <c r="E47" s="195"/>
      <c r="F47" s="233"/>
      <c r="G47" s="261"/>
      <c r="H47" s="189"/>
      <c r="I47" s="222"/>
      <c r="J47" s="223"/>
    </row>
    <row r="48" spans="1:10" ht="25.5">
      <c r="A48" s="25">
        <f>MAX(A$1:A47)+1</f>
        <v>6</v>
      </c>
      <c r="B48" s="184"/>
      <c r="C48" s="26" t="s">
        <v>581</v>
      </c>
      <c r="D48" s="27"/>
      <c r="E48" s="28" t="s">
        <v>582</v>
      </c>
      <c r="F48" s="29"/>
      <c r="G48" s="30" t="s">
        <v>2</v>
      </c>
      <c r="H48" s="59">
        <f>H49+H55</f>
        <v>298</v>
      </c>
      <c r="I48" s="376"/>
      <c r="J48" s="226">
        <f>H48*I48</f>
        <v>0</v>
      </c>
    </row>
    <row r="49" spans="1:10" ht="25.5">
      <c r="A49" s="256"/>
      <c r="B49" s="184"/>
      <c r="C49" s="257"/>
      <c r="D49" s="33" t="s">
        <v>583</v>
      </c>
      <c r="E49" s="34" t="s">
        <v>584</v>
      </c>
      <c r="F49" s="35"/>
      <c r="G49" s="36" t="s">
        <v>2</v>
      </c>
      <c r="H49" s="58">
        <v>181</v>
      </c>
      <c r="I49" s="225"/>
      <c r="J49" s="226"/>
    </row>
    <row r="50" spans="1:10">
      <c r="A50" s="256"/>
      <c r="B50" s="184"/>
      <c r="C50" s="257"/>
      <c r="D50" s="259"/>
      <c r="E50" s="258" t="s">
        <v>585</v>
      </c>
      <c r="F50" s="233"/>
      <c r="G50" s="261"/>
      <c r="H50" s="189"/>
      <c r="I50" s="222"/>
      <c r="J50" s="223"/>
    </row>
    <row r="51" spans="1:10">
      <c r="A51" s="256"/>
      <c r="B51" s="184"/>
      <c r="C51" s="257"/>
      <c r="D51" s="259"/>
      <c r="E51" s="195" t="s">
        <v>578</v>
      </c>
      <c r="F51" s="233">
        <v>72</v>
      </c>
      <c r="G51" s="261"/>
      <c r="H51" s="189"/>
      <c r="I51" s="222"/>
      <c r="J51" s="223"/>
    </row>
    <row r="52" spans="1:10">
      <c r="A52" s="256"/>
      <c r="B52" s="184"/>
      <c r="C52" s="257"/>
      <c r="D52" s="259"/>
      <c r="E52" s="195" t="s">
        <v>580</v>
      </c>
      <c r="F52" s="233">
        <v>98</v>
      </c>
      <c r="G52" s="261"/>
      <c r="H52" s="189"/>
      <c r="I52" s="222"/>
      <c r="J52" s="223"/>
    </row>
    <row r="53" spans="1:10">
      <c r="A53" s="256"/>
      <c r="B53" s="184"/>
      <c r="C53" s="257"/>
      <c r="D53" s="259"/>
      <c r="E53" s="195" t="s">
        <v>266</v>
      </c>
      <c r="F53" s="236">
        <v>11</v>
      </c>
      <c r="G53" s="261"/>
      <c r="H53" s="189"/>
      <c r="I53" s="222"/>
      <c r="J53" s="223"/>
    </row>
    <row r="54" spans="1:10">
      <c r="A54" s="256"/>
      <c r="B54" s="184"/>
      <c r="C54" s="257"/>
      <c r="D54" s="259"/>
      <c r="E54" s="195"/>
      <c r="F54" s="233">
        <f>SUM(F51:F53)</f>
        <v>181</v>
      </c>
      <c r="G54" s="261"/>
      <c r="H54" s="189"/>
      <c r="I54" s="222"/>
      <c r="J54" s="223"/>
    </row>
    <row r="55" spans="1:10" ht="25.5">
      <c r="A55" s="256"/>
      <c r="B55" s="184"/>
      <c r="C55" s="257"/>
      <c r="D55" s="33" t="s">
        <v>586</v>
      </c>
      <c r="E55" s="34" t="s">
        <v>587</v>
      </c>
      <c r="F55" s="35"/>
      <c r="G55" s="36" t="s">
        <v>2</v>
      </c>
      <c r="H55" s="58">
        <v>117</v>
      </c>
      <c r="I55" s="225"/>
      <c r="J55" s="226"/>
    </row>
    <row r="56" spans="1:10">
      <c r="A56" s="256"/>
      <c r="B56" s="184"/>
      <c r="C56" s="257"/>
      <c r="D56" s="259"/>
      <c r="E56" s="258" t="s">
        <v>588</v>
      </c>
      <c r="F56" s="233"/>
      <c r="G56" s="261"/>
      <c r="H56" s="189"/>
      <c r="I56" s="222"/>
      <c r="J56" s="223"/>
    </row>
    <row r="57" spans="1:10">
      <c r="A57" s="256"/>
      <c r="B57" s="184"/>
      <c r="C57" s="257"/>
      <c r="D57" s="259"/>
      <c r="E57" s="195" t="s">
        <v>266</v>
      </c>
      <c r="F57" s="233">
        <v>117</v>
      </c>
      <c r="G57" s="261"/>
      <c r="H57" s="189"/>
      <c r="I57" s="222"/>
      <c r="J57" s="223"/>
    </row>
    <row r="58" spans="1:10">
      <c r="A58" s="256"/>
      <c r="B58" s="184"/>
      <c r="C58" s="257"/>
      <c r="D58" s="259"/>
      <c r="E58" s="195"/>
      <c r="F58" s="233"/>
      <c r="G58" s="261"/>
      <c r="H58" s="189"/>
      <c r="I58" s="222"/>
      <c r="J58" s="223"/>
    </row>
    <row r="59" spans="1:10">
      <c r="A59" s="256"/>
      <c r="B59" s="184"/>
      <c r="C59" s="257"/>
      <c r="D59" s="259"/>
      <c r="E59" s="195"/>
      <c r="F59" s="233"/>
      <c r="G59" s="261"/>
      <c r="H59" s="189"/>
      <c r="I59" s="222"/>
      <c r="J59" s="223"/>
    </row>
    <row r="60" spans="1:10" ht="25.5">
      <c r="A60" s="25">
        <f>MAX(A$1:A59)+1</f>
        <v>7</v>
      </c>
      <c r="B60" s="184"/>
      <c r="C60" s="26" t="s">
        <v>25</v>
      </c>
      <c r="D60" s="27"/>
      <c r="E60" s="28" t="s">
        <v>26</v>
      </c>
      <c r="F60" s="29"/>
      <c r="G60" s="30" t="s">
        <v>2</v>
      </c>
      <c r="H60" s="59">
        <f>H61</f>
        <v>103</v>
      </c>
      <c r="I60" s="376"/>
      <c r="J60" s="226">
        <f>H60*I60</f>
        <v>0</v>
      </c>
    </row>
    <row r="61" spans="1:10" ht="25.5">
      <c r="A61" s="256"/>
      <c r="B61" s="184"/>
      <c r="C61" s="39"/>
      <c r="D61" s="33" t="s">
        <v>216</v>
      </c>
      <c r="E61" s="34" t="s">
        <v>217</v>
      </c>
      <c r="F61" s="35"/>
      <c r="G61" s="36" t="s">
        <v>2</v>
      </c>
      <c r="H61" s="58">
        <v>103</v>
      </c>
      <c r="I61" s="222"/>
      <c r="J61" s="223"/>
    </row>
    <row r="62" spans="1:10" ht="25.5">
      <c r="A62" s="256"/>
      <c r="B62" s="184"/>
      <c r="C62" s="257"/>
      <c r="D62" s="259"/>
      <c r="E62" s="258" t="s">
        <v>218</v>
      </c>
      <c r="F62" s="276"/>
      <c r="G62" s="261"/>
      <c r="H62" s="189"/>
      <c r="I62" s="222"/>
      <c r="J62" s="223"/>
    </row>
    <row r="63" spans="1:10">
      <c r="A63" s="256"/>
      <c r="B63" s="184"/>
      <c r="C63" s="257"/>
      <c r="D63" s="259"/>
      <c r="E63" s="195" t="s">
        <v>589</v>
      </c>
      <c r="F63" s="233">
        <v>43</v>
      </c>
      <c r="G63" s="261"/>
      <c r="H63" s="189"/>
      <c r="I63" s="222"/>
      <c r="J63" s="223"/>
    </row>
    <row r="64" spans="1:10">
      <c r="A64" s="256"/>
      <c r="B64" s="184"/>
      <c r="C64" s="257"/>
      <c r="D64" s="259"/>
      <c r="E64" s="195" t="s">
        <v>578</v>
      </c>
      <c r="F64" s="236">
        <v>60</v>
      </c>
      <c r="G64" s="261"/>
      <c r="H64" s="189"/>
      <c r="I64" s="222"/>
      <c r="J64" s="223"/>
    </row>
    <row r="65" spans="1:10">
      <c r="A65" s="256"/>
      <c r="B65" s="184"/>
      <c r="C65" s="257"/>
      <c r="D65" s="259"/>
      <c r="E65" s="275"/>
      <c r="F65" s="233">
        <f>SUM(F63:F64)</f>
        <v>103</v>
      </c>
      <c r="G65" s="261"/>
      <c r="H65" s="189"/>
      <c r="I65" s="222"/>
      <c r="J65" s="223"/>
    </row>
    <row r="66" spans="1:10">
      <c r="A66" s="246"/>
      <c r="B66" s="184"/>
      <c r="C66" s="184"/>
      <c r="D66" s="185"/>
      <c r="E66" s="186"/>
      <c r="F66" s="187"/>
      <c r="G66" s="188"/>
      <c r="H66" s="189"/>
      <c r="I66" s="222"/>
      <c r="J66" s="223"/>
    </row>
    <row r="67" spans="1:10">
      <c r="A67" s="246"/>
      <c r="B67" s="184"/>
      <c r="C67" s="184"/>
      <c r="D67" s="185"/>
      <c r="E67" s="247"/>
      <c r="F67" s="260"/>
      <c r="G67" s="188"/>
      <c r="H67" s="189"/>
      <c r="I67" s="222"/>
      <c r="J67" s="223"/>
    </row>
    <row r="68" spans="1:10" ht="25.5">
      <c r="A68" s="25">
        <f>MAX(A$1:A67)+1</f>
        <v>8</v>
      </c>
      <c r="B68" s="23"/>
      <c r="C68" s="26" t="s">
        <v>221</v>
      </c>
      <c r="D68" s="27"/>
      <c r="E68" s="28" t="s">
        <v>222</v>
      </c>
      <c r="F68" s="254"/>
      <c r="G68" s="30" t="s">
        <v>2</v>
      </c>
      <c r="H68" s="59">
        <f>H69</f>
        <v>969</v>
      </c>
      <c r="I68" s="376"/>
      <c r="J68" s="226">
        <f>H68*I68</f>
        <v>0</v>
      </c>
    </row>
    <row r="69" spans="1:10" ht="25.5">
      <c r="A69" s="246"/>
      <c r="B69" s="184"/>
      <c r="C69" s="184"/>
      <c r="D69" s="33" t="s">
        <v>223</v>
      </c>
      <c r="E69" s="34" t="s">
        <v>224</v>
      </c>
      <c r="F69" s="35"/>
      <c r="G69" s="36" t="s">
        <v>2</v>
      </c>
      <c r="H69" s="58">
        <v>969</v>
      </c>
      <c r="I69" s="222"/>
      <c r="J69" s="223"/>
    </row>
    <row r="70" spans="1:10">
      <c r="A70" s="246"/>
      <c r="B70" s="184"/>
      <c r="C70" s="184"/>
      <c r="D70" s="262"/>
      <c r="E70" s="195" t="s">
        <v>214</v>
      </c>
      <c r="F70" s="260"/>
      <c r="G70" s="263"/>
      <c r="H70" s="189"/>
      <c r="I70" s="222"/>
      <c r="J70" s="223"/>
    </row>
    <row r="71" spans="1:10">
      <c r="A71" s="246"/>
      <c r="B71" s="184"/>
      <c r="C71" s="184"/>
      <c r="D71" s="262"/>
      <c r="E71" s="195" t="s">
        <v>589</v>
      </c>
      <c r="F71" s="233">
        <v>336</v>
      </c>
      <c r="G71" s="263"/>
      <c r="H71" s="189"/>
      <c r="I71" s="222"/>
      <c r="J71" s="223"/>
    </row>
    <row r="72" spans="1:10">
      <c r="A72" s="246"/>
      <c r="B72" s="184"/>
      <c r="C72" s="184"/>
      <c r="D72" s="262"/>
      <c r="E72" s="195" t="s">
        <v>578</v>
      </c>
      <c r="F72" s="236">
        <v>633</v>
      </c>
      <c r="G72" s="263"/>
      <c r="H72" s="189"/>
      <c r="I72" s="222"/>
      <c r="J72" s="223"/>
    </row>
    <row r="73" spans="1:10">
      <c r="A73" s="246"/>
      <c r="B73" s="184"/>
      <c r="C73" s="184"/>
      <c r="D73" s="262"/>
      <c r="E73" s="195"/>
      <c r="F73" s="233">
        <f>SUM(F71:F72)</f>
        <v>969</v>
      </c>
      <c r="G73" s="263"/>
      <c r="H73" s="189"/>
      <c r="I73" s="222"/>
      <c r="J73" s="223"/>
    </row>
    <row r="74" spans="1:10">
      <c r="A74" s="246"/>
      <c r="B74" s="184"/>
      <c r="C74" s="184"/>
      <c r="D74" s="262"/>
      <c r="E74" s="275"/>
      <c r="F74" s="276"/>
      <c r="G74" s="263"/>
      <c r="H74" s="189"/>
      <c r="I74" s="222"/>
      <c r="J74" s="223"/>
    </row>
    <row r="75" spans="1:10">
      <c r="A75" s="246"/>
      <c r="B75" s="184"/>
      <c r="C75" s="184"/>
      <c r="D75" s="262"/>
      <c r="E75" s="275"/>
      <c r="F75" s="276"/>
      <c r="G75" s="263"/>
      <c r="H75" s="189"/>
      <c r="I75" s="222"/>
      <c r="J75" s="223"/>
    </row>
    <row r="76" spans="1:10" ht="38.25">
      <c r="A76" s="25">
        <f>MAX(A$1:A75)+1</f>
        <v>9</v>
      </c>
      <c r="B76" s="23"/>
      <c r="C76" s="26" t="s">
        <v>227</v>
      </c>
      <c r="D76" s="27"/>
      <c r="E76" s="28" t="s">
        <v>228</v>
      </c>
      <c r="F76" s="254"/>
      <c r="G76" s="30" t="s">
        <v>7</v>
      </c>
      <c r="H76" s="59">
        <f>H77+H85</f>
        <v>460</v>
      </c>
      <c r="I76" s="376"/>
      <c r="J76" s="226">
        <f>H76*I76</f>
        <v>0</v>
      </c>
    </row>
    <row r="77" spans="1:10" ht="25.5">
      <c r="A77" s="246"/>
      <c r="B77" s="184"/>
      <c r="C77" s="272"/>
      <c r="D77" s="33" t="s">
        <v>229</v>
      </c>
      <c r="E77" s="34" t="s">
        <v>230</v>
      </c>
      <c r="F77" s="255"/>
      <c r="G77" s="36" t="s">
        <v>7</v>
      </c>
      <c r="H77" s="58">
        <v>369</v>
      </c>
      <c r="I77" s="225"/>
      <c r="J77" s="226"/>
    </row>
    <row r="78" spans="1:10">
      <c r="A78" s="246"/>
      <c r="B78" s="184"/>
      <c r="C78" s="272"/>
      <c r="D78" s="262"/>
      <c r="E78" s="258" t="s">
        <v>231</v>
      </c>
      <c r="F78" s="260"/>
      <c r="G78" s="263"/>
      <c r="H78" s="189"/>
      <c r="I78" s="222"/>
      <c r="J78" s="223"/>
    </row>
    <row r="79" spans="1:10">
      <c r="A79" s="246"/>
      <c r="B79" s="184"/>
      <c r="C79" s="272"/>
      <c r="D79" s="262"/>
      <c r="E79" s="195" t="s">
        <v>589</v>
      </c>
      <c r="F79" s="233">
        <v>62</v>
      </c>
      <c r="G79" s="263"/>
      <c r="H79" s="189"/>
      <c r="I79" s="222"/>
      <c r="J79" s="223"/>
    </row>
    <row r="80" spans="1:10">
      <c r="A80" s="246"/>
      <c r="B80" s="184"/>
      <c r="C80" s="272"/>
      <c r="D80" s="262"/>
      <c r="E80" s="195" t="s">
        <v>265</v>
      </c>
      <c r="F80" s="233">
        <v>93</v>
      </c>
      <c r="G80" s="263"/>
      <c r="H80" s="189"/>
      <c r="I80" s="222"/>
      <c r="J80" s="223"/>
    </row>
    <row r="81" spans="1:10">
      <c r="A81" s="246"/>
      <c r="B81" s="184"/>
      <c r="C81" s="272"/>
      <c r="D81" s="262"/>
      <c r="E81" s="195" t="s">
        <v>578</v>
      </c>
      <c r="F81" s="233">
        <v>123</v>
      </c>
      <c r="G81" s="263"/>
      <c r="H81" s="189"/>
      <c r="I81" s="222"/>
      <c r="J81" s="223"/>
    </row>
    <row r="82" spans="1:10">
      <c r="A82" s="246"/>
      <c r="B82" s="184"/>
      <c r="C82" s="272"/>
      <c r="D82" s="262"/>
      <c r="E82" s="195" t="s">
        <v>580</v>
      </c>
      <c r="F82" s="233">
        <v>49</v>
      </c>
      <c r="G82" s="263"/>
      <c r="H82" s="189"/>
      <c r="I82" s="222"/>
      <c r="J82" s="223"/>
    </row>
    <row r="83" spans="1:10">
      <c r="A83" s="246"/>
      <c r="B83" s="184"/>
      <c r="C83" s="184"/>
      <c r="D83" s="185"/>
      <c r="E83" s="195" t="s">
        <v>266</v>
      </c>
      <c r="F83" s="236">
        <v>42</v>
      </c>
      <c r="G83" s="188"/>
      <c r="H83" s="189"/>
      <c r="I83" s="222"/>
      <c r="J83" s="223"/>
    </row>
    <row r="84" spans="1:10">
      <c r="A84" s="246"/>
      <c r="B84" s="184"/>
      <c r="C84" s="184"/>
      <c r="D84" s="185"/>
      <c r="E84" s="186"/>
      <c r="F84" s="31">
        <f>SUM(F79:F83)</f>
        <v>369</v>
      </c>
      <c r="G84" s="188"/>
      <c r="H84" s="189"/>
      <c r="I84" s="222"/>
      <c r="J84" s="223"/>
    </row>
    <row r="85" spans="1:10" ht="25.5">
      <c r="A85" s="246"/>
      <c r="B85" s="184"/>
      <c r="C85" s="184"/>
      <c r="D85" s="33" t="s">
        <v>590</v>
      </c>
      <c r="E85" s="34" t="s">
        <v>591</v>
      </c>
      <c r="F85" s="35"/>
      <c r="G85" s="36" t="s">
        <v>7</v>
      </c>
      <c r="H85" s="58">
        <v>91</v>
      </c>
      <c r="I85" s="225"/>
      <c r="J85" s="226"/>
    </row>
    <row r="86" spans="1:10">
      <c r="A86" s="246"/>
      <c r="B86" s="184"/>
      <c r="C86" s="184"/>
      <c r="D86" s="33"/>
      <c r="E86" s="258" t="s">
        <v>592</v>
      </c>
      <c r="F86" s="35"/>
      <c r="G86" s="36"/>
      <c r="H86" s="189"/>
      <c r="I86" s="222"/>
      <c r="J86" s="223"/>
    </row>
    <row r="87" spans="1:10">
      <c r="A87" s="246"/>
      <c r="B87" s="184"/>
      <c r="C87" s="184"/>
      <c r="D87" s="33"/>
      <c r="E87" s="195" t="s">
        <v>265</v>
      </c>
      <c r="F87" s="233">
        <v>2</v>
      </c>
      <c r="G87" s="36"/>
      <c r="H87" s="189"/>
      <c r="I87" s="222"/>
      <c r="J87" s="223"/>
    </row>
    <row r="88" spans="1:10">
      <c r="A88" s="246"/>
      <c r="B88" s="184"/>
      <c r="C88" s="184"/>
      <c r="D88" s="33"/>
      <c r="E88" s="195" t="s">
        <v>578</v>
      </c>
      <c r="F88" s="233">
        <v>23</v>
      </c>
      <c r="G88" s="36"/>
      <c r="H88" s="189"/>
      <c r="I88" s="222"/>
      <c r="J88" s="223"/>
    </row>
    <row r="89" spans="1:10">
      <c r="A89" s="246"/>
      <c r="B89" s="184"/>
      <c r="C89" s="184"/>
      <c r="D89" s="33"/>
      <c r="E89" s="195" t="s">
        <v>580</v>
      </c>
      <c r="F89" s="236">
        <v>66</v>
      </c>
      <c r="G89" s="36"/>
      <c r="H89" s="189"/>
      <c r="I89" s="222"/>
      <c r="J89" s="223"/>
    </row>
    <row r="90" spans="1:10">
      <c r="A90" s="246"/>
      <c r="B90" s="184"/>
      <c r="C90" s="184"/>
      <c r="D90" s="33"/>
      <c r="E90" s="34"/>
      <c r="F90" s="31">
        <f>SUM(F87:F89)</f>
        <v>91</v>
      </c>
      <c r="G90" s="36"/>
      <c r="H90" s="189"/>
      <c r="I90" s="222"/>
      <c r="J90" s="223"/>
    </row>
    <row r="91" spans="1:10">
      <c r="A91" s="246"/>
      <c r="B91" s="184"/>
      <c r="C91" s="184"/>
      <c r="D91" s="33"/>
      <c r="E91" s="34"/>
      <c r="F91" s="31"/>
      <c r="G91" s="36"/>
      <c r="H91" s="189"/>
      <c r="I91" s="222"/>
      <c r="J91" s="223"/>
    </row>
    <row r="92" spans="1:10" ht="25.5">
      <c r="A92" s="25">
        <f>MAX(A$1:A91)+1</f>
        <v>10</v>
      </c>
      <c r="B92" s="184"/>
      <c r="C92" s="264" t="s">
        <v>235</v>
      </c>
      <c r="D92" s="27"/>
      <c r="E92" s="28" t="s">
        <v>236</v>
      </c>
      <c r="F92" s="265"/>
      <c r="G92" s="30" t="s">
        <v>1</v>
      </c>
      <c r="H92" s="266">
        <v>19</v>
      </c>
      <c r="I92" s="376"/>
      <c r="J92" s="226">
        <f>H92*I92</f>
        <v>0</v>
      </c>
    </row>
    <row r="93" spans="1:10">
      <c r="A93" s="246"/>
      <c r="B93" s="184"/>
      <c r="C93" s="39"/>
      <c r="D93" s="33"/>
      <c r="E93" s="268" t="s">
        <v>237</v>
      </c>
      <c r="F93" s="187"/>
      <c r="G93" s="36"/>
      <c r="H93" s="269"/>
      <c r="I93" s="222"/>
      <c r="J93" s="223"/>
    </row>
    <row r="94" spans="1:10">
      <c r="A94" s="246"/>
      <c r="B94" s="184"/>
      <c r="C94" s="39"/>
      <c r="D94" s="33"/>
      <c r="E94" s="268" t="s">
        <v>593</v>
      </c>
      <c r="F94" s="270">
        <v>19</v>
      </c>
      <c r="G94" s="36"/>
      <c r="H94" s="269"/>
      <c r="I94" s="222"/>
      <c r="J94" s="223"/>
    </row>
    <row r="95" spans="1:10">
      <c r="A95" s="246"/>
      <c r="B95" s="184"/>
      <c r="C95" s="184"/>
      <c r="D95" s="185"/>
      <c r="E95" s="186"/>
      <c r="F95" s="187"/>
      <c r="G95" s="188"/>
      <c r="H95" s="189"/>
      <c r="I95" s="222"/>
      <c r="J95" s="223"/>
    </row>
    <row r="96" spans="1:10">
      <c r="A96" s="25">
        <f>MAX(A$1:A95)+1</f>
        <v>11</v>
      </c>
      <c r="B96" s="184"/>
      <c r="C96" s="26" t="s">
        <v>27</v>
      </c>
      <c r="D96" s="27"/>
      <c r="E96" s="28" t="s">
        <v>28</v>
      </c>
      <c r="F96" s="254"/>
      <c r="G96" s="30" t="s">
        <v>0</v>
      </c>
      <c r="H96" s="59">
        <f>H97</f>
        <v>1296.96</v>
      </c>
      <c r="I96" s="376"/>
      <c r="J96" s="226">
        <f>H96*I96</f>
        <v>0</v>
      </c>
    </row>
    <row r="97" spans="1:10">
      <c r="A97" s="246"/>
      <c r="B97" s="184"/>
      <c r="C97" s="39"/>
      <c r="D97" s="33" t="s">
        <v>29</v>
      </c>
      <c r="E97" s="34" t="s">
        <v>30</v>
      </c>
      <c r="F97" s="255"/>
      <c r="G97" s="36" t="s">
        <v>0</v>
      </c>
      <c r="H97" s="58">
        <v>1296.96</v>
      </c>
      <c r="I97" s="222"/>
      <c r="J97" s="223"/>
    </row>
    <row r="98" spans="1:10">
      <c r="A98" s="246"/>
      <c r="B98" s="184"/>
      <c r="C98" s="272"/>
      <c r="D98" s="262"/>
      <c r="E98" s="195" t="s">
        <v>563</v>
      </c>
      <c r="F98" s="233">
        <f>5.5*0.44</f>
        <v>2.42</v>
      </c>
      <c r="G98" s="263"/>
      <c r="H98" s="271"/>
      <c r="I98" s="222"/>
      <c r="J98" s="223"/>
    </row>
    <row r="99" spans="1:10">
      <c r="A99" s="246"/>
      <c r="B99" s="184"/>
      <c r="C99" s="272"/>
      <c r="D99" s="262"/>
      <c r="E99" s="195" t="s">
        <v>564</v>
      </c>
      <c r="F99" s="233">
        <f>14*0.181</f>
        <v>2.5339999999999998</v>
      </c>
      <c r="G99" s="263"/>
      <c r="H99" s="271"/>
      <c r="I99" s="222"/>
      <c r="J99" s="223"/>
    </row>
    <row r="100" spans="1:10">
      <c r="A100" s="246"/>
      <c r="B100" s="184"/>
      <c r="C100" s="272"/>
      <c r="D100" s="262"/>
      <c r="E100" s="195" t="s">
        <v>565</v>
      </c>
      <c r="F100" s="233">
        <f>922*0.45</f>
        <v>414.90000000000003</v>
      </c>
      <c r="G100" s="263"/>
      <c r="H100" s="271"/>
      <c r="I100" s="222"/>
      <c r="J100" s="223"/>
    </row>
    <row r="101" spans="1:10">
      <c r="A101" s="246"/>
      <c r="B101" s="184"/>
      <c r="C101" s="272"/>
      <c r="D101" s="262"/>
      <c r="E101" s="195" t="s">
        <v>566</v>
      </c>
      <c r="F101" s="233">
        <f>181*0.288</f>
        <v>52.127999999999993</v>
      </c>
      <c r="G101" s="263"/>
      <c r="H101" s="271"/>
      <c r="I101" s="222"/>
      <c r="J101" s="223"/>
    </row>
    <row r="102" spans="1:10">
      <c r="A102" s="246"/>
      <c r="B102" s="184"/>
      <c r="C102" s="272"/>
      <c r="D102" s="262"/>
      <c r="E102" s="195" t="s">
        <v>567</v>
      </c>
      <c r="F102" s="233">
        <f>117*0.397</f>
        <v>46.449000000000005</v>
      </c>
      <c r="G102" s="263"/>
      <c r="H102" s="271"/>
      <c r="I102" s="222"/>
      <c r="J102" s="223"/>
    </row>
    <row r="103" spans="1:10">
      <c r="A103" s="246"/>
      <c r="B103" s="184"/>
      <c r="C103" s="272"/>
      <c r="D103" s="262"/>
      <c r="E103" s="195" t="s">
        <v>568</v>
      </c>
      <c r="F103" s="233">
        <f>103*0.22</f>
        <v>22.66</v>
      </c>
      <c r="G103" s="263"/>
      <c r="H103" s="271"/>
      <c r="I103" s="222"/>
      <c r="J103" s="223"/>
    </row>
    <row r="104" spans="1:10">
      <c r="A104" s="246"/>
      <c r="B104" s="184"/>
      <c r="C104" s="272"/>
      <c r="D104" s="262"/>
      <c r="E104" s="195" t="s">
        <v>569</v>
      </c>
      <c r="F104" s="233">
        <f>969*0.45</f>
        <v>436.05</v>
      </c>
      <c r="G104" s="263"/>
      <c r="H104" s="271"/>
      <c r="I104" s="222"/>
      <c r="J104" s="223"/>
    </row>
    <row r="105" spans="1:10">
      <c r="A105" s="246"/>
      <c r="B105" s="184"/>
      <c r="C105" s="272"/>
      <c r="D105" s="262"/>
      <c r="E105" s="195" t="s">
        <v>570</v>
      </c>
      <c r="F105" s="233">
        <f>369*0.145</f>
        <v>53.504999999999995</v>
      </c>
      <c r="G105" s="263"/>
      <c r="H105" s="271"/>
      <c r="I105" s="222"/>
      <c r="J105" s="223"/>
    </row>
    <row r="106" spans="1:10">
      <c r="A106" s="246"/>
      <c r="B106" s="184"/>
      <c r="C106" s="272"/>
      <c r="D106" s="262"/>
      <c r="E106" s="195" t="s">
        <v>571</v>
      </c>
      <c r="F106" s="233">
        <f>91*0.04</f>
        <v>3.64</v>
      </c>
      <c r="G106" s="263"/>
      <c r="H106" s="271"/>
      <c r="I106" s="222"/>
      <c r="J106" s="223"/>
    </row>
    <row r="107" spans="1:10">
      <c r="A107" s="246"/>
      <c r="B107" s="184"/>
      <c r="C107" s="272"/>
      <c r="D107" s="262"/>
      <c r="E107" s="195" t="s">
        <v>572</v>
      </c>
      <c r="F107" s="233">
        <f>2056*0.127</f>
        <v>261.11200000000002</v>
      </c>
      <c r="G107" s="263"/>
      <c r="H107" s="271"/>
      <c r="I107" s="222"/>
      <c r="J107" s="223"/>
    </row>
    <row r="108" spans="1:10">
      <c r="A108" s="246"/>
      <c r="B108" s="184"/>
      <c r="C108" s="272"/>
      <c r="D108" s="262"/>
      <c r="E108" s="268" t="s">
        <v>594</v>
      </c>
      <c r="F108" s="273">
        <f>19*0.082</f>
        <v>1.5580000000000001</v>
      </c>
      <c r="G108" s="263"/>
      <c r="H108" s="271"/>
      <c r="I108" s="274"/>
      <c r="J108" s="223"/>
    </row>
    <row r="109" spans="1:10">
      <c r="A109" s="246"/>
      <c r="B109" s="184"/>
      <c r="C109" s="272"/>
      <c r="D109" s="262"/>
      <c r="E109" s="195"/>
      <c r="F109" s="233">
        <f>SUM(F98:F108)</f>
        <v>1296.9560000000004</v>
      </c>
      <c r="G109" s="263"/>
      <c r="H109" s="269"/>
      <c r="I109" s="222"/>
      <c r="J109" s="223"/>
    </row>
    <row r="110" spans="1:10">
      <c r="A110" s="246"/>
      <c r="B110" s="184"/>
      <c r="C110" s="272"/>
      <c r="D110" s="262"/>
      <c r="E110" s="275"/>
      <c r="F110" s="276"/>
      <c r="G110" s="263"/>
      <c r="H110" s="269"/>
      <c r="I110" s="222"/>
      <c r="J110" s="223"/>
    </row>
    <row r="111" spans="1:10">
      <c r="A111" s="246"/>
      <c r="B111" s="184"/>
      <c r="C111" s="184"/>
      <c r="D111" s="185"/>
      <c r="E111" s="186"/>
      <c r="F111" s="187"/>
      <c r="G111" s="188"/>
      <c r="H111" s="189"/>
      <c r="I111" s="222"/>
      <c r="J111" s="223"/>
    </row>
    <row r="112" spans="1:10" ht="25.5">
      <c r="A112" s="25">
        <f>MAX(A$25:A111)+1</f>
        <v>12</v>
      </c>
      <c r="B112" s="23"/>
      <c r="C112" s="26" t="s">
        <v>31</v>
      </c>
      <c r="D112" s="27"/>
      <c r="E112" s="28" t="s">
        <v>32</v>
      </c>
      <c r="F112" s="254"/>
      <c r="G112" s="30" t="s">
        <v>2</v>
      </c>
      <c r="H112" s="59">
        <f>H113</f>
        <v>2056</v>
      </c>
      <c r="I112" s="376"/>
      <c r="J112" s="226">
        <f>H112*I112</f>
        <v>0</v>
      </c>
    </row>
    <row r="113" spans="1:10" ht="25.5">
      <c r="A113" s="246"/>
      <c r="B113" s="184"/>
      <c r="C113" s="184"/>
      <c r="D113" s="33" t="s">
        <v>33</v>
      </c>
      <c r="E113" s="34" t="s">
        <v>34</v>
      </c>
      <c r="F113" s="255"/>
      <c r="G113" s="36" t="s">
        <v>2</v>
      </c>
      <c r="H113" s="58">
        <v>2056</v>
      </c>
      <c r="I113" s="222"/>
      <c r="J113" s="223"/>
    </row>
    <row r="114" spans="1:10" ht="25.5">
      <c r="A114" s="246"/>
      <c r="B114" s="184"/>
      <c r="C114" s="184"/>
      <c r="D114" s="185"/>
      <c r="E114" s="258" t="s">
        <v>595</v>
      </c>
      <c r="F114" s="180"/>
      <c r="G114" s="188"/>
      <c r="H114" s="189"/>
      <c r="I114" s="222"/>
      <c r="J114" s="223"/>
    </row>
    <row r="115" spans="1:10">
      <c r="A115" s="246"/>
      <c r="B115" s="184"/>
      <c r="C115" s="184"/>
      <c r="D115" s="185"/>
      <c r="E115" s="195" t="s">
        <v>596</v>
      </c>
      <c r="F115" s="233">
        <f>429*2</f>
        <v>858</v>
      </c>
      <c r="G115" s="188"/>
      <c r="H115" s="189"/>
      <c r="I115" s="222"/>
      <c r="J115" s="223"/>
    </row>
    <row r="116" spans="1:10">
      <c r="A116" s="246"/>
      <c r="B116" s="184"/>
      <c r="C116" s="184"/>
      <c r="D116" s="185"/>
      <c r="E116" s="195" t="s">
        <v>597</v>
      </c>
      <c r="F116" s="236">
        <f>599*2</f>
        <v>1198</v>
      </c>
      <c r="G116" s="188"/>
      <c r="H116" s="189"/>
      <c r="I116" s="222"/>
      <c r="J116" s="223"/>
    </row>
    <row r="117" spans="1:10">
      <c r="A117" s="246"/>
      <c r="B117" s="184"/>
      <c r="C117" s="184"/>
      <c r="D117" s="185"/>
      <c r="E117" s="195"/>
      <c r="F117" s="233">
        <f>SUM(F115:F116)</f>
        <v>2056</v>
      </c>
      <c r="G117" s="188"/>
      <c r="H117" s="189"/>
      <c r="I117" s="222"/>
      <c r="J117" s="223"/>
    </row>
    <row r="118" spans="1:10">
      <c r="A118" s="246"/>
      <c r="B118" s="184"/>
      <c r="C118" s="184"/>
      <c r="D118" s="185"/>
      <c r="E118" s="186"/>
      <c r="F118" s="187"/>
      <c r="G118" s="188"/>
      <c r="H118" s="189"/>
      <c r="I118" s="222"/>
      <c r="J118" s="223"/>
    </row>
    <row r="119" spans="1:10" ht="25.5">
      <c r="A119" s="25">
        <f>MAX(A$25:A118)+1</f>
        <v>13</v>
      </c>
      <c r="B119" s="23"/>
      <c r="C119" s="26" t="s">
        <v>35</v>
      </c>
      <c r="D119" s="27"/>
      <c r="E119" s="28" t="s">
        <v>36</v>
      </c>
      <c r="F119" s="29"/>
      <c r="G119" s="30" t="s">
        <v>7</v>
      </c>
      <c r="H119" s="59">
        <f>H120+H129</f>
        <v>1366</v>
      </c>
      <c r="I119" s="376"/>
      <c r="J119" s="226">
        <f>H119*I119</f>
        <v>0</v>
      </c>
    </row>
    <row r="120" spans="1:10" ht="25.5">
      <c r="A120" s="25"/>
      <c r="B120" s="23"/>
      <c r="C120" s="26"/>
      <c r="D120" s="33" t="s">
        <v>37</v>
      </c>
      <c r="E120" s="34" t="s">
        <v>38</v>
      </c>
      <c r="F120" s="35"/>
      <c r="G120" s="36" t="s">
        <v>7</v>
      </c>
      <c r="H120" s="58">
        <v>1169</v>
      </c>
      <c r="I120" s="225"/>
      <c r="J120" s="226"/>
    </row>
    <row r="121" spans="1:10">
      <c r="A121" s="25"/>
      <c r="B121" s="23"/>
      <c r="C121" s="26"/>
      <c r="D121" s="27"/>
      <c r="E121" s="195" t="s">
        <v>598</v>
      </c>
      <c r="F121" s="29"/>
      <c r="G121" s="30"/>
      <c r="H121" s="59"/>
      <c r="I121" s="222"/>
      <c r="J121" s="223"/>
    </row>
    <row r="122" spans="1:10">
      <c r="A122" s="25"/>
      <c r="B122" s="23"/>
      <c r="C122" s="26"/>
      <c r="D122" s="27"/>
      <c r="E122" s="195" t="s">
        <v>599</v>
      </c>
      <c r="F122" s="233">
        <v>13</v>
      </c>
      <c r="G122" s="30"/>
      <c r="H122" s="59"/>
      <c r="I122" s="222"/>
      <c r="J122" s="223"/>
    </row>
    <row r="123" spans="1:10">
      <c r="A123" s="25"/>
      <c r="B123" s="23"/>
      <c r="C123" s="26"/>
      <c r="D123" s="27"/>
      <c r="E123" s="258" t="s">
        <v>244</v>
      </c>
      <c r="F123" s="233"/>
      <c r="G123" s="30"/>
      <c r="H123" s="59"/>
      <c r="I123" s="222"/>
      <c r="J123" s="223"/>
    </row>
    <row r="124" spans="1:10">
      <c r="A124" s="25"/>
      <c r="B124" s="23"/>
      <c r="C124" s="26"/>
      <c r="D124" s="27"/>
      <c r="E124" s="195" t="s">
        <v>600</v>
      </c>
      <c r="F124" s="233">
        <v>360</v>
      </c>
      <c r="G124" s="30"/>
      <c r="H124" s="59"/>
      <c r="I124" s="222"/>
      <c r="J124" s="223"/>
    </row>
    <row r="125" spans="1:10">
      <c r="A125" s="25"/>
      <c r="B125" s="23"/>
      <c r="C125" s="26"/>
      <c r="D125" s="27"/>
      <c r="E125" s="195" t="s">
        <v>601</v>
      </c>
      <c r="F125" s="233">
        <v>657</v>
      </c>
      <c r="G125" s="30"/>
      <c r="H125" s="59"/>
      <c r="I125" s="222"/>
      <c r="J125" s="223"/>
    </row>
    <row r="126" spans="1:10">
      <c r="A126" s="25"/>
      <c r="B126" s="23"/>
      <c r="C126" s="26"/>
      <c r="D126" s="27"/>
      <c r="E126" s="195" t="s">
        <v>602</v>
      </c>
      <c r="F126" s="236">
        <v>139</v>
      </c>
      <c r="G126" s="30"/>
      <c r="H126" s="59"/>
      <c r="I126" s="222"/>
      <c r="J126" s="223"/>
    </row>
    <row r="127" spans="1:10">
      <c r="A127" s="25"/>
      <c r="B127" s="23"/>
      <c r="C127" s="26"/>
      <c r="D127" s="27"/>
      <c r="E127" s="195"/>
      <c r="F127" s="233">
        <f>SUM(F122:F126)</f>
        <v>1169</v>
      </c>
      <c r="G127" s="30"/>
      <c r="H127" s="59"/>
      <c r="I127" s="222"/>
      <c r="J127" s="223"/>
    </row>
    <row r="128" spans="1:10">
      <c r="A128" s="25"/>
      <c r="B128" s="23"/>
      <c r="C128" s="26"/>
      <c r="D128" s="27"/>
      <c r="E128" s="195"/>
      <c r="F128" s="233"/>
      <c r="G128" s="30"/>
      <c r="H128" s="59"/>
      <c r="I128" s="222"/>
      <c r="J128" s="223"/>
    </row>
    <row r="129" spans="1:10" ht="25.5">
      <c r="A129" s="22"/>
      <c r="B129" s="23"/>
      <c r="C129" s="39"/>
      <c r="D129" s="33" t="s">
        <v>247</v>
      </c>
      <c r="E129" s="34" t="s">
        <v>248</v>
      </c>
      <c r="F129" s="35"/>
      <c r="G129" s="36" t="s">
        <v>7</v>
      </c>
      <c r="H129" s="58">
        <v>197</v>
      </c>
      <c r="I129" s="225"/>
      <c r="J129" s="226"/>
    </row>
    <row r="130" spans="1:10">
      <c r="A130" s="246"/>
      <c r="B130" s="184"/>
      <c r="C130" s="184"/>
      <c r="D130" s="185"/>
      <c r="E130" s="195" t="s">
        <v>249</v>
      </c>
      <c r="F130" s="279"/>
      <c r="G130" s="188"/>
      <c r="H130" s="189"/>
      <c r="I130" s="222"/>
      <c r="J130" s="223"/>
    </row>
    <row r="131" spans="1:10">
      <c r="A131" s="246"/>
      <c r="B131" s="184"/>
      <c r="C131" s="184"/>
      <c r="D131" s="185"/>
      <c r="E131" s="195" t="s">
        <v>603</v>
      </c>
      <c r="F131" s="270">
        <v>74</v>
      </c>
      <c r="G131" s="188"/>
      <c r="H131" s="189"/>
      <c r="I131" s="222"/>
      <c r="J131" s="223"/>
    </row>
    <row r="132" spans="1:10">
      <c r="A132" s="246"/>
      <c r="B132" s="184"/>
      <c r="C132" s="184"/>
      <c r="D132" s="185"/>
      <c r="E132" s="195" t="s">
        <v>604</v>
      </c>
      <c r="F132" s="270">
        <v>115</v>
      </c>
      <c r="G132" s="188"/>
      <c r="H132" s="189"/>
      <c r="I132" s="222"/>
      <c r="J132" s="223"/>
    </row>
    <row r="133" spans="1:10">
      <c r="A133" s="246"/>
      <c r="B133" s="184"/>
      <c r="C133" s="184"/>
      <c r="D133" s="185"/>
      <c r="E133" s="195" t="s">
        <v>605</v>
      </c>
      <c r="F133" s="304">
        <v>8</v>
      </c>
      <c r="G133" s="188"/>
      <c r="H133" s="189"/>
      <c r="I133" s="222"/>
      <c r="J133" s="223"/>
    </row>
    <row r="134" spans="1:10">
      <c r="A134" s="246"/>
      <c r="B134" s="184"/>
      <c r="C134" s="184"/>
      <c r="D134" s="185"/>
      <c r="E134" s="195"/>
      <c r="F134" s="270">
        <f>SUM(F131:F133)</f>
        <v>197</v>
      </c>
      <c r="G134" s="188"/>
      <c r="H134" s="189"/>
      <c r="I134" s="222"/>
      <c r="J134" s="223"/>
    </row>
    <row r="135" spans="1:10">
      <c r="A135" s="246"/>
      <c r="B135" s="184"/>
      <c r="C135" s="184"/>
      <c r="D135" s="185"/>
      <c r="E135" s="186"/>
      <c r="F135" s="187"/>
      <c r="G135" s="188"/>
      <c r="H135" s="189"/>
      <c r="I135" s="222"/>
      <c r="J135" s="223"/>
    </row>
    <row r="136" spans="1:10">
      <c r="A136" s="22"/>
      <c r="B136" s="23"/>
      <c r="C136" s="23"/>
      <c r="D136" s="24"/>
      <c r="E136" s="179"/>
      <c r="F136" s="180"/>
      <c r="G136" s="155"/>
      <c r="H136" s="181"/>
      <c r="I136" s="222"/>
      <c r="J136" s="223"/>
    </row>
    <row r="137" spans="1:10">
      <c r="A137" s="22"/>
      <c r="B137" s="280" t="s">
        <v>39</v>
      </c>
      <c r="C137" s="281"/>
      <c r="D137" s="282"/>
      <c r="E137" s="283" t="s">
        <v>40</v>
      </c>
      <c r="F137" s="284"/>
      <c r="G137" s="285"/>
      <c r="H137" s="181"/>
      <c r="I137" s="222"/>
      <c r="J137" s="223"/>
    </row>
    <row r="138" spans="1:10">
      <c r="A138" s="22"/>
      <c r="B138" s="23"/>
      <c r="C138" s="23"/>
      <c r="D138" s="24"/>
      <c r="E138" s="179"/>
      <c r="F138" s="180"/>
      <c r="G138" s="155"/>
      <c r="H138" s="181"/>
      <c r="I138" s="222"/>
      <c r="J138" s="223"/>
    </row>
    <row r="139" spans="1:10">
      <c r="A139" s="25">
        <f>MAX(A$25:A138)+1</f>
        <v>14</v>
      </c>
      <c r="B139" s="23"/>
      <c r="C139" s="26" t="s">
        <v>41</v>
      </c>
      <c r="D139" s="27"/>
      <c r="E139" s="28" t="s">
        <v>42</v>
      </c>
      <c r="F139" s="254"/>
      <c r="G139" s="30" t="s">
        <v>2</v>
      </c>
      <c r="H139" s="59">
        <f>H140</f>
        <v>1280</v>
      </c>
      <c r="I139" s="376"/>
      <c r="J139" s="226">
        <f>H139*I139</f>
        <v>0</v>
      </c>
    </row>
    <row r="140" spans="1:10">
      <c r="A140" s="22"/>
      <c r="B140" s="23"/>
      <c r="C140" s="39"/>
      <c r="D140" s="33" t="s">
        <v>43</v>
      </c>
      <c r="E140" s="34" t="s">
        <v>44</v>
      </c>
      <c r="F140" s="255"/>
      <c r="G140" s="36" t="s">
        <v>2</v>
      </c>
      <c r="H140" s="58">
        <v>1280</v>
      </c>
      <c r="I140" s="222"/>
      <c r="J140" s="223"/>
    </row>
    <row r="141" spans="1:10" ht="25.5">
      <c r="A141" s="22"/>
      <c r="B141" s="23"/>
      <c r="C141" s="23"/>
      <c r="D141" s="24"/>
      <c r="E141" s="195" t="s">
        <v>252</v>
      </c>
      <c r="F141" s="233"/>
      <c r="G141" s="155"/>
      <c r="H141" s="181"/>
      <c r="I141" s="222"/>
      <c r="J141" s="223"/>
    </row>
    <row r="142" spans="1:10">
      <c r="A142" s="22"/>
      <c r="B142" s="23"/>
      <c r="C142" s="23"/>
      <c r="D142" s="24"/>
      <c r="E142" s="195" t="s">
        <v>589</v>
      </c>
      <c r="F142" s="233">
        <v>180</v>
      </c>
      <c r="G142" s="155"/>
      <c r="H142" s="181"/>
      <c r="I142" s="222"/>
      <c r="J142" s="223"/>
    </row>
    <row r="143" spans="1:10">
      <c r="A143" s="22"/>
      <c r="B143" s="23"/>
      <c r="C143" s="23"/>
      <c r="D143" s="24"/>
      <c r="E143" s="195" t="s">
        <v>265</v>
      </c>
      <c r="F143" s="233">
        <v>400</v>
      </c>
      <c r="G143" s="155"/>
      <c r="H143" s="181"/>
      <c r="I143" s="222"/>
      <c r="J143" s="223"/>
    </row>
    <row r="144" spans="1:10">
      <c r="A144" s="22"/>
      <c r="B144" s="23"/>
      <c r="C144" s="23"/>
      <c r="D144" s="24"/>
      <c r="E144" s="195" t="s">
        <v>578</v>
      </c>
      <c r="F144" s="233">
        <v>270</v>
      </c>
      <c r="G144" s="155"/>
      <c r="H144" s="181"/>
      <c r="I144" s="222"/>
      <c r="J144" s="223"/>
    </row>
    <row r="145" spans="1:10">
      <c r="A145" s="22"/>
      <c r="B145" s="23"/>
      <c r="C145" s="23"/>
      <c r="D145" s="24"/>
      <c r="E145" s="195" t="s">
        <v>580</v>
      </c>
      <c r="F145" s="233">
        <v>80</v>
      </c>
      <c r="G145" s="155"/>
      <c r="H145" s="181"/>
      <c r="I145" s="222"/>
      <c r="J145" s="223"/>
    </row>
    <row r="146" spans="1:10">
      <c r="A146" s="22"/>
      <c r="B146" s="23"/>
      <c r="C146" s="23"/>
      <c r="D146" s="24"/>
      <c r="E146" s="195" t="s">
        <v>266</v>
      </c>
      <c r="F146" s="236">
        <v>350</v>
      </c>
      <c r="G146" s="155"/>
      <c r="H146" s="181"/>
      <c r="I146" s="222"/>
      <c r="J146" s="223"/>
    </row>
    <row r="147" spans="1:10">
      <c r="A147" s="22"/>
      <c r="B147" s="23"/>
      <c r="C147" s="23"/>
      <c r="D147" s="24"/>
      <c r="E147" s="195"/>
      <c r="F147" s="233">
        <f>SUM(F142:F146)</f>
        <v>1280</v>
      </c>
      <c r="G147" s="155"/>
      <c r="H147" s="181"/>
      <c r="I147" s="222"/>
      <c r="J147" s="223"/>
    </row>
    <row r="148" spans="1:10">
      <c r="A148" s="22"/>
      <c r="B148" s="23"/>
      <c r="C148" s="23"/>
      <c r="D148" s="24"/>
      <c r="E148" s="179"/>
      <c r="F148" s="180"/>
      <c r="G148" s="155"/>
      <c r="H148" s="181"/>
      <c r="I148" s="222"/>
      <c r="J148" s="223"/>
    </row>
    <row r="149" spans="1:10">
      <c r="A149" s="25">
        <f>MAX(A$1:A148)+1</f>
        <v>15</v>
      </c>
      <c r="B149" s="23"/>
      <c r="C149" s="26" t="s">
        <v>253</v>
      </c>
      <c r="D149" s="27"/>
      <c r="E149" s="28" t="s">
        <v>254</v>
      </c>
      <c r="F149" s="254"/>
      <c r="G149" s="30" t="s">
        <v>8</v>
      </c>
      <c r="H149" s="59">
        <v>128</v>
      </c>
      <c r="I149" s="376"/>
      <c r="J149" s="226">
        <f>H149*I149</f>
        <v>0</v>
      </c>
    </row>
    <row r="150" spans="1:10">
      <c r="A150" s="22"/>
      <c r="B150" s="23"/>
      <c r="C150" s="39"/>
      <c r="D150" s="33" t="s">
        <v>255</v>
      </c>
      <c r="E150" s="34" t="s">
        <v>256</v>
      </c>
      <c r="F150" s="255"/>
      <c r="G150" s="36" t="s">
        <v>8</v>
      </c>
      <c r="H150" s="58">
        <v>128</v>
      </c>
      <c r="I150" s="222"/>
      <c r="J150" s="223"/>
    </row>
    <row r="151" spans="1:10" ht="25.5">
      <c r="A151" s="22"/>
      <c r="B151" s="23"/>
      <c r="C151" s="23"/>
      <c r="D151" s="24"/>
      <c r="E151" s="195" t="s">
        <v>606</v>
      </c>
      <c r="F151" s="331">
        <f>1280*0.1</f>
        <v>128</v>
      </c>
      <c r="G151" s="155"/>
      <c r="H151" s="181"/>
      <c r="I151" s="222"/>
      <c r="J151" s="223"/>
    </row>
    <row r="152" spans="1:10">
      <c r="A152" s="246"/>
      <c r="B152" s="184"/>
      <c r="C152" s="184"/>
      <c r="D152" s="185"/>
      <c r="E152" s="186"/>
      <c r="F152" s="187"/>
      <c r="G152" s="188"/>
      <c r="H152" s="189"/>
      <c r="I152" s="222"/>
      <c r="J152" s="223"/>
    </row>
    <row r="153" spans="1:10">
      <c r="A153" s="25">
        <f>MAX(A$1:A152)+1</f>
        <v>16</v>
      </c>
      <c r="B153" s="23"/>
      <c r="C153" s="26" t="s">
        <v>103</v>
      </c>
      <c r="D153" s="27"/>
      <c r="E153" s="28" t="s">
        <v>104</v>
      </c>
      <c r="F153" s="254"/>
      <c r="G153" s="30" t="s">
        <v>8</v>
      </c>
      <c r="H153" s="59">
        <v>128</v>
      </c>
      <c r="I153" s="376"/>
      <c r="J153" s="226">
        <f>H153*I153</f>
        <v>0</v>
      </c>
    </row>
    <row r="154" spans="1:10" ht="25.5">
      <c r="A154" s="22"/>
      <c r="B154" s="23"/>
      <c r="C154" s="23"/>
      <c r="D154" s="33" t="s">
        <v>105</v>
      </c>
      <c r="E154" s="34" t="s">
        <v>106</v>
      </c>
      <c r="F154" s="35"/>
      <c r="G154" s="36" t="s">
        <v>8</v>
      </c>
      <c r="H154" s="58">
        <v>128</v>
      </c>
      <c r="I154" s="222"/>
      <c r="J154" s="223"/>
    </row>
    <row r="155" spans="1:10" ht="25.5">
      <c r="A155" s="22"/>
      <c r="B155" s="23"/>
      <c r="C155" s="23"/>
      <c r="D155" s="24"/>
      <c r="E155" s="195" t="s">
        <v>607</v>
      </c>
      <c r="F155" s="331">
        <f>1280*0.1</f>
        <v>128</v>
      </c>
      <c r="G155" s="155"/>
      <c r="H155" s="181"/>
      <c r="I155" s="222"/>
      <c r="J155" s="223"/>
    </row>
    <row r="156" spans="1:10">
      <c r="A156" s="246"/>
      <c r="B156" s="184"/>
      <c r="C156" s="184"/>
      <c r="D156" s="185"/>
      <c r="E156" s="186"/>
      <c r="F156" s="187"/>
      <c r="G156" s="188"/>
      <c r="H156" s="189"/>
      <c r="I156" s="222"/>
      <c r="J156" s="223"/>
    </row>
    <row r="157" spans="1:10">
      <c r="A157" s="25">
        <f>MAX(A$6:A156)+1</f>
        <v>17</v>
      </c>
      <c r="B157" s="23"/>
      <c r="C157" s="26" t="s">
        <v>259</v>
      </c>
      <c r="D157" s="27"/>
      <c r="E157" s="28" t="s">
        <v>260</v>
      </c>
      <c r="F157" s="254"/>
      <c r="G157" s="30" t="s">
        <v>8</v>
      </c>
      <c r="H157" s="59">
        <f>H158</f>
        <v>256</v>
      </c>
      <c r="I157" s="376"/>
      <c r="J157" s="226">
        <f>H157*I157</f>
        <v>0</v>
      </c>
    </row>
    <row r="158" spans="1:10" ht="25.5">
      <c r="A158" s="22"/>
      <c r="B158" s="23"/>
      <c r="C158" s="39"/>
      <c r="D158" s="33" t="s">
        <v>261</v>
      </c>
      <c r="E158" s="34" t="s">
        <v>262</v>
      </c>
      <c r="F158" s="255"/>
      <c r="G158" s="36" t="s">
        <v>8</v>
      </c>
      <c r="H158" s="58">
        <v>256</v>
      </c>
      <c r="I158" s="222"/>
      <c r="J158" s="223"/>
    </row>
    <row r="159" spans="1:10" ht="25.5">
      <c r="A159" s="22"/>
      <c r="B159" s="23"/>
      <c r="C159" s="23"/>
      <c r="D159" s="24"/>
      <c r="E159" s="195" t="s">
        <v>608</v>
      </c>
      <c r="F159" s="331">
        <f>128*2</f>
        <v>256</v>
      </c>
      <c r="G159" s="155"/>
      <c r="H159" s="181"/>
      <c r="I159" s="222"/>
      <c r="J159" s="223"/>
    </row>
    <row r="160" spans="1:10">
      <c r="A160" s="246"/>
      <c r="B160" s="184"/>
      <c r="C160" s="184"/>
      <c r="D160" s="185"/>
      <c r="E160" s="186"/>
      <c r="F160" s="187"/>
      <c r="G160" s="188"/>
      <c r="H160" s="189"/>
      <c r="I160" s="222"/>
      <c r="J160" s="223"/>
    </row>
    <row r="161" spans="1:10">
      <c r="A161" s="25"/>
      <c r="B161" s="41"/>
      <c r="C161" s="42"/>
      <c r="D161" s="296"/>
      <c r="E161" s="297"/>
      <c r="F161" s="32"/>
      <c r="G161" s="24"/>
      <c r="H161" s="58"/>
      <c r="I161" s="222"/>
      <c r="J161" s="223"/>
    </row>
    <row r="162" spans="1:10">
      <c r="A162" s="25"/>
      <c r="B162" s="280" t="s">
        <v>69</v>
      </c>
      <c r="C162" s="281"/>
      <c r="D162" s="282"/>
      <c r="E162" s="251" t="s">
        <v>70</v>
      </c>
      <c r="F162" s="298"/>
      <c r="G162" s="299"/>
      <c r="H162" s="58"/>
      <c r="I162" s="222"/>
      <c r="J162" s="223"/>
    </row>
    <row r="163" spans="1:10">
      <c r="A163" s="25"/>
      <c r="B163" s="41"/>
      <c r="C163" s="42"/>
      <c r="D163" s="296"/>
      <c r="E163" s="297"/>
      <c r="F163" s="270"/>
      <c r="G163" s="24"/>
      <c r="H163" s="58"/>
      <c r="I163" s="222"/>
      <c r="J163" s="223"/>
    </row>
    <row r="164" spans="1:10">
      <c r="A164" s="25">
        <f>MAX(A$1:A163)+1</f>
        <v>18</v>
      </c>
      <c r="B164" s="41"/>
      <c r="C164" s="26" t="s">
        <v>53</v>
      </c>
      <c r="D164" s="39"/>
      <c r="E164" s="28" t="s">
        <v>54</v>
      </c>
      <c r="F164" s="254"/>
      <c r="G164" s="30" t="s">
        <v>8</v>
      </c>
      <c r="H164" s="59">
        <f>H165</f>
        <v>918</v>
      </c>
      <c r="I164" s="376"/>
      <c r="J164" s="226">
        <f>H164*I164</f>
        <v>0</v>
      </c>
    </row>
    <row r="165" spans="1:10" ht="25.5">
      <c r="A165" s="25"/>
      <c r="B165" s="41"/>
      <c r="C165" s="42"/>
      <c r="D165" s="39" t="s">
        <v>55</v>
      </c>
      <c r="E165" s="34" t="s">
        <v>56</v>
      </c>
      <c r="F165" s="255"/>
      <c r="G165" s="36" t="s">
        <v>8</v>
      </c>
      <c r="H165" s="58">
        <v>918</v>
      </c>
      <c r="I165" s="222"/>
      <c r="J165" s="223"/>
    </row>
    <row r="166" spans="1:10">
      <c r="A166" s="256"/>
      <c r="B166" s="301"/>
      <c r="C166" s="302"/>
      <c r="D166" s="303"/>
      <c r="E166" s="195" t="s">
        <v>264</v>
      </c>
      <c r="F166" s="270">
        <v>82</v>
      </c>
      <c r="G166" s="185"/>
      <c r="H166" s="269"/>
      <c r="I166" s="222"/>
      <c r="J166" s="223"/>
    </row>
    <row r="167" spans="1:10">
      <c r="A167" s="256"/>
      <c r="B167" s="301"/>
      <c r="C167" s="302"/>
      <c r="D167" s="303"/>
      <c r="E167" s="195" t="s">
        <v>589</v>
      </c>
      <c r="F167" s="270">
        <v>58</v>
      </c>
      <c r="G167" s="185"/>
      <c r="H167" s="269"/>
      <c r="I167" s="222"/>
      <c r="J167" s="223"/>
    </row>
    <row r="168" spans="1:10">
      <c r="A168" s="256"/>
      <c r="B168" s="301"/>
      <c r="C168" s="302"/>
      <c r="D168" s="303"/>
      <c r="E168" s="195" t="s">
        <v>265</v>
      </c>
      <c r="F168" s="270">
        <v>72</v>
      </c>
      <c r="G168" s="185"/>
      <c r="H168" s="269"/>
      <c r="I168" s="222"/>
      <c r="J168" s="223"/>
    </row>
    <row r="169" spans="1:10">
      <c r="A169" s="256"/>
      <c r="B169" s="301"/>
      <c r="C169" s="302"/>
      <c r="D169" s="303"/>
      <c r="E169" s="195" t="s">
        <v>578</v>
      </c>
      <c r="F169" s="270">
        <v>467</v>
      </c>
      <c r="G169" s="185"/>
      <c r="H169" s="269"/>
      <c r="I169" s="222"/>
      <c r="J169" s="223"/>
    </row>
    <row r="170" spans="1:10">
      <c r="A170" s="256"/>
      <c r="B170" s="301"/>
      <c r="C170" s="302"/>
      <c r="D170" s="303"/>
      <c r="E170" s="195" t="s">
        <v>580</v>
      </c>
      <c r="F170" s="270">
        <v>154</v>
      </c>
      <c r="G170" s="185"/>
      <c r="H170" s="269"/>
      <c r="I170" s="222"/>
      <c r="J170" s="223"/>
    </row>
    <row r="171" spans="1:10">
      <c r="A171" s="256"/>
      <c r="B171" s="301"/>
      <c r="C171" s="302"/>
      <c r="D171" s="303"/>
      <c r="E171" s="195" t="s">
        <v>266</v>
      </c>
      <c r="F171" s="304">
        <v>85</v>
      </c>
      <c r="G171" s="185"/>
      <c r="H171" s="269"/>
      <c r="I171" s="222"/>
      <c r="J171" s="223"/>
    </row>
    <row r="172" spans="1:10">
      <c r="A172" s="256"/>
      <c r="B172" s="301"/>
      <c r="C172" s="302"/>
      <c r="D172" s="303"/>
      <c r="E172" s="305"/>
      <c r="F172" s="270">
        <f>SUM(F166:F171)</f>
        <v>918</v>
      </c>
      <c r="G172" s="185"/>
      <c r="H172" s="269"/>
      <c r="I172" s="222"/>
      <c r="J172" s="223"/>
    </row>
    <row r="173" spans="1:10">
      <c r="A173" s="256"/>
      <c r="B173" s="301"/>
      <c r="C173" s="302"/>
      <c r="D173" s="303"/>
      <c r="E173" s="305"/>
      <c r="F173" s="279"/>
      <c r="G173" s="185"/>
      <c r="H173" s="269"/>
      <c r="I173" s="222"/>
      <c r="J173" s="223"/>
    </row>
    <row r="174" spans="1:10">
      <c r="A174" s="25">
        <f>MAX(A$1:A173)+1</f>
        <v>19</v>
      </c>
      <c r="B174" s="301"/>
      <c r="C174" s="93" t="s">
        <v>119</v>
      </c>
      <c r="D174" s="94"/>
      <c r="E174" s="95" t="s">
        <v>120</v>
      </c>
      <c r="F174" s="96"/>
      <c r="G174" s="97" t="s">
        <v>8</v>
      </c>
      <c r="H174" s="98">
        <f>H175</f>
        <v>18.149999999999999</v>
      </c>
      <c r="I174" s="376"/>
      <c r="J174" s="226">
        <f>H174*I174</f>
        <v>0</v>
      </c>
    </row>
    <row r="175" spans="1:10">
      <c r="A175" s="256"/>
      <c r="B175" s="301"/>
      <c r="C175" s="99"/>
      <c r="D175" s="100" t="s">
        <v>121</v>
      </c>
      <c r="E175" s="101" t="s">
        <v>122</v>
      </c>
      <c r="F175" s="102"/>
      <c r="G175" s="103" t="s">
        <v>8</v>
      </c>
      <c r="H175" s="104">
        <v>18.149999999999999</v>
      </c>
      <c r="I175" s="222"/>
      <c r="J175" s="223"/>
    </row>
    <row r="176" spans="1:10">
      <c r="A176" s="256"/>
      <c r="B176" s="301"/>
      <c r="C176" s="302"/>
      <c r="D176" s="303"/>
      <c r="E176" s="306" t="s">
        <v>610</v>
      </c>
      <c r="F176" s="279"/>
      <c r="G176" s="185"/>
      <c r="H176" s="269"/>
      <c r="I176" s="222"/>
      <c r="J176" s="223"/>
    </row>
    <row r="177" spans="1:10">
      <c r="A177" s="256"/>
      <c r="B177" s="301"/>
      <c r="C177" s="302"/>
      <c r="D177" s="303"/>
      <c r="E177" s="297" t="s">
        <v>611</v>
      </c>
      <c r="F177" s="270">
        <v>18.149999999999999</v>
      </c>
      <c r="G177" s="185"/>
      <c r="H177" s="269"/>
      <c r="I177" s="222"/>
      <c r="J177" s="223"/>
    </row>
    <row r="178" spans="1:10">
      <c r="A178" s="256"/>
      <c r="B178" s="301"/>
      <c r="C178" s="302"/>
      <c r="D178" s="303"/>
      <c r="E178" s="305"/>
      <c r="F178" s="279"/>
      <c r="G178" s="185"/>
      <c r="H178" s="269"/>
      <c r="I178" s="222"/>
      <c r="J178" s="223"/>
    </row>
    <row r="179" spans="1:10">
      <c r="A179" s="25">
        <f>MAX(A$1:A178)+1</f>
        <v>20</v>
      </c>
      <c r="B179" s="41"/>
      <c r="C179" s="26" t="s">
        <v>57</v>
      </c>
      <c r="D179" s="27"/>
      <c r="E179" s="28" t="s">
        <v>58</v>
      </c>
      <c r="F179" s="254"/>
      <c r="G179" s="30" t="s">
        <v>8</v>
      </c>
      <c r="H179" s="59">
        <f>H180</f>
        <v>20.100000000000001</v>
      </c>
      <c r="I179" s="376"/>
      <c r="J179" s="226">
        <f>H179*I179</f>
        <v>0</v>
      </c>
    </row>
    <row r="180" spans="1:10">
      <c r="A180" s="25"/>
      <c r="B180" s="41"/>
      <c r="C180" s="42"/>
      <c r="D180" s="33" t="s">
        <v>59</v>
      </c>
      <c r="E180" s="34" t="s">
        <v>60</v>
      </c>
      <c r="F180" s="255"/>
      <c r="G180" s="36" t="s">
        <v>8</v>
      </c>
      <c r="H180" s="58">
        <v>20.100000000000001</v>
      </c>
      <c r="I180" s="222"/>
      <c r="J180" s="223"/>
    </row>
    <row r="181" spans="1:10">
      <c r="A181" s="256"/>
      <c r="B181" s="301"/>
      <c r="C181" s="302"/>
      <c r="D181" s="303"/>
      <c r="E181" s="195" t="s">
        <v>609</v>
      </c>
      <c r="F181" s="270">
        <f>67*0.5*0.6</f>
        <v>20.099999999999998</v>
      </c>
      <c r="G181" s="185"/>
      <c r="H181" s="269"/>
      <c r="I181" s="222"/>
      <c r="J181" s="223"/>
    </row>
    <row r="182" spans="1:10">
      <c r="A182" s="256"/>
      <c r="B182" s="301"/>
      <c r="C182" s="302"/>
      <c r="D182" s="303"/>
      <c r="E182" s="305"/>
      <c r="F182" s="279"/>
      <c r="G182" s="185"/>
      <c r="H182" s="269"/>
      <c r="I182" s="222"/>
      <c r="J182" s="223"/>
    </row>
    <row r="183" spans="1:10">
      <c r="A183" s="25">
        <f>MAX(A$1:A182)+1</f>
        <v>21</v>
      </c>
      <c r="B183" s="41"/>
      <c r="C183" s="26" t="s">
        <v>275</v>
      </c>
      <c r="D183" s="27"/>
      <c r="E183" s="28" t="s">
        <v>276</v>
      </c>
      <c r="F183" s="254"/>
      <c r="G183" s="30" t="s">
        <v>8</v>
      </c>
      <c r="H183" s="59">
        <f>H184</f>
        <v>469</v>
      </c>
      <c r="I183" s="376"/>
      <c r="J183" s="226">
        <f>H183*I183</f>
        <v>0</v>
      </c>
    </row>
    <row r="184" spans="1:10" ht="25.5">
      <c r="A184" s="25"/>
      <c r="B184" s="41"/>
      <c r="C184" s="26"/>
      <c r="D184" s="33" t="s">
        <v>277</v>
      </c>
      <c r="E184" s="34" t="s">
        <v>278</v>
      </c>
      <c r="F184" s="35"/>
      <c r="G184" s="36" t="s">
        <v>8</v>
      </c>
      <c r="H184" s="58">
        <v>469</v>
      </c>
      <c r="I184" s="222"/>
      <c r="J184" s="223"/>
    </row>
    <row r="185" spans="1:10">
      <c r="A185" s="25"/>
      <c r="B185" s="41"/>
      <c r="C185" s="26"/>
      <c r="D185" s="27"/>
      <c r="E185" s="307" t="s">
        <v>612</v>
      </c>
      <c r="F185" s="254"/>
      <c r="G185" s="30"/>
      <c r="H185" s="278"/>
      <c r="I185" s="222"/>
      <c r="J185" s="223"/>
    </row>
    <row r="186" spans="1:10">
      <c r="A186" s="25"/>
      <c r="B186" s="41"/>
      <c r="C186" s="26"/>
      <c r="D186" s="27"/>
      <c r="E186" s="195" t="s">
        <v>264</v>
      </c>
      <c r="F186" s="270">
        <v>53</v>
      </c>
      <c r="G186" s="30"/>
      <c r="H186" s="278"/>
      <c r="I186" s="222"/>
      <c r="J186" s="223"/>
    </row>
    <row r="187" spans="1:10">
      <c r="A187" s="25"/>
      <c r="B187" s="41"/>
      <c r="C187" s="26"/>
      <c r="D187" s="27"/>
      <c r="E187" s="195" t="s">
        <v>589</v>
      </c>
      <c r="F187" s="270">
        <v>32</v>
      </c>
      <c r="G187" s="30"/>
      <c r="H187" s="278"/>
      <c r="I187" s="222"/>
      <c r="J187" s="223"/>
    </row>
    <row r="188" spans="1:10">
      <c r="A188" s="25"/>
      <c r="B188" s="41"/>
      <c r="C188" s="26"/>
      <c r="D188" s="27"/>
      <c r="E188" s="195" t="s">
        <v>265</v>
      </c>
      <c r="F188" s="270">
        <v>38</v>
      </c>
      <c r="G188" s="30"/>
      <c r="H188" s="278"/>
      <c r="I188" s="222"/>
      <c r="J188" s="223"/>
    </row>
    <row r="189" spans="1:10">
      <c r="A189" s="25"/>
      <c r="B189" s="41"/>
      <c r="C189" s="26"/>
      <c r="D189" s="27"/>
      <c r="E189" s="195" t="s">
        <v>578</v>
      </c>
      <c r="F189" s="270">
        <v>11</v>
      </c>
      <c r="G189" s="30"/>
      <c r="H189" s="278"/>
      <c r="I189" s="222"/>
      <c r="J189" s="223"/>
    </row>
    <row r="190" spans="1:10">
      <c r="A190" s="25"/>
      <c r="B190" s="41"/>
      <c r="C190" s="26"/>
      <c r="D190" s="27"/>
      <c r="E190" s="195" t="s">
        <v>580</v>
      </c>
      <c r="F190" s="270">
        <v>0</v>
      </c>
      <c r="G190" s="30"/>
      <c r="H190" s="278"/>
      <c r="I190" s="222"/>
      <c r="J190" s="223"/>
    </row>
    <row r="191" spans="1:10">
      <c r="A191" s="25"/>
      <c r="B191" s="41"/>
      <c r="C191" s="26"/>
      <c r="D191" s="27"/>
      <c r="E191" s="195" t="s">
        <v>266</v>
      </c>
      <c r="F191" s="304">
        <v>28</v>
      </c>
      <c r="G191" s="30"/>
      <c r="H191" s="278"/>
      <c r="I191" s="222"/>
      <c r="J191" s="223"/>
    </row>
    <row r="192" spans="1:10">
      <c r="A192" s="25"/>
      <c r="B192" s="41"/>
      <c r="C192" s="26"/>
      <c r="D192" s="27"/>
      <c r="E192" s="305"/>
      <c r="F192" s="270">
        <f>SUM(F186:F191)</f>
        <v>162</v>
      </c>
      <c r="G192" s="30"/>
      <c r="H192" s="278"/>
      <c r="I192" s="222"/>
      <c r="J192" s="223"/>
    </row>
    <row r="193" spans="1:10">
      <c r="A193" s="25"/>
      <c r="B193" s="41"/>
      <c r="C193" s="26"/>
      <c r="D193" s="27"/>
      <c r="E193" s="307" t="s">
        <v>613</v>
      </c>
      <c r="F193" s="254"/>
      <c r="G193" s="30"/>
      <c r="H193" s="278"/>
      <c r="I193" s="222"/>
      <c r="J193" s="223"/>
    </row>
    <row r="194" spans="1:10">
      <c r="A194" s="25"/>
      <c r="B194" s="41"/>
      <c r="C194" s="26"/>
      <c r="D194" s="27"/>
      <c r="E194" s="195" t="s">
        <v>264</v>
      </c>
      <c r="F194" s="270">
        <v>68</v>
      </c>
      <c r="G194" s="30"/>
      <c r="H194" s="278"/>
      <c r="I194" s="222"/>
      <c r="J194" s="223"/>
    </row>
    <row r="195" spans="1:10">
      <c r="A195" s="25"/>
      <c r="B195" s="41"/>
      <c r="C195" s="26"/>
      <c r="D195" s="27"/>
      <c r="E195" s="195" t="s">
        <v>589</v>
      </c>
      <c r="F195" s="270">
        <v>0</v>
      </c>
      <c r="G195" s="30"/>
      <c r="H195" s="278"/>
      <c r="I195" s="222"/>
      <c r="J195" s="223"/>
    </row>
    <row r="196" spans="1:10">
      <c r="A196" s="25"/>
      <c r="B196" s="41"/>
      <c r="C196" s="26"/>
      <c r="D196" s="27"/>
      <c r="E196" s="195" t="s">
        <v>265</v>
      </c>
      <c r="F196" s="270">
        <v>43</v>
      </c>
      <c r="G196" s="30"/>
      <c r="H196" s="278"/>
      <c r="I196" s="222"/>
      <c r="J196" s="223"/>
    </row>
    <row r="197" spans="1:10">
      <c r="A197" s="25"/>
      <c r="B197" s="41"/>
      <c r="C197" s="26"/>
      <c r="D197" s="27"/>
      <c r="E197" s="195" t="s">
        <v>578</v>
      </c>
      <c r="F197" s="270">
        <v>43</v>
      </c>
      <c r="G197" s="30"/>
      <c r="H197" s="278"/>
      <c r="I197" s="222"/>
      <c r="J197" s="223"/>
    </row>
    <row r="198" spans="1:10">
      <c r="A198" s="25"/>
      <c r="B198" s="41"/>
      <c r="C198" s="26"/>
      <c r="D198" s="27"/>
      <c r="E198" s="195" t="s">
        <v>580</v>
      </c>
      <c r="F198" s="270">
        <v>0</v>
      </c>
      <c r="G198" s="30"/>
      <c r="H198" s="278"/>
      <c r="I198" s="222"/>
      <c r="J198" s="223"/>
    </row>
    <row r="199" spans="1:10">
      <c r="A199" s="25"/>
      <c r="B199" s="41"/>
      <c r="C199" s="26"/>
      <c r="D199" s="27"/>
      <c r="E199" s="195" t="s">
        <v>266</v>
      </c>
      <c r="F199" s="304">
        <v>9</v>
      </c>
      <c r="G199" s="30"/>
      <c r="H199" s="278"/>
      <c r="I199" s="222"/>
      <c r="J199" s="223"/>
    </row>
    <row r="200" spans="1:10">
      <c r="A200" s="25"/>
      <c r="B200" s="41"/>
      <c r="C200" s="26"/>
      <c r="D200" s="27"/>
      <c r="E200" s="305"/>
      <c r="F200" s="270">
        <f>SUM(F194:F199)</f>
        <v>163</v>
      </c>
      <c r="G200" s="30"/>
      <c r="H200" s="278"/>
      <c r="I200" s="222"/>
      <c r="J200" s="223"/>
    </row>
    <row r="201" spans="1:10">
      <c r="A201" s="25"/>
      <c r="B201" s="41"/>
      <c r="C201" s="26"/>
      <c r="D201" s="27"/>
      <c r="E201" s="307" t="s">
        <v>279</v>
      </c>
      <c r="F201" s="254"/>
      <c r="G201" s="30"/>
      <c r="H201" s="278"/>
      <c r="I201" s="222"/>
      <c r="J201" s="223"/>
    </row>
    <row r="202" spans="1:10">
      <c r="A202" s="25"/>
      <c r="B202" s="41"/>
      <c r="C202" s="26"/>
      <c r="D202" s="27"/>
      <c r="E202" s="195" t="s">
        <v>264</v>
      </c>
      <c r="F202" s="270">
        <v>67</v>
      </c>
      <c r="G202" s="30"/>
      <c r="H202" s="278"/>
      <c r="I202" s="222"/>
      <c r="J202" s="223"/>
    </row>
    <row r="203" spans="1:10">
      <c r="A203" s="25"/>
      <c r="B203" s="41"/>
      <c r="C203" s="26"/>
      <c r="D203" s="27"/>
      <c r="E203" s="195" t="s">
        <v>265</v>
      </c>
      <c r="F203" s="270">
        <v>33</v>
      </c>
      <c r="G203" s="30"/>
      <c r="H203" s="278"/>
      <c r="I203" s="222"/>
      <c r="J203" s="223"/>
    </row>
    <row r="204" spans="1:10">
      <c r="A204" s="25"/>
      <c r="B204" s="41"/>
      <c r="C204" s="26"/>
      <c r="D204" s="27"/>
      <c r="E204" s="195" t="s">
        <v>266</v>
      </c>
      <c r="F204" s="304">
        <v>44</v>
      </c>
      <c r="G204" s="30"/>
      <c r="H204" s="278"/>
      <c r="I204" s="222"/>
      <c r="J204" s="223"/>
    </row>
    <row r="205" spans="1:10">
      <c r="A205" s="25"/>
      <c r="B205" s="41"/>
      <c r="C205" s="26"/>
      <c r="D205" s="27"/>
      <c r="E205" s="28"/>
      <c r="F205" s="270">
        <f>SUM(F202:F204)</f>
        <v>144</v>
      </c>
      <c r="G205" s="30"/>
      <c r="H205" s="278"/>
      <c r="I205" s="222"/>
      <c r="J205" s="223"/>
    </row>
    <row r="206" spans="1:10">
      <c r="A206" s="25"/>
      <c r="B206" s="41"/>
      <c r="C206" s="26"/>
      <c r="D206" s="27"/>
      <c r="E206" s="381" t="s">
        <v>117</v>
      </c>
      <c r="F206" s="382">
        <f>F192+F200+F205</f>
        <v>469</v>
      </c>
      <c r="G206" s="30"/>
      <c r="H206" s="278"/>
      <c r="I206" s="222"/>
      <c r="J206" s="223"/>
    </row>
    <row r="207" spans="1:10">
      <c r="A207" s="25"/>
      <c r="B207" s="41"/>
      <c r="C207" s="26"/>
      <c r="D207" s="27"/>
      <c r="E207" s="28"/>
      <c r="F207" s="254"/>
      <c r="G207" s="30"/>
      <c r="H207" s="278"/>
      <c r="I207" s="222"/>
      <c r="J207" s="223"/>
    </row>
    <row r="208" spans="1:10">
      <c r="A208" s="256"/>
      <c r="B208" s="301"/>
      <c r="C208" s="302"/>
      <c r="D208" s="303"/>
      <c r="E208" s="305"/>
      <c r="F208" s="279"/>
      <c r="G208" s="185"/>
      <c r="H208" s="269"/>
      <c r="I208" s="222"/>
      <c r="J208" s="223"/>
    </row>
    <row r="209" spans="1:10">
      <c r="A209" s="25">
        <f>MAX(A$1:A208)+1</f>
        <v>22</v>
      </c>
      <c r="B209" s="41"/>
      <c r="C209" s="26" t="s">
        <v>5</v>
      </c>
      <c r="D209" s="27"/>
      <c r="E209" s="28" t="s">
        <v>3</v>
      </c>
      <c r="F209" s="254"/>
      <c r="G209" s="30" t="s">
        <v>8</v>
      </c>
      <c r="H209" s="59">
        <f>H210</f>
        <v>568</v>
      </c>
      <c r="I209" s="376"/>
      <c r="J209" s="226">
        <f>H209*I209</f>
        <v>0</v>
      </c>
    </row>
    <row r="210" spans="1:10" ht="25.5">
      <c r="A210" s="25"/>
      <c r="B210" s="41"/>
      <c r="C210" s="42"/>
      <c r="D210" s="33" t="s">
        <v>6</v>
      </c>
      <c r="E210" s="34" t="s">
        <v>4</v>
      </c>
      <c r="F210" s="255"/>
      <c r="G210" s="36" t="s">
        <v>8</v>
      </c>
      <c r="H210" s="58">
        <v>568</v>
      </c>
      <c r="I210" s="222"/>
      <c r="J210" s="223"/>
    </row>
    <row r="211" spans="1:10">
      <c r="A211" s="256"/>
      <c r="B211" s="301"/>
      <c r="C211" s="302"/>
      <c r="D211" s="303"/>
      <c r="E211" s="258" t="s">
        <v>280</v>
      </c>
      <c r="F211" s="279"/>
      <c r="G211" s="185"/>
      <c r="H211" s="269"/>
      <c r="I211" s="222"/>
      <c r="J211" s="223"/>
    </row>
    <row r="212" spans="1:10">
      <c r="A212" s="256"/>
      <c r="B212" s="301"/>
      <c r="C212" s="309"/>
      <c r="D212" s="303"/>
      <c r="E212" s="195" t="s">
        <v>589</v>
      </c>
      <c r="F212" s="270">
        <v>42</v>
      </c>
      <c r="G212" s="185"/>
      <c r="H212" s="269"/>
      <c r="I212" s="222"/>
      <c r="J212" s="223"/>
    </row>
    <row r="213" spans="1:10">
      <c r="A213" s="256"/>
      <c r="B213" s="301"/>
      <c r="C213" s="309"/>
      <c r="D213" s="303"/>
      <c r="E213" s="195" t="s">
        <v>265</v>
      </c>
      <c r="F213" s="270">
        <v>74</v>
      </c>
      <c r="G213" s="185"/>
      <c r="H213" s="269"/>
      <c r="I213" s="222"/>
      <c r="J213" s="223"/>
    </row>
    <row r="214" spans="1:10">
      <c r="A214" s="256"/>
      <c r="B214" s="301"/>
      <c r="C214" s="309"/>
      <c r="D214" s="303"/>
      <c r="E214" s="195" t="s">
        <v>578</v>
      </c>
      <c r="F214" s="270">
        <v>318</v>
      </c>
      <c r="G214" s="185"/>
      <c r="H214" s="269"/>
      <c r="I214" s="222"/>
      <c r="J214" s="223"/>
    </row>
    <row r="215" spans="1:10">
      <c r="A215" s="256"/>
      <c r="B215" s="301"/>
      <c r="C215" s="309"/>
      <c r="D215" s="303"/>
      <c r="E215" s="195" t="s">
        <v>580</v>
      </c>
      <c r="F215" s="304">
        <v>134</v>
      </c>
      <c r="G215" s="185"/>
      <c r="H215" s="269"/>
      <c r="I215" s="222"/>
      <c r="J215" s="223"/>
    </row>
    <row r="216" spans="1:10">
      <c r="A216" s="256"/>
      <c r="B216" s="301"/>
      <c r="C216" s="309"/>
      <c r="D216" s="303"/>
      <c r="E216" s="247"/>
      <c r="F216" s="270">
        <f>SUM(F212:F215)</f>
        <v>568</v>
      </c>
      <c r="G216" s="185"/>
      <c r="H216" s="269"/>
      <c r="I216" s="222"/>
      <c r="J216" s="223"/>
    </row>
    <row r="217" spans="1:10">
      <c r="A217" s="256"/>
      <c r="B217" s="301"/>
      <c r="C217" s="309"/>
      <c r="D217" s="303"/>
      <c r="E217" s="247"/>
      <c r="F217" s="270"/>
      <c r="G217" s="185"/>
      <c r="H217" s="269"/>
      <c r="I217" s="222"/>
      <c r="J217" s="223"/>
    </row>
    <row r="218" spans="1:10">
      <c r="A218" s="25">
        <f>MAX(A$1:A217)+1</f>
        <v>23</v>
      </c>
      <c r="B218" s="301"/>
      <c r="C218" s="93" t="s">
        <v>123</v>
      </c>
      <c r="D218" s="94"/>
      <c r="E218" s="95" t="s">
        <v>124</v>
      </c>
      <c r="F218" s="96"/>
      <c r="G218" s="97" t="s">
        <v>8</v>
      </c>
      <c r="H218" s="59">
        <f>H219</f>
        <v>13.3</v>
      </c>
      <c r="I218" s="376"/>
      <c r="J218" s="226">
        <f>H218*I218</f>
        <v>0</v>
      </c>
    </row>
    <row r="219" spans="1:10">
      <c r="A219" s="256"/>
      <c r="B219" s="301"/>
      <c r="C219" s="309"/>
      <c r="D219" s="100" t="s">
        <v>125</v>
      </c>
      <c r="E219" s="101" t="s">
        <v>126</v>
      </c>
      <c r="F219" s="102"/>
      <c r="G219" s="103" t="s">
        <v>8</v>
      </c>
      <c r="H219" s="104">
        <v>13.3</v>
      </c>
      <c r="I219" s="222"/>
      <c r="J219" s="223"/>
    </row>
    <row r="220" spans="1:10">
      <c r="A220" s="256"/>
      <c r="B220" s="301"/>
      <c r="C220" s="309"/>
      <c r="D220" s="303"/>
      <c r="E220" s="306" t="s">
        <v>614</v>
      </c>
      <c r="F220" s="270"/>
      <c r="G220" s="185"/>
      <c r="H220" s="269"/>
      <c r="I220" s="222"/>
      <c r="J220" s="223"/>
    </row>
    <row r="221" spans="1:10">
      <c r="A221" s="256"/>
      <c r="B221" s="301"/>
      <c r="C221" s="309"/>
      <c r="D221" s="303"/>
      <c r="E221" s="195" t="s">
        <v>615</v>
      </c>
      <c r="F221" s="270">
        <f>13.3</f>
        <v>13.3</v>
      </c>
      <c r="G221" s="185"/>
      <c r="H221" s="269"/>
      <c r="I221" s="222"/>
      <c r="J221" s="223"/>
    </row>
    <row r="222" spans="1:10">
      <c r="A222" s="256"/>
      <c r="B222" s="301"/>
      <c r="C222" s="245"/>
      <c r="D222" s="303"/>
      <c r="E222" s="305"/>
      <c r="F222" s="279"/>
      <c r="G222" s="185"/>
      <c r="H222" s="269"/>
      <c r="I222" s="222"/>
      <c r="J222" s="223"/>
    </row>
    <row r="223" spans="1:10" ht="25.5">
      <c r="A223" s="25">
        <f>MAX(A$1:A222)+1</f>
        <v>24</v>
      </c>
      <c r="B223" s="41"/>
      <c r="C223" s="26" t="s">
        <v>283</v>
      </c>
      <c r="D223" s="27"/>
      <c r="E223" s="28" t="s">
        <v>284</v>
      </c>
      <c r="F223" s="254"/>
      <c r="G223" s="30" t="s">
        <v>2</v>
      </c>
      <c r="H223" s="59">
        <f>H224</f>
        <v>1919</v>
      </c>
      <c r="I223" s="376"/>
      <c r="J223" s="226">
        <f>H223*I223</f>
        <v>0</v>
      </c>
    </row>
    <row r="224" spans="1:10" ht="25.5">
      <c r="A224" s="25"/>
      <c r="B224" s="41"/>
      <c r="C224" s="39"/>
      <c r="D224" s="33" t="s">
        <v>285</v>
      </c>
      <c r="E224" s="34" t="s">
        <v>286</v>
      </c>
      <c r="F224" s="255"/>
      <c r="G224" s="36" t="s">
        <v>2</v>
      </c>
      <c r="H224" s="58">
        <v>1919</v>
      </c>
      <c r="I224" s="222"/>
      <c r="J224" s="223"/>
    </row>
    <row r="225" spans="1:10">
      <c r="A225" s="256"/>
      <c r="B225" s="301"/>
      <c r="C225" s="245"/>
      <c r="D225" s="303"/>
      <c r="E225" s="258" t="s">
        <v>287</v>
      </c>
      <c r="F225" s="260"/>
      <c r="G225" s="185"/>
      <c r="H225" s="269"/>
      <c r="I225" s="222"/>
      <c r="J225" s="223"/>
    </row>
    <row r="226" spans="1:10">
      <c r="A226" s="256"/>
      <c r="B226" s="301"/>
      <c r="C226" s="245"/>
      <c r="D226" s="303"/>
      <c r="E226" s="195" t="s">
        <v>264</v>
      </c>
      <c r="F226" s="270">
        <v>396</v>
      </c>
      <c r="G226" s="185"/>
      <c r="H226" s="269"/>
      <c r="I226" s="222"/>
      <c r="J226" s="223"/>
    </row>
    <row r="227" spans="1:10">
      <c r="A227" s="256"/>
      <c r="B227" s="301"/>
      <c r="C227" s="245"/>
      <c r="D227" s="303"/>
      <c r="E227" s="195" t="s">
        <v>589</v>
      </c>
      <c r="F227" s="270">
        <v>88</v>
      </c>
      <c r="G227" s="185"/>
      <c r="H227" s="269"/>
      <c r="I227" s="222"/>
      <c r="J227" s="223"/>
    </row>
    <row r="228" spans="1:10">
      <c r="A228" s="256"/>
      <c r="B228" s="301"/>
      <c r="C228" s="245"/>
      <c r="D228" s="303"/>
      <c r="E228" s="195" t="s">
        <v>265</v>
      </c>
      <c r="F228" s="270">
        <v>147</v>
      </c>
      <c r="G228" s="185"/>
      <c r="H228" s="269"/>
      <c r="I228" s="222"/>
      <c r="J228" s="223"/>
    </row>
    <row r="229" spans="1:10">
      <c r="A229" s="256"/>
      <c r="B229" s="301"/>
      <c r="C229" s="245"/>
      <c r="D229" s="303"/>
      <c r="E229" s="195" t="s">
        <v>578</v>
      </c>
      <c r="F229" s="270">
        <v>621</v>
      </c>
      <c r="G229" s="185"/>
      <c r="H229" s="269"/>
      <c r="I229" s="222"/>
      <c r="J229" s="223"/>
    </row>
    <row r="230" spans="1:10">
      <c r="A230" s="256"/>
      <c r="B230" s="301"/>
      <c r="C230" s="245"/>
      <c r="D230" s="303"/>
      <c r="E230" s="195" t="s">
        <v>580</v>
      </c>
      <c r="F230" s="270">
        <v>269</v>
      </c>
      <c r="G230" s="185"/>
      <c r="H230" s="269"/>
      <c r="I230" s="222"/>
      <c r="J230" s="223"/>
    </row>
    <row r="231" spans="1:10">
      <c r="A231" s="256"/>
      <c r="B231" s="301"/>
      <c r="C231" s="245"/>
      <c r="D231" s="303"/>
      <c r="E231" s="195" t="s">
        <v>266</v>
      </c>
      <c r="F231" s="304">
        <v>398</v>
      </c>
      <c r="G231" s="185"/>
      <c r="H231" s="269"/>
      <c r="I231" s="222"/>
      <c r="J231" s="223"/>
    </row>
    <row r="232" spans="1:10">
      <c r="A232" s="256"/>
      <c r="B232" s="301"/>
      <c r="C232" s="245"/>
      <c r="D232" s="303"/>
      <c r="E232" s="195"/>
      <c r="F232" s="270">
        <f>SUM(F226:F231)</f>
        <v>1919</v>
      </c>
      <c r="G232" s="185"/>
      <c r="H232" s="269"/>
      <c r="I232" s="222"/>
      <c r="J232" s="223"/>
    </row>
    <row r="233" spans="1:10">
      <c r="A233" s="256"/>
      <c r="B233" s="301"/>
      <c r="C233" s="245"/>
      <c r="D233" s="303"/>
      <c r="E233" s="305"/>
      <c r="F233" s="279"/>
      <c r="G233" s="185"/>
      <c r="H233" s="269"/>
      <c r="I233" s="222"/>
      <c r="J233" s="223"/>
    </row>
    <row r="234" spans="1:10" ht="25.5">
      <c r="A234" s="25">
        <f>MAX(A$1:A225)+1</f>
        <v>25</v>
      </c>
      <c r="B234" s="41"/>
      <c r="C234" s="26" t="s">
        <v>45</v>
      </c>
      <c r="D234" s="27"/>
      <c r="E234" s="28" t="s">
        <v>46</v>
      </c>
      <c r="F234" s="254"/>
      <c r="G234" s="30" t="s">
        <v>2</v>
      </c>
      <c r="H234" s="59">
        <f>H235</f>
        <v>1625</v>
      </c>
      <c r="I234" s="376"/>
      <c r="J234" s="226">
        <f>H234*I234</f>
        <v>0</v>
      </c>
    </row>
    <row r="235" spans="1:10" ht="25.5">
      <c r="A235" s="25"/>
      <c r="B235" s="41"/>
      <c r="C235" s="39"/>
      <c r="D235" s="33" t="s">
        <v>47</v>
      </c>
      <c r="E235" s="34" t="s">
        <v>48</v>
      </c>
      <c r="F235" s="255"/>
      <c r="G235" s="36" t="s">
        <v>2</v>
      </c>
      <c r="H235" s="58">
        <v>1625</v>
      </c>
      <c r="I235" s="222"/>
      <c r="J235" s="223"/>
    </row>
    <row r="236" spans="1:10">
      <c r="A236" s="256"/>
      <c r="B236" s="301"/>
      <c r="C236" s="302"/>
      <c r="D236" s="303"/>
      <c r="E236" s="258" t="s">
        <v>616</v>
      </c>
      <c r="F236" s="260"/>
      <c r="G236" s="185"/>
      <c r="H236" s="269"/>
      <c r="I236" s="222"/>
      <c r="J236" s="223"/>
    </row>
    <row r="237" spans="1:10">
      <c r="A237" s="256"/>
      <c r="B237" s="301"/>
      <c r="C237" s="302"/>
      <c r="D237" s="303"/>
      <c r="E237" s="195" t="s">
        <v>264</v>
      </c>
      <c r="F237" s="270">
        <v>86</v>
      </c>
      <c r="G237" s="185"/>
      <c r="H237" s="269"/>
      <c r="I237" s="222"/>
      <c r="J237" s="223"/>
    </row>
    <row r="238" spans="1:10">
      <c r="A238" s="256"/>
      <c r="B238" s="301"/>
      <c r="C238" s="302"/>
      <c r="D238" s="303"/>
      <c r="E238" s="195" t="s">
        <v>265</v>
      </c>
      <c r="F238" s="270">
        <v>139</v>
      </c>
      <c r="G238" s="185"/>
      <c r="H238" s="269"/>
      <c r="I238" s="222"/>
      <c r="J238" s="223"/>
    </row>
    <row r="239" spans="1:10">
      <c r="A239" s="256"/>
      <c r="B239" s="301"/>
      <c r="C239" s="302"/>
      <c r="D239" s="303"/>
      <c r="E239" s="195" t="s">
        <v>578</v>
      </c>
      <c r="F239" s="270">
        <v>55</v>
      </c>
      <c r="G239" s="185"/>
      <c r="H239" s="269"/>
      <c r="I239" s="222"/>
      <c r="J239" s="223"/>
    </row>
    <row r="240" spans="1:10">
      <c r="A240" s="256"/>
      <c r="B240" s="301"/>
      <c r="C240" s="302"/>
      <c r="D240" s="303"/>
      <c r="E240" s="195" t="s">
        <v>580</v>
      </c>
      <c r="F240" s="270">
        <v>0</v>
      </c>
      <c r="G240" s="185"/>
      <c r="H240" s="269"/>
      <c r="I240" s="222"/>
      <c r="J240" s="223"/>
    </row>
    <row r="241" spans="1:10">
      <c r="A241" s="256"/>
      <c r="B241" s="301"/>
      <c r="C241" s="302"/>
      <c r="D241" s="303"/>
      <c r="E241" s="195" t="s">
        <v>266</v>
      </c>
      <c r="F241" s="304">
        <v>93</v>
      </c>
      <c r="G241" s="185"/>
      <c r="H241" s="269"/>
      <c r="I241" s="222"/>
      <c r="J241" s="223"/>
    </row>
    <row r="242" spans="1:10">
      <c r="A242" s="256"/>
      <c r="B242" s="301"/>
      <c r="C242" s="302"/>
      <c r="D242" s="303"/>
      <c r="E242" s="195"/>
      <c r="F242" s="270">
        <f>SUM(F237:F241)</f>
        <v>373</v>
      </c>
      <c r="G242" s="185"/>
      <c r="H242" s="269"/>
      <c r="I242" s="222"/>
      <c r="J242" s="223"/>
    </row>
    <row r="243" spans="1:10">
      <c r="A243" s="256"/>
      <c r="B243" s="301"/>
      <c r="C243" s="302"/>
      <c r="D243" s="303"/>
      <c r="E243" s="258" t="s">
        <v>288</v>
      </c>
      <c r="F243" s="310"/>
      <c r="G243" s="185"/>
      <c r="H243" s="269"/>
      <c r="I243" s="222"/>
      <c r="J243" s="223"/>
    </row>
    <row r="244" spans="1:10">
      <c r="A244" s="256"/>
      <c r="B244" s="301"/>
      <c r="C244" s="302"/>
      <c r="D244" s="303"/>
      <c r="E244" s="195" t="s">
        <v>264</v>
      </c>
      <c r="F244" s="270">
        <v>458</v>
      </c>
      <c r="G244" s="185"/>
      <c r="H244" s="269"/>
      <c r="I244" s="222"/>
      <c r="J244" s="223"/>
    </row>
    <row r="245" spans="1:10">
      <c r="A245" s="256"/>
      <c r="B245" s="301"/>
      <c r="C245" s="302"/>
      <c r="D245" s="303"/>
      <c r="E245" s="195" t="s">
        <v>589</v>
      </c>
      <c r="F245" s="270">
        <v>269</v>
      </c>
      <c r="G245" s="185"/>
      <c r="H245" s="269"/>
      <c r="I245" s="222"/>
      <c r="J245" s="223"/>
    </row>
    <row r="246" spans="1:10">
      <c r="A246" s="256"/>
      <c r="B246" s="301"/>
      <c r="C246" s="302"/>
      <c r="D246" s="303"/>
      <c r="E246" s="195" t="s">
        <v>265</v>
      </c>
      <c r="F246" s="270">
        <v>196</v>
      </c>
      <c r="G246" s="185"/>
      <c r="H246" s="269"/>
      <c r="I246" s="222"/>
      <c r="J246" s="223"/>
    </row>
    <row r="247" spans="1:10">
      <c r="A247" s="256"/>
      <c r="B247" s="301"/>
      <c r="C247" s="302"/>
      <c r="D247" s="303"/>
      <c r="E247" s="195" t="s">
        <v>578</v>
      </c>
      <c r="F247" s="270">
        <v>71</v>
      </c>
      <c r="G247" s="185"/>
      <c r="H247" s="269"/>
      <c r="I247" s="222"/>
      <c r="J247" s="223"/>
    </row>
    <row r="248" spans="1:10">
      <c r="A248" s="256"/>
      <c r="B248" s="301"/>
      <c r="C248" s="302"/>
      <c r="D248" s="303"/>
      <c r="E248" s="195" t="s">
        <v>580</v>
      </c>
      <c r="F248" s="270">
        <v>0</v>
      </c>
      <c r="G248" s="185"/>
      <c r="H248" s="269"/>
      <c r="I248" s="222"/>
      <c r="J248" s="223"/>
    </row>
    <row r="249" spans="1:10">
      <c r="A249" s="256"/>
      <c r="B249" s="301"/>
      <c r="C249" s="302"/>
      <c r="D249" s="303"/>
      <c r="E249" s="195" t="s">
        <v>266</v>
      </c>
      <c r="F249" s="304">
        <v>258</v>
      </c>
      <c r="G249" s="185"/>
      <c r="H249" s="269"/>
      <c r="I249" s="222"/>
      <c r="J249" s="223"/>
    </row>
    <row r="250" spans="1:10">
      <c r="A250" s="256"/>
      <c r="B250" s="301"/>
      <c r="C250" s="302"/>
      <c r="D250" s="303"/>
      <c r="E250" s="195"/>
      <c r="F250" s="270">
        <f>SUM(F244:F249)</f>
        <v>1252</v>
      </c>
      <c r="G250" s="185"/>
      <c r="H250" s="269"/>
      <c r="I250" s="222"/>
      <c r="J250" s="223"/>
    </row>
    <row r="251" spans="1:10">
      <c r="A251" s="256"/>
      <c r="B251" s="301"/>
      <c r="C251" s="302"/>
      <c r="D251" s="303"/>
      <c r="E251" s="342" t="s">
        <v>117</v>
      </c>
      <c r="F251" s="340">
        <f>F242+F250</f>
        <v>1625</v>
      </c>
      <c r="G251" s="185"/>
      <c r="H251" s="269"/>
      <c r="I251" s="222"/>
      <c r="J251" s="223"/>
    </row>
    <row r="252" spans="1:10">
      <c r="A252" s="256"/>
      <c r="B252" s="301"/>
      <c r="C252" s="302"/>
      <c r="D252" s="303"/>
      <c r="E252" s="195"/>
      <c r="F252" s="310"/>
      <c r="G252" s="185"/>
      <c r="H252" s="269"/>
      <c r="I252" s="222"/>
      <c r="J252" s="223"/>
    </row>
    <row r="253" spans="1:10">
      <c r="A253" s="25">
        <f>MAX(A$1:A252)+1</f>
        <v>26</v>
      </c>
      <c r="B253" s="301"/>
      <c r="C253" s="26" t="s">
        <v>49</v>
      </c>
      <c r="D253" s="27"/>
      <c r="E253" s="28" t="s">
        <v>50</v>
      </c>
      <c r="F253" s="29"/>
      <c r="G253" s="30" t="s">
        <v>2</v>
      </c>
      <c r="H253" s="59">
        <f>H254</f>
        <v>373</v>
      </c>
      <c r="I253" s="376"/>
      <c r="J253" s="226">
        <f>H253*I253</f>
        <v>0</v>
      </c>
    </row>
    <row r="254" spans="1:10">
      <c r="A254" s="256"/>
      <c r="B254" s="301"/>
      <c r="C254" s="39"/>
      <c r="D254" s="33" t="s">
        <v>51</v>
      </c>
      <c r="E254" s="34" t="s">
        <v>52</v>
      </c>
      <c r="F254" s="35"/>
      <c r="G254" s="36" t="s">
        <v>2</v>
      </c>
      <c r="H254" s="58">
        <v>373</v>
      </c>
      <c r="I254" s="222"/>
      <c r="J254" s="223"/>
    </row>
    <row r="255" spans="1:10">
      <c r="A255" s="256"/>
      <c r="B255" s="301"/>
      <c r="C255" s="302"/>
      <c r="D255" s="303"/>
      <c r="E255" s="195" t="s">
        <v>264</v>
      </c>
      <c r="F255" s="270">
        <v>86</v>
      </c>
      <c r="G255" s="185"/>
      <c r="H255" s="269"/>
      <c r="I255" s="222"/>
      <c r="J255" s="223"/>
    </row>
    <row r="256" spans="1:10">
      <c r="A256" s="256"/>
      <c r="B256" s="301"/>
      <c r="C256" s="302"/>
      <c r="D256" s="303"/>
      <c r="E256" s="195" t="s">
        <v>265</v>
      </c>
      <c r="F256" s="270">
        <v>139</v>
      </c>
      <c r="G256" s="185"/>
      <c r="H256" s="269"/>
      <c r="I256" s="222"/>
      <c r="J256" s="223"/>
    </row>
    <row r="257" spans="1:10">
      <c r="A257" s="256"/>
      <c r="B257" s="301"/>
      <c r="C257" s="302"/>
      <c r="D257" s="303"/>
      <c r="E257" s="195" t="s">
        <v>578</v>
      </c>
      <c r="F257" s="270">
        <v>55</v>
      </c>
      <c r="G257" s="185"/>
      <c r="H257" s="269"/>
      <c r="I257" s="222"/>
      <c r="J257" s="223"/>
    </row>
    <row r="258" spans="1:10">
      <c r="A258" s="256"/>
      <c r="B258" s="301"/>
      <c r="C258" s="302"/>
      <c r="D258" s="303"/>
      <c r="E258" s="195" t="s">
        <v>580</v>
      </c>
      <c r="F258" s="270">
        <v>0</v>
      </c>
      <c r="G258" s="185"/>
      <c r="H258" s="269"/>
      <c r="I258" s="222"/>
      <c r="J258" s="223"/>
    </row>
    <row r="259" spans="1:10">
      <c r="A259" s="256"/>
      <c r="B259" s="301"/>
      <c r="C259" s="302"/>
      <c r="D259" s="303"/>
      <c r="E259" s="195" t="s">
        <v>266</v>
      </c>
      <c r="F259" s="304">
        <v>93</v>
      </c>
      <c r="G259" s="185"/>
      <c r="H259" s="269"/>
      <c r="I259" s="222"/>
      <c r="J259" s="223"/>
    </row>
    <row r="260" spans="1:10">
      <c r="A260" s="256"/>
      <c r="B260" s="301"/>
      <c r="C260" s="302"/>
      <c r="D260" s="303"/>
      <c r="E260" s="305"/>
      <c r="F260" s="270">
        <f>SUM(F253:F259)</f>
        <v>373</v>
      </c>
      <c r="G260" s="185"/>
      <c r="H260" s="269"/>
      <c r="I260" s="222"/>
      <c r="J260" s="223"/>
    </row>
    <row r="261" spans="1:10">
      <c r="A261" s="256"/>
      <c r="B261" s="301"/>
      <c r="C261" s="302"/>
      <c r="D261" s="303"/>
      <c r="E261" s="195"/>
      <c r="F261" s="310"/>
      <c r="G261" s="185"/>
      <c r="H261" s="269"/>
      <c r="I261" s="222"/>
      <c r="J261" s="223"/>
    </row>
    <row r="262" spans="1:10">
      <c r="A262" s="25">
        <f>MAX(A$1:A261)+1</f>
        <v>27</v>
      </c>
      <c r="B262" s="41"/>
      <c r="C262" s="26" t="s">
        <v>61</v>
      </c>
      <c r="D262" s="27"/>
      <c r="E262" s="28" t="s">
        <v>62</v>
      </c>
      <c r="F262" s="254"/>
      <c r="G262" s="30" t="s">
        <v>2</v>
      </c>
      <c r="H262" s="59">
        <f>H263</f>
        <v>19</v>
      </c>
      <c r="I262" s="376"/>
      <c r="J262" s="226">
        <f>H262*I262</f>
        <v>0</v>
      </c>
    </row>
    <row r="263" spans="1:10" ht="25.5">
      <c r="A263" s="25"/>
      <c r="B263" s="41"/>
      <c r="C263" s="39"/>
      <c r="D263" s="33" t="s">
        <v>63</v>
      </c>
      <c r="E263" s="34" t="s">
        <v>64</v>
      </c>
      <c r="F263" s="255"/>
      <c r="G263" s="36" t="s">
        <v>2</v>
      </c>
      <c r="H263" s="58">
        <v>19</v>
      </c>
      <c r="I263" s="222"/>
      <c r="J263" s="223"/>
    </row>
    <row r="264" spans="1:10">
      <c r="A264" s="256"/>
      <c r="B264" s="301"/>
      <c r="C264" s="302"/>
      <c r="D264" s="303"/>
      <c r="E264" s="195" t="s">
        <v>289</v>
      </c>
      <c r="F264" s="233"/>
      <c r="G264" s="24"/>
      <c r="H264" s="269"/>
      <c r="I264" s="222"/>
      <c r="J264" s="223"/>
    </row>
    <row r="265" spans="1:10">
      <c r="A265" s="256"/>
      <c r="B265" s="301"/>
      <c r="C265" s="302"/>
      <c r="D265" s="303"/>
      <c r="E265" s="195" t="s">
        <v>266</v>
      </c>
      <c r="F265" s="270">
        <v>19</v>
      </c>
      <c r="G265" s="185"/>
      <c r="H265" s="269"/>
      <c r="I265" s="222"/>
      <c r="J265" s="223"/>
    </row>
    <row r="266" spans="1:10">
      <c r="A266" s="256"/>
      <c r="B266" s="301"/>
      <c r="C266" s="302"/>
      <c r="D266" s="303"/>
      <c r="E266" s="247"/>
      <c r="F266" s="260"/>
      <c r="G266" s="185"/>
      <c r="H266" s="269"/>
      <c r="I266" s="222"/>
      <c r="J266" s="223"/>
    </row>
    <row r="267" spans="1:10">
      <c r="A267" s="25">
        <f>MAX(A$1:A266)+1</f>
        <v>28</v>
      </c>
      <c r="B267" s="41"/>
      <c r="C267" s="26" t="s">
        <v>617</v>
      </c>
      <c r="D267" s="27"/>
      <c r="E267" s="28" t="s">
        <v>618</v>
      </c>
      <c r="F267" s="254"/>
      <c r="G267" s="30" t="s">
        <v>2</v>
      </c>
      <c r="H267" s="59">
        <f>H268</f>
        <v>701</v>
      </c>
      <c r="I267" s="376"/>
      <c r="J267" s="226">
        <f>H267*I267</f>
        <v>0</v>
      </c>
    </row>
    <row r="268" spans="1:10" ht="25.5">
      <c r="A268" s="25"/>
      <c r="B268" s="41"/>
      <c r="C268" s="39"/>
      <c r="D268" s="33" t="s">
        <v>619</v>
      </c>
      <c r="E268" s="34" t="s">
        <v>620</v>
      </c>
      <c r="F268" s="255"/>
      <c r="G268" s="36" t="s">
        <v>2</v>
      </c>
      <c r="H268" s="58">
        <v>701</v>
      </c>
      <c r="I268" s="222"/>
      <c r="J268" s="223"/>
    </row>
    <row r="269" spans="1:10">
      <c r="A269" s="256"/>
      <c r="B269" s="301"/>
      <c r="C269" s="302"/>
      <c r="D269" s="303"/>
      <c r="E269" s="195" t="s">
        <v>621</v>
      </c>
      <c r="F269" s="260"/>
      <c r="G269" s="185"/>
      <c r="H269" s="269"/>
      <c r="I269" s="222"/>
      <c r="J269" s="223"/>
    </row>
    <row r="270" spans="1:10">
      <c r="A270" s="256"/>
      <c r="B270" s="301"/>
      <c r="C270" s="302"/>
      <c r="D270" s="303"/>
      <c r="E270" s="195" t="s">
        <v>264</v>
      </c>
      <c r="F270" s="270">
        <v>76</v>
      </c>
      <c r="G270" s="185"/>
      <c r="H270" s="269"/>
      <c r="I270" s="222"/>
      <c r="J270" s="223"/>
    </row>
    <row r="271" spans="1:10">
      <c r="A271" s="256"/>
      <c r="B271" s="301"/>
      <c r="C271" s="302"/>
      <c r="D271" s="303"/>
      <c r="E271" s="195" t="s">
        <v>265</v>
      </c>
      <c r="F271" s="270">
        <v>231</v>
      </c>
      <c r="G271" s="185"/>
      <c r="H271" s="269"/>
      <c r="I271" s="222"/>
      <c r="J271" s="223"/>
    </row>
    <row r="272" spans="1:10">
      <c r="A272" s="256"/>
      <c r="B272" s="301"/>
      <c r="C272" s="302"/>
      <c r="D272" s="303"/>
      <c r="E272" s="195" t="s">
        <v>578</v>
      </c>
      <c r="F272" s="270">
        <v>139</v>
      </c>
      <c r="G272" s="185"/>
      <c r="H272" s="269"/>
      <c r="I272" s="222"/>
      <c r="J272" s="223"/>
    </row>
    <row r="273" spans="1:10">
      <c r="A273" s="256"/>
      <c r="B273" s="301"/>
      <c r="C273" s="302"/>
      <c r="D273" s="303"/>
      <c r="E273" s="195" t="s">
        <v>580</v>
      </c>
      <c r="F273" s="270">
        <v>86</v>
      </c>
      <c r="G273" s="185"/>
      <c r="H273" s="269"/>
      <c r="I273" s="222"/>
      <c r="J273" s="223"/>
    </row>
    <row r="274" spans="1:10">
      <c r="A274" s="256"/>
      <c r="B274" s="301"/>
      <c r="C274" s="302"/>
      <c r="D274" s="303"/>
      <c r="E274" s="195" t="s">
        <v>266</v>
      </c>
      <c r="F274" s="304">
        <v>169</v>
      </c>
      <c r="G274" s="185"/>
      <c r="H274" s="269"/>
      <c r="I274" s="222"/>
      <c r="J274" s="223"/>
    </row>
    <row r="275" spans="1:10">
      <c r="A275" s="256"/>
      <c r="B275" s="301"/>
      <c r="C275" s="302"/>
      <c r="D275" s="303"/>
      <c r="E275" s="305"/>
      <c r="F275" s="270">
        <f>SUM(F268:F274)</f>
        <v>701</v>
      </c>
      <c r="G275" s="185"/>
      <c r="H275" s="269"/>
      <c r="I275" s="222"/>
      <c r="J275" s="223"/>
    </row>
    <row r="276" spans="1:10">
      <c r="A276" s="256"/>
      <c r="B276" s="301"/>
      <c r="C276" s="302"/>
      <c r="D276" s="303"/>
      <c r="E276" s="247"/>
      <c r="F276" s="260"/>
      <c r="G276" s="185"/>
      <c r="H276" s="269"/>
      <c r="I276" s="222"/>
      <c r="J276" s="223"/>
    </row>
    <row r="277" spans="1:10">
      <c r="A277" s="25"/>
      <c r="B277" s="280" t="s">
        <v>101</v>
      </c>
      <c r="C277" s="281"/>
      <c r="D277" s="282"/>
      <c r="E277" s="283" t="s">
        <v>102</v>
      </c>
      <c r="F277" s="284"/>
      <c r="G277" s="285"/>
      <c r="H277" s="58"/>
      <c r="I277" s="222"/>
      <c r="J277" s="223"/>
    </row>
    <row r="278" spans="1:10">
      <c r="A278" s="25"/>
      <c r="B278" s="41"/>
      <c r="C278" s="42"/>
      <c r="D278" s="296"/>
      <c r="E278" s="297"/>
      <c r="F278" s="32"/>
      <c r="G278" s="24"/>
      <c r="H278" s="58"/>
      <c r="I278" s="222"/>
      <c r="J278" s="223"/>
    </row>
    <row r="279" spans="1:10">
      <c r="A279" s="256"/>
      <c r="B279" s="301"/>
      <c r="C279" s="302"/>
      <c r="D279" s="303"/>
      <c r="E279" s="305"/>
      <c r="F279" s="279"/>
      <c r="G279" s="185"/>
      <c r="H279" s="269"/>
      <c r="I279" s="222"/>
      <c r="J279" s="223"/>
    </row>
    <row r="280" spans="1:10">
      <c r="A280" s="25">
        <f>MAX(A$1:A279)+1</f>
        <v>29</v>
      </c>
      <c r="B280" s="41"/>
      <c r="C280" s="26" t="s">
        <v>103</v>
      </c>
      <c r="D280" s="27"/>
      <c r="E280" s="28" t="s">
        <v>104</v>
      </c>
      <c r="F280" s="254"/>
      <c r="G280" s="30" t="s">
        <v>8</v>
      </c>
      <c r="H280" s="59">
        <f>H281</f>
        <v>697.66</v>
      </c>
      <c r="I280" s="376"/>
      <c r="J280" s="226">
        <f>H280*I280</f>
        <v>0</v>
      </c>
    </row>
    <row r="281" spans="1:10" ht="25.5">
      <c r="A281" s="25"/>
      <c r="B281" s="41"/>
      <c r="C281" s="39"/>
      <c r="D281" s="33" t="s">
        <v>105</v>
      </c>
      <c r="E281" s="34" t="s">
        <v>106</v>
      </c>
      <c r="F281" s="255"/>
      <c r="G281" s="36" t="s">
        <v>8</v>
      </c>
      <c r="H281" s="58">
        <v>697.66</v>
      </c>
      <c r="I281" s="222"/>
      <c r="J281" s="223"/>
    </row>
    <row r="282" spans="1:10">
      <c r="A282" s="25"/>
      <c r="B282" s="41"/>
      <c r="C282" s="42"/>
      <c r="D282" s="296"/>
      <c r="E282" s="195" t="s">
        <v>622</v>
      </c>
      <c r="F282" s="31">
        <f>(644+1252)*0.1</f>
        <v>189.60000000000002</v>
      </c>
      <c r="G282" s="24"/>
      <c r="H282" s="58"/>
      <c r="I282" s="222"/>
      <c r="J282" s="223"/>
    </row>
    <row r="283" spans="1:10">
      <c r="A283" s="25"/>
      <c r="B283" s="41"/>
      <c r="C283" s="42"/>
      <c r="D283" s="296"/>
      <c r="E283" s="195" t="s">
        <v>623</v>
      </c>
      <c r="F283" s="31"/>
      <c r="G283" s="24"/>
      <c r="H283" s="58"/>
      <c r="I283" s="222"/>
      <c r="J283" s="223"/>
    </row>
    <row r="284" spans="1:10">
      <c r="A284" s="25"/>
      <c r="B284" s="41"/>
      <c r="C284" s="42"/>
      <c r="D284" s="296"/>
      <c r="E284" s="195" t="s">
        <v>624</v>
      </c>
      <c r="F284" s="31"/>
      <c r="G284" s="24"/>
      <c r="H284" s="58"/>
      <c r="I284" s="222"/>
      <c r="J284" s="223"/>
    </row>
    <row r="285" spans="1:10">
      <c r="A285" s="256"/>
      <c r="B285" s="301"/>
      <c r="C285" s="302"/>
      <c r="D285" s="303"/>
      <c r="E285" s="245"/>
      <c r="F285" s="245"/>
      <c r="G285" s="185"/>
      <c r="H285" s="269"/>
      <c r="I285" s="222"/>
      <c r="J285" s="223"/>
    </row>
    <row r="286" spans="1:10">
      <c r="A286" s="256"/>
      <c r="B286" s="301"/>
      <c r="C286" s="302"/>
      <c r="D286" s="303"/>
      <c r="E286" s="195" t="s">
        <v>293</v>
      </c>
      <c r="F286" s="233">
        <v>28</v>
      </c>
      <c r="G286" s="185"/>
      <c r="H286" s="269"/>
      <c r="I286" s="222"/>
      <c r="J286" s="223"/>
    </row>
    <row r="287" spans="1:10">
      <c r="A287" s="256"/>
      <c r="B287" s="301"/>
      <c r="C287" s="302"/>
      <c r="D287" s="303"/>
      <c r="E287" s="245"/>
      <c r="F287" s="279"/>
      <c r="G287" s="185"/>
      <c r="H287" s="269"/>
      <c r="I287" s="222"/>
      <c r="J287" s="223"/>
    </row>
    <row r="288" spans="1:10" ht="25.5">
      <c r="A288" s="256"/>
      <c r="B288" s="301"/>
      <c r="C288" s="302"/>
      <c r="D288" s="303"/>
      <c r="E288" s="195" t="s">
        <v>625</v>
      </c>
      <c r="F288" s="236">
        <f>918+20.1+18.15+6.11-469-13.3</f>
        <v>480.06</v>
      </c>
      <c r="G288" s="185"/>
      <c r="H288" s="269"/>
      <c r="I288" s="222"/>
      <c r="J288" s="223"/>
    </row>
    <row r="289" spans="1:10">
      <c r="A289" s="256"/>
      <c r="B289" s="301"/>
      <c r="C289" s="302"/>
      <c r="D289" s="303"/>
      <c r="E289" s="245"/>
      <c r="F289" s="311">
        <f>SUM(F282:F288)</f>
        <v>697.66000000000008</v>
      </c>
      <c r="G289" s="185"/>
      <c r="H289" s="269"/>
      <c r="I289" s="222"/>
      <c r="J289" s="223"/>
    </row>
    <row r="290" spans="1:10">
      <c r="A290" s="256"/>
      <c r="B290" s="301"/>
      <c r="C290" s="302"/>
      <c r="D290" s="303"/>
      <c r="E290" s="305"/>
      <c r="F290" s="279"/>
      <c r="G290" s="185"/>
      <c r="H290" s="269"/>
      <c r="I290" s="222"/>
      <c r="J290" s="223"/>
    </row>
    <row r="291" spans="1:10">
      <c r="A291" s="25">
        <f>MAX(A$1:A290)+1</f>
        <v>30</v>
      </c>
      <c r="B291" s="41"/>
      <c r="C291" s="26" t="s">
        <v>127</v>
      </c>
      <c r="D291" s="27"/>
      <c r="E291" s="28" t="s">
        <v>128</v>
      </c>
      <c r="F291" s="254"/>
      <c r="G291" s="30" t="s">
        <v>8</v>
      </c>
      <c r="H291" s="59">
        <v>128</v>
      </c>
      <c r="I291" s="376"/>
      <c r="J291" s="226">
        <f>H291*I291</f>
        <v>0</v>
      </c>
    </row>
    <row r="292" spans="1:10" ht="25.5">
      <c r="A292" s="25"/>
      <c r="B292" s="41"/>
      <c r="C292" s="39"/>
      <c r="D292" s="33" t="s">
        <v>129</v>
      </c>
      <c r="E292" s="34" t="s">
        <v>130</v>
      </c>
      <c r="F292" s="255"/>
      <c r="G292" s="36" t="s">
        <v>8</v>
      </c>
      <c r="H292" s="58">
        <v>128</v>
      </c>
      <c r="I292" s="222"/>
      <c r="J292" s="223"/>
    </row>
    <row r="293" spans="1:10">
      <c r="A293" s="25"/>
      <c r="B293" s="41"/>
      <c r="C293" s="39"/>
      <c r="D293" s="33"/>
      <c r="E293" s="195" t="s">
        <v>626</v>
      </c>
      <c r="F293" s="31">
        <v>128</v>
      </c>
      <c r="G293" s="36"/>
      <c r="H293" s="58"/>
      <c r="I293" s="222"/>
      <c r="J293" s="223"/>
    </row>
    <row r="294" spans="1:10">
      <c r="A294" s="256"/>
      <c r="B294" s="301"/>
      <c r="C294" s="302"/>
      <c r="D294" s="303"/>
      <c r="E294" s="305"/>
      <c r="F294" s="279"/>
      <c r="G294" s="185"/>
      <c r="H294" s="269"/>
      <c r="I294" s="222"/>
      <c r="J294" s="223"/>
    </row>
    <row r="295" spans="1:10">
      <c r="A295" s="256"/>
      <c r="B295" s="301"/>
      <c r="C295" s="302"/>
      <c r="D295" s="303"/>
      <c r="E295" s="305"/>
      <c r="F295" s="279"/>
      <c r="G295" s="185"/>
      <c r="H295" s="269"/>
      <c r="I295" s="222"/>
      <c r="J295" s="223"/>
    </row>
    <row r="296" spans="1:10">
      <c r="A296" s="312"/>
      <c r="B296" s="280" t="s">
        <v>71</v>
      </c>
      <c r="C296" s="281"/>
      <c r="D296" s="282"/>
      <c r="E296" s="283" t="s">
        <v>72</v>
      </c>
      <c r="F296" s="284"/>
      <c r="G296" s="285"/>
      <c r="H296" s="313"/>
      <c r="I296" s="222"/>
      <c r="J296" s="223"/>
    </row>
    <row r="297" spans="1:10">
      <c r="A297" s="312"/>
      <c r="B297" s="314"/>
      <c r="C297" s="39"/>
      <c r="D297" s="33"/>
      <c r="E297" s="34"/>
      <c r="F297" s="255"/>
      <c r="G297" s="36"/>
      <c r="H297" s="313"/>
      <c r="I297" s="222"/>
      <c r="J297" s="223"/>
    </row>
    <row r="298" spans="1:10" ht="25.5">
      <c r="A298" s="25">
        <f>MAX(A$1:A297)+1</f>
        <v>31</v>
      </c>
      <c r="B298" s="314"/>
      <c r="C298" s="26" t="s">
        <v>295</v>
      </c>
      <c r="D298" s="27"/>
      <c r="E298" s="28" t="s">
        <v>296</v>
      </c>
      <c r="F298" s="254"/>
      <c r="G298" s="30" t="s">
        <v>2</v>
      </c>
      <c r="H298" s="59">
        <f>H299+H308</f>
        <v>1896</v>
      </c>
      <c r="I298" s="376"/>
      <c r="J298" s="226">
        <f>H298*I298</f>
        <v>0</v>
      </c>
    </row>
    <row r="299" spans="1:10" ht="25.5">
      <c r="A299" s="25"/>
      <c r="B299" s="314"/>
      <c r="C299" s="26"/>
      <c r="D299" s="33" t="s">
        <v>297</v>
      </c>
      <c r="E299" s="34" t="s">
        <v>298</v>
      </c>
      <c r="F299" s="35"/>
      <c r="G299" s="36" t="s">
        <v>2</v>
      </c>
      <c r="H299" s="58">
        <v>1252</v>
      </c>
      <c r="I299" s="225"/>
      <c r="J299" s="226"/>
    </row>
    <row r="300" spans="1:10">
      <c r="A300" s="25"/>
      <c r="B300" s="314"/>
      <c r="C300" s="26"/>
      <c r="D300" s="33"/>
      <c r="E300" s="258" t="s">
        <v>299</v>
      </c>
      <c r="F300" s="35"/>
      <c r="G300" s="36"/>
      <c r="H300" s="59"/>
      <c r="I300" s="222"/>
      <c r="J300" s="223"/>
    </row>
    <row r="301" spans="1:10">
      <c r="A301" s="25"/>
      <c r="B301" s="314"/>
      <c r="C301" s="26"/>
      <c r="D301" s="33"/>
      <c r="E301" s="195" t="s">
        <v>264</v>
      </c>
      <c r="F301" s="270">
        <v>458</v>
      </c>
      <c r="G301" s="36"/>
      <c r="H301" s="59"/>
      <c r="I301" s="222"/>
      <c r="J301" s="223"/>
    </row>
    <row r="302" spans="1:10">
      <c r="A302" s="25"/>
      <c r="B302" s="314"/>
      <c r="C302" s="26"/>
      <c r="D302" s="33"/>
      <c r="E302" s="195" t="s">
        <v>589</v>
      </c>
      <c r="F302" s="270">
        <v>269</v>
      </c>
      <c r="G302" s="36"/>
      <c r="H302" s="59"/>
      <c r="I302" s="222"/>
      <c r="J302" s="223"/>
    </row>
    <row r="303" spans="1:10">
      <c r="A303" s="25"/>
      <c r="B303" s="314"/>
      <c r="C303" s="26"/>
      <c r="D303" s="33"/>
      <c r="E303" s="195" t="s">
        <v>265</v>
      </c>
      <c r="F303" s="270">
        <v>196</v>
      </c>
      <c r="G303" s="36"/>
      <c r="H303" s="59"/>
      <c r="I303" s="222"/>
      <c r="J303" s="223"/>
    </row>
    <row r="304" spans="1:10">
      <c r="A304" s="25"/>
      <c r="B304" s="314"/>
      <c r="C304" s="26"/>
      <c r="D304" s="33"/>
      <c r="E304" s="195" t="s">
        <v>578</v>
      </c>
      <c r="F304" s="270">
        <v>71</v>
      </c>
      <c r="G304" s="36"/>
      <c r="H304" s="59"/>
      <c r="I304" s="222"/>
      <c r="J304" s="223"/>
    </row>
    <row r="305" spans="1:10">
      <c r="A305" s="25"/>
      <c r="B305" s="314"/>
      <c r="C305" s="26"/>
      <c r="D305" s="33"/>
      <c r="E305" s="195" t="s">
        <v>580</v>
      </c>
      <c r="F305" s="270">
        <v>0</v>
      </c>
      <c r="G305" s="36"/>
      <c r="H305" s="59"/>
      <c r="I305" s="222"/>
      <c r="J305" s="223"/>
    </row>
    <row r="306" spans="1:10">
      <c r="A306" s="256"/>
      <c r="B306" s="318"/>
      <c r="C306" s="257"/>
      <c r="D306" s="259"/>
      <c r="E306" s="195" t="s">
        <v>266</v>
      </c>
      <c r="F306" s="304">
        <v>258</v>
      </c>
      <c r="G306" s="261"/>
      <c r="H306" s="278"/>
      <c r="I306" s="222"/>
      <c r="J306" s="223"/>
    </row>
    <row r="307" spans="1:10">
      <c r="A307" s="256"/>
      <c r="B307" s="318"/>
      <c r="C307" s="257"/>
      <c r="D307" s="259"/>
      <c r="E307" s="305"/>
      <c r="F307" s="270">
        <f>SUM(F301:F306)</f>
        <v>1252</v>
      </c>
      <c r="G307" s="261"/>
      <c r="H307" s="278"/>
      <c r="I307" s="222"/>
      <c r="J307" s="223"/>
    </row>
    <row r="308" spans="1:10" ht="25.5">
      <c r="A308" s="317"/>
      <c r="B308" s="318"/>
      <c r="C308" s="272"/>
      <c r="D308" s="33" t="s">
        <v>300</v>
      </c>
      <c r="E308" s="34" t="s">
        <v>301</v>
      </c>
      <c r="F308" s="255"/>
      <c r="G308" s="36" t="s">
        <v>2</v>
      </c>
      <c r="H308" s="58">
        <v>644</v>
      </c>
      <c r="I308" s="225"/>
      <c r="J308" s="226"/>
    </row>
    <row r="309" spans="1:10">
      <c r="A309" s="317"/>
      <c r="B309" s="318"/>
      <c r="C309" s="272"/>
      <c r="D309" s="33"/>
      <c r="E309" s="258" t="s">
        <v>627</v>
      </c>
      <c r="F309" s="255"/>
      <c r="G309" s="36"/>
      <c r="H309" s="58"/>
      <c r="I309" s="222"/>
      <c r="J309" s="223"/>
    </row>
    <row r="310" spans="1:10">
      <c r="A310" s="317"/>
      <c r="B310" s="318"/>
      <c r="C310" s="272"/>
      <c r="D310" s="33"/>
      <c r="E310" s="195" t="s">
        <v>265</v>
      </c>
      <c r="F310" s="270">
        <v>231</v>
      </c>
      <c r="G310" s="36"/>
      <c r="H310" s="269"/>
      <c r="I310" s="222"/>
      <c r="J310" s="223"/>
    </row>
    <row r="311" spans="1:10">
      <c r="A311" s="317"/>
      <c r="B311" s="318"/>
      <c r="C311" s="272"/>
      <c r="D311" s="33"/>
      <c r="E311" s="195" t="s">
        <v>578</v>
      </c>
      <c r="F311" s="270">
        <v>139</v>
      </c>
      <c r="G311" s="36"/>
      <c r="H311" s="269"/>
      <c r="I311" s="222"/>
      <c r="J311" s="223"/>
    </row>
    <row r="312" spans="1:10">
      <c r="A312" s="317"/>
      <c r="B312" s="318"/>
      <c r="C312" s="272"/>
      <c r="D312" s="33"/>
      <c r="E312" s="195" t="s">
        <v>580</v>
      </c>
      <c r="F312" s="270">
        <v>86</v>
      </c>
      <c r="G312" s="36"/>
      <c r="H312" s="269"/>
      <c r="I312" s="222"/>
      <c r="J312" s="223"/>
    </row>
    <row r="313" spans="1:10">
      <c r="A313" s="317"/>
      <c r="B313" s="318"/>
      <c r="C313" s="272"/>
      <c r="D313" s="33"/>
      <c r="E313" s="195" t="s">
        <v>266</v>
      </c>
      <c r="F313" s="304">
        <v>188</v>
      </c>
      <c r="G313" s="36"/>
      <c r="H313" s="269"/>
      <c r="I313" s="222"/>
      <c r="J313" s="223"/>
    </row>
    <row r="314" spans="1:10">
      <c r="A314" s="317"/>
      <c r="B314" s="318"/>
      <c r="C314" s="272"/>
      <c r="D314" s="33"/>
      <c r="E314" s="305"/>
      <c r="F314" s="270">
        <f>SUM(F310:F313)</f>
        <v>644</v>
      </c>
      <c r="G314" s="36"/>
      <c r="H314" s="269"/>
      <c r="I314" s="222"/>
      <c r="J314" s="223"/>
    </row>
    <row r="315" spans="1:10">
      <c r="A315" s="317"/>
      <c r="B315" s="318"/>
      <c r="C315" s="272"/>
      <c r="D315" s="262"/>
      <c r="E315" s="275"/>
      <c r="F315" s="276"/>
      <c r="G315" s="263"/>
      <c r="H315" s="322"/>
      <c r="I315" s="222"/>
      <c r="J315" s="223"/>
    </row>
    <row r="316" spans="1:10">
      <c r="A316" s="317"/>
      <c r="B316" s="318"/>
      <c r="C316" s="272"/>
      <c r="D316" s="262"/>
      <c r="E316" s="321" t="s">
        <v>628</v>
      </c>
      <c r="F316" s="276"/>
      <c r="G316" s="263"/>
      <c r="H316" s="322"/>
      <c r="I316" s="222"/>
      <c r="J316" s="223"/>
    </row>
    <row r="317" spans="1:10">
      <c r="A317" s="317"/>
      <c r="B317" s="318"/>
      <c r="C317" s="272"/>
      <c r="D317" s="262"/>
      <c r="E317" s="321" t="s">
        <v>629</v>
      </c>
      <c r="F317" s="276"/>
      <c r="G317" s="263"/>
      <c r="H317" s="322"/>
      <c r="I317" s="222"/>
      <c r="J317" s="223"/>
    </row>
    <row r="318" spans="1:10">
      <c r="A318" s="317"/>
      <c r="B318" s="318"/>
      <c r="C318" s="272"/>
      <c r="D318" s="262"/>
      <c r="E318" s="321" t="s">
        <v>630</v>
      </c>
      <c r="F318" s="276"/>
      <c r="G318" s="263"/>
      <c r="H318" s="322"/>
      <c r="I318" s="222"/>
      <c r="J318" s="223"/>
    </row>
    <row r="319" spans="1:10">
      <c r="A319" s="317"/>
      <c r="B319" s="318"/>
      <c r="C319" s="272"/>
      <c r="D319" s="262"/>
      <c r="E319" s="275"/>
      <c r="F319" s="276"/>
      <c r="G319" s="263"/>
      <c r="H319" s="322"/>
      <c r="I319" s="222"/>
      <c r="J319" s="223"/>
    </row>
    <row r="320" spans="1:10">
      <c r="A320" s="317"/>
      <c r="B320" s="318"/>
      <c r="C320" s="272"/>
      <c r="D320" s="262"/>
      <c r="E320" s="275"/>
      <c r="F320" s="276"/>
      <c r="G320" s="263"/>
      <c r="H320" s="322"/>
      <c r="I320" s="222"/>
      <c r="J320" s="223"/>
    </row>
    <row r="321" spans="1:10" ht="25.5">
      <c r="A321" s="25">
        <f>MAX(A$1:A320)+1</f>
        <v>32</v>
      </c>
      <c r="B321" s="314"/>
      <c r="C321" s="26" t="s">
        <v>305</v>
      </c>
      <c r="D321" s="27"/>
      <c r="E321" s="28" t="s">
        <v>306</v>
      </c>
      <c r="F321" s="254"/>
      <c r="G321" s="30" t="s">
        <v>2</v>
      </c>
      <c r="H321" s="59">
        <f>H322</f>
        <v>1280</v>
      </c>
      <c r="I321" s="376"/>
      <c r="J321" s="226">
        <f>H321*I321</f>
        <v>0</v>
      </c>
    </row>
    <row r="322" spans="1:10" ht="25.5">
      <c r="A322" s="312"/>
      <c r="B322" s="314"/>
      <c r="C322" s="383"/>
      <c r="D322" s="33" t="s">
        <v>307</v>
      </c>
      <c r="E322" s="34" t="s">
        <v>308</v>
      </c>
      <c r="F322" s="255"/>
      <c r="G322" s="36" t="s">
        <v>2</v>
      </c>
      <c r="H322" s="58">
        <v>1280</v>
      </c>
      <c r="I322" s="222"/>
      <c r="J322" s="223"/>
    </row>
    <row r="323" spans="1:10">
      <c r="A323" s="312"/>
      <c r="B323" s="314"/>
      <c r="C323" s="383"/>
      <c r="D323" s="37"/>
      <c r="E323" s="195" t="s">
        <v>631</v>
      </c>
      <c r="F323" s="270">
        <v>1280</v>
      </c>
      <c r="G323" s="23"/>
      <c r="H323" s="384"/>
      <c r="I323" s="222"/>
      <c r="J323" s="223"/>
    </row>
    <row r="324" spans="1:10">
      <c r="A324" s="312"/>
      <c r="B324" s="314"/>
      <c r="C324" s="383"/>
      <c r="D324" s="37"/>
      <c r="E324" s="268"/>
      <c r="F324" s="270"/>
      <c r="G324" s="23"/>
      <c r="H324" s="384"/>
      <c r="I324" s="222"/>
      <c r="J324" s="223"/>
    </row>
    <row r="325" spans="1:10" ht="25.5">
      <c r="A325" s="25">
        <f>MAX(A$1:A324)+1</f>
        <v>33</v>
      </c>
      <c r="B325" s="314"/>
      <c r="C325" s="26" t="s">
        <v>310</v>
      </c>
      <c r="D325" s="27"/>
      <c r="E325" s="28" t="s">
        <v>311</v>
      </c>
      <c r="F325" s="254"/>
      <c r="G325" s="30" t="s">
        <v>2</v>
      </c>
      <c r="H325" s="59">
        <f>H326</f>
        <v>1280</v>
      </c>
      <c r="I325" s="376"/>
      <c r="J325" s="226">
        <f>H325*I325</f>
        <v>0</v>
      </c>
    </row>
    <row r="326" spans="1:10" ht="25.5">
      <c r="A326" s="312"/>
      <c r="B326" s="314"/>
      <c r="C326" s="383"/>
      <c r="D326" s="33" t="s">
        <v>312</v>
      </c>
      <c r="E326" s="34" t="s">
        <v>313</v>
      </c>
      <c r="F326" s="255"/>
      <c r="G326" s="36" t="s">
        <v>2</v>
      </c>
      <c r="H326" s="58">
        <v>1280</v>
      </c>
      <c r="I326" s="222"/>
      <c r="J326" s="223"/>
    </row>
    <row r="327" spans="1:10">
      <c r="A327" s="312"/>
      <c r="B327" s="314"/>
      <c r="C327" s="383"/>
      <c r="D327" s="37"/>
      <c r="E327" s="268" t="s">
        <v>314</v>
      </c>
      <c r="F327" s="270">
        <v>1280</v>
      </c>
      <c r="G327" s="23"/>
      <c r="H327" s="384"/>
      <c r="I327" s="222"/>
      <c r="J327" s="223"/>
    </row>
    <row r="328" spans="1:10">
      <c r="A328" s="317"/>
      <c r="B328" s="318"/>
      <c r="C328" s="272"/>
      <c r="D328" s="262"/>
      <c r="E328" s="275"/>
      <c r="F328" s="276"/>
      <c r="G328" s="263"/>
      <c r="H328" s="322"/>
      <c r="I328" s="222"/>
      <c r="J328" s="223"/>
    </row>
    <row r="329" spans="1:10">
      <c r="A329" s="25"/>
      <c r="B329" s="41"/>
      <c r="C329" s="42"/>
      <c r="D329" s="296"/>
      <c r="E329" s="297"/>
      <c r="F329" s="270"/>
      <c r="G329" s="24"/>
      <c r="H329" s="58"/>
      <c r="I329" s="222"/>
      <c r="J329" s="223"/>
    </row>
    <row r="330" spans="1:10" ht="25.5">
      <c r="A330" s="25"/>
      <c r="B330" s="280" t="s">
        <v>315</v>
      </c>
      <c r="C330" s="280"/>
      <c r="D330" s="282"/>
      <c r="E330" s="251" t="s">
        <v>316</v>
      </c>
      <c r="F330" s="298"/>
      <c r="G330" s="285"/>
      <c r="H330" s="58"/>
      <c r="I330" s="222"/>
      <c r="J330" s="223"/>
    </row>
    <row r="331" spans="1:10">
      <c r="A331" s="25"/>
      <c r="B331" s="41"/>
      <c r="C331" s="42"/>
      <c r="D331" s="296"/>
      <c r="E331" s="297"/>
      <c r="F331" s="270"/>
      <c r="G331" s="24"/>
      <c r="H331" s="58"/>
      <c r="I331" s="222"/>
      <c r="J331" s="223"/>
    </row>
    <row r="332" spans="1:10">
      <c r="A332" s="256"/>
      <c r="B332" s="301"/>
      <c r="C332" s="302"/>
      <c r="D332" s="303"/>
      <c r="E332" s="305"/>
      <c r="F332" s="279"/>
      <c r="G332" s="185"/>
      <c r="H332" s="269"/>
      <c r="I332" s="222"/>
      <c r="J332" s="223"/>
    </row>
    <row r="333" spans="1:10">
      <c r="A333" s="25">
        <f>MAX(A$1:A332)+1</f>
        <v>34</v>
      </c>
      <c r="B333" s="41"/>
      <c r="C333" s="26" t="s">
        <v>322</v>
      </c>
      <c r="D333" s="27"/>
      <c r="E333" s="28" t="s">
        <v>323</v>
      </c>
      <c r="F333" s="254"/>
      <c r="G333" s="30" t="s">
        <v>1</v>
      </c>
      <c r="H333" s="59">
        <f>H334</f>
        <v>6</v>
      </c>
      <c r="I333" s="376"/>
      <c r="J333" s="226">
        <f>H333*I333</f>
        <v>0</v>
      </c>
    </row>
    <row r="334" spans="1:10" ht="25.5">
      <c r="A334" s="25"/>
      <c r="B334" s="41"/>
      <c r="C334" s="39"/>
      <c r="D334" s="33" t="s">
        <v>324</v>
      </c>
      <c r="E334" s="34" t="s">
        <v>325</v>
      </c>
      <c r="F334" s="255"/>
      <c r="G334" s="36" t="s">
        <v>1</v>
      </c>
      <c r="H334" s="58">
        <v>6</v>
      </c>
      <c r="I334" s="222"/>
      <c r="J334" s="223"/>
    </row>
    <row r="335" spans="1:10">
      <c r="A335" s="25"/>
      <c r="B335" s="41"/>
      <c r="C335" s="42"/>
      <c r="D335" s="296"/>
      <c r="E335" s="195" t="s">
        <v>326</v>
      </c>
      <c r="F335" s="270"/>
      <c r="G335" s="24"/>
      <c r="H335" s="58"/>
      <c r="I335" s="222"/>
      <c r="J335" s="223"/>
    </row>
    <row r="336" spans="1:10">
      <c r="A336" s="25"/>
      <c r="B336" s="41"/>
      <c r="C336" s="42"/>
      <c r="D336" s="296"/>
      <c r="E336" s="195" t="s">
        <v>589</v>
      </c>
      <c r="F336" s="270">
        <v>1</v>
      </c>
      <c r="G336" s="24"/>
      <c r="H336" s="58"/>
      <c r="I336" s="222"/>
      <c r="J336" s="223"/>
    </row>
    <row r="337" spans="1:10">
      <c r="A337" s="25"/>
      <c r="B337" s="41"/>
      <c r="C337" s="42"/>
      <c r="D337" s="296"/>
      <c r="E337" s="195" t="s">
        <v>578</v>
      </c>
      <c r="F337" s="304">
        <v>5</v>
      </c>
      <c r="G337" s="24"/>
      <c r="H337" s="58"/>
      <c r="I337" s="222"/>
      <c r="J337" s="223"/>
    </row>
    <row r="338" spans="1:10">
      <c r="A338" s="25"/>
      <c r="B338" s="41"/>
      <c r="C338" s="42"/>
      <c r="D338" s="296"/>
      <c r="E338" s="195"/>
      <c r="F338" s="270">
        <f>SUM(F336:F337)</f>
        <v>6</v>
      </c>
      <c r="G338" s="24"/>
      <c r="H338" s="58"/>
      <c r="I338" s="222"/>
      <c r="J338" s="223"/>
    </row>
    <row r="339" spans="1:10">
      <c r="A339" s="256"/>
      <c r="B339" s="301"/>
      <c r="C339" s="302"/>
      <c r="D339" s="303"/>
      <c r="E339" s="305"/>
      <c r="F339" s="279"/>
      <c r="G339" s="185"/>
      <c r="H339" s="269"/>
      <c r="I339" s="222"/>
      <c r="J339" s="223"/>
    </row>
    <row r="340" spans="1:10">
      <c r="A340" s="25">
        <f>MAX(A$1:A339)+1</f>
        <v>35</v>
      </c>
      <c r="B340" s="41"/>
      <c r="C340" s="26" t="s">
        <v>327</v>
      </c>
      <c r="D340" s="27"/>
      <c r="E340" s="28" t="s">
        <v>328</v>
      </c>
      <c r="F340" s="254"/>
      <c r="G340" s="30" t="s">
        <v>1</v>
      </c>
      <c r="H340" s="59">
        <f>H341</f>
        <v>6</v>
      </c>
      <c r="I340" s="376"/>
      <c r="J340" s="226">
        <f>H340*I340</f>
        <v>0</v>
      </c>
    </row>
    <row r="341" spans="1:10">
      <c r="A341" s="25"/>
      <c r="B341" s="41"/>
      <c r="C341" s="39"/>
      <c r="D341" s="33" t="s">
        <v>329</v>
      </c>
      <c r="E341" s="34" t="s">
        <v>330</v>
      </c>
      <c r="F341" s="255"/>
      <c r="G341" s="36" t="s">
        <v>1</v>
      </c>
      <c r="H341" s="58">
        <v>6</v>
      </c>
      <c r="I341" s="222"/>
      <c r="J341" s="223"/>
    </row>
    <row r="342" spans="1:10">
      <c r="A342" s="25"/>
      <c r="B342" s="41"/>
      <c r="C342" s="42"/>
      <c r="D342" s="296"/>
      <c r="E342" s="195" t="s">
        <v>326</v>
      </c>
      <c r="F342" s="270"/>
      <c r="G342" s="24"/>
      <c r="H342" s="58"/>
      <c r="I342" s="222"/>
      <c r="J342" s="223"/>
    </row>
    <row r="343" spans="1:10">
      <c r="A343" s="25"/>
      <c r="B343" s="41"/>
      <c r="C343" s="42"/>
      <c r="D343" s="296"/>
      <c r="E343" s="195" t="s">
        <v>589</v>
      </c>
      <c r="F343" s="270">
        <v>1</v>
      </c>
      <c r="G343" s="24"/>
      <c r="H343" s="58"/>
      <c r="I343" s="222"/>
      <c r="J343" s="223"/>
    </row>
    <row r="344" spans="1:10">
      <c r="A344" s="25"/>
      <c r="B344" s="41"/>
      <c r="C344" s="42"/>
      <c r="D344" s="296"/>
      <c r="E344" s="195" t="s">
        <v>578</v>
      </c>
      <c r="F344" s="304">
        <v>5</v>
      </c>
      <c r="G344" s="24"/>
      <c r="H344" s="58"/>
      <c r="I344" s="222"/>
      <c r="J344" s="223"/>
    </row>
    <row r="345" spans="1:10">
      <c r="A345" s="25"/>
      <c r="B345" s="41"/>
      <c r="C345" s="42"/>
      <c r="D345" s="296"/>
      <c r="E345" s="195"/>
      <c r="F345" s="270">
        <f>SUM(F343:F344)</f>
        <v>6</v>
      </c>
      <c r="G345" s="24"/>
      <c r="H345" s="58"/>
      <c r="I345" s="222"/>
      <c r="J345" s="223"/>
    </row>
    <row r="346" spans="1:10">
      <c r="A346" s="25"/>
      <c r="B346" s="41"/>
      <c r="C346" s="42"/>
      <c r="D346" s="296"/>
      <c r="E346" s="297"/>
      <c r="F346" s="270"/>
      <c r="G346" s="24"/>
      <c r="H346" s="58"/>
      <c r="I346" s="222"/>
      <c r="J346" s="223"/>
    </row>
    <row r="347" spans="1:10" ht="25.5">
      <c r="A347" s="22"/>
      <c r="B347" s="280" t="s">
        <v>331</v>
      </c>
      <c r="C347" s="280"/>
      <c r="D347" s="282"/>
      <c r="E347" s="251" t="s">
        <v>332</v>
      </c>
      <c r="F347" s="298"/>
      <c r="G347" s="285"/>
      <c r="H347" s="269"/>
      <c r="I347" s="222"/>
      <c r="J347" s="223"/>
    </row>
    <row r="348" spans="1:10">
      <c r="A348" s="22"/>
      <c r="B348" s="23"/>
      <c r="C348" s="23"/>
      <c r="D348" s="24"/>
      <c r="E348" s="179"/>
      <c r="F348" s="180"/>
      <c r="G348" s="155"/>
      <c r="H348" s="181"/>
      <c r="I348" s="222"/>
      <c r="J348" s="223"/>
    </row>
    <row r="349" spans="1:10" ht="25.5">
      <c r="A349" s="25">
        <f>MAX(A$1:A348)+1</f>
        <v>36</v>
      </c>
      <c r="B349" s="23"/>
      <c r="C349" s="26" t="s">
        <v>333</v>
      </c>
      <c r="D349" s="27"/>
      <c r="E349" s="28" t="s">
        <v>334</v>
      </c>
      <c r="F349" s="254"/>
      <c r="G349" s="30" t="s">
        <v>2</v>
      </c>
      <c r="H349" s="59">
        <f>H350+H359+H368</f>
        <v>117.28999999999999</v>
      </c>
      <c r="I349" s="376"/>
      <c r="J349" s="226">
        <f>H349*I349</f>
        <v>0</v>
      </c>
    </row>
    <row r="350" spans="1:10" ht="25.5">
      <c r="A350" s="22"/>
      <c r="B350" s="23"/>
      <c r="C350" s="39"/>
      <c r="D350" s="33" t="s">
        <v>335</v>
      </c>
      <c r="E350" s="34" t="s">
        <v>336</v>
      </c>
      <c r="F350" s="255"/>
      <c r="G350" s="36" t="s">
        <v>2</v>
      </c>
      <c r="H350" s="58">
        <v>78.8</v>
      </c>
      <c r="I350" s="225"/>
      <c r="J350" s="226"/>
    </row>
    <row r="351" spans="1:10">
      <c r="A351" s="246"/>
      <c r="B351" s="184"/>
      <c r="C351" s="272"/>
      <c r="D351" s="262"/>
      <c r="E351" s="258" t="s">
        <v>337</v>
      </c>
      <c r="F351" s="276"/>
      <c r="G351" s="263"/>
      <c r="H351" s="189"/>
      <c r="I351" s="222"/>
      <c r="J351" s="223"/>
    </row>
    <row r="352" spans="1:10">
      <c r="A352" s="246"/>
      <c r="B352" s="184"/>
      <c r="C352" s="272"/>
      <c r="D352" s="262"/>
      <c r="E352" s="268" t="s">
        <v>338</v>
      </c>
      <c r="F352" s="276"/>
      <c r="G352" s="263"/>
      <c r="H352" s="189"/>
      <c r="I352" s="222"/>
      <c r="J352" s="223"/>
    </row>
    <row r="353" spans="1:10">
      <c r="A353" s="246"/>
      <c r="B353" s="184"/>
      <c r="C353" s="272"/>
      <c r="D353" s="262"/>
      <c r="E353" s="268" t="s">
        <v>339</v>
      </c>
      <c r="F353" s="276"/>
      <c r="G353" s="263"/>
      <c r="H353" s="189"/>
      <c r="I353" s="222"/>
      <c r="J353" s="223"/>
    </row>
    <row r="354" spans="1:10">
      <c r="A354" s="246"/>
      <c r="B354" s="184"/>
      <c r="C354" s="272"/>
      <c r="D354" s="262"/>
      <c r="E354" s="195" t="s">
        <v>632</v>
      </c>
      <c r="F354" s="270">
        <f>286.5*0.25</f>
        <v>71.625</v>
      </c>
      <c r="G354" s="263"/>
      <c r="H354" s="189"/>
      <c r="I354" s="222"/>
      <c r="J354" s="223"/>
    </row>
    <row r="355" spans="1:10">
      <c r="A355" s="246"/>
      <c r="B355" s="184"/>
      <c r="C355" s="272"/>
      <c r="D355" s="262"/>
      <c r="E355" s="195" t="s">
        <v>633</v>
      </c>
      <c r="F355" s="304">
        <f>57.4*1/2*0.25</f>
        <v>7.1749999999999998</v>
      </c>
      <c r="G355" s="263"/>
      <c r="H355" s="189"/>
      <c r="I355" s="222"/>
      <c r="J355" s="223"/>
    </row>
    <row r="356" spans="1:10">
      <c r="A356" s="246"/>
      <c r="B356" s="184"/>
      <c r="C356" s="272"/>
      <c r="D356" s="262"/>
      <c r="E356" s="275"/>
      <c r="F356" s="331">
        <f>SUM(F354:F355)</f>
        <v>78.8</v>
      </c>
      <c r="G356" s="263"/>
      <c r="H356" s="189"/>
      <c r="I356" s="222"/>
      <c r="J356" s="223"/>
    </row>
    <row r="357" spans="1:10">
      <c r="A357" s="246"/>
      <c r="B357" s="184"/>
      <c r="C357" s="272"/>
      <c r="D357" s="262"/>
      <c r="E357" s="268" t="s">
        <v>342</v>
      </c>
      <c r="F357" s="276"/>
      <c r="G357" s="263"/>
      <c r="H357" s="189"/>
      <c r="I357" s="222"/>
      <c r="J357" s="223"/>
    </row>
    <row r="358" spans="1:10">
      <c r="A358" s="246"/>
      <c r="B358" s="184"/>
      <c r="C358" s="272"/>
      <c r="D358" s="262"/>
      <c r="E358" s="275"/>
      <c r="F358" s="276"/>
      <c r="G358" s="263"/>
      <c r="H358" s="189"/>
      <c r="I358" s="222"/>
      <c r="J358" s="223"/>
    </row>
    <row r="359" spans="1:10" ht="25.5">
      <c r="A359" s="246"/>
      <c r="B359" s="184"/>
      <c r="C359" s="272"/>
      <c r="D359" s="33" t="s">
        <v>343</v>
      </c>
      <c r="E359" s="34" t="s">
        <v>344</v>
      </c>
      <c r="F359" s="255"/>
      <c r="G359" s="36" t="s">
        <v>2</v>
      </c>
      <c r="H359" s="58">
        <v>26.41</v>
      </c>
      <c r="I359" s="225"/>
      <c r="J359" s="226"/>
    </row>
    <row r="360" spans="1:10">
      <c r="A360" s="246"/>
      <c r="B360" s="184"/>
      <c r="C360" s="272"/>
      <c r="D360" s="262"/>
      <c r="E360" s="258" t="s">
        <v>337</v>
      </c>
      <c r="F360" s="276"/>
      <c r="G360" s="263"/>
      <c r="H360" s="269"/>
      <c r="I360" s="222"/>
      <c r="J360" s="223"/>
    </row>
    <row r="361" spans="1:10">
      <c r="A361" s="246"/>
      <c r="B361" s="184"/>
      <c r="C361" s="272"/>
      <c r="D361" s="262"/>
      <c r="E361" s="268" t="s">
        <v>338</v>
      </c>
      <c r="F361" s="276"/>
      <c r="G361" s="263"/>
      <c r="H361" s="269"/>
      <c r="I361" s="222"/>
      <c r="J361" s="223"/>
    </row>
    <row r="362" spans="1:10">
      <c r="A362" s="246"/>
      <c r="B362" s="184"/>
      <c r="C362" s="272"/>
      <c r="D362" s="262"/>
      <c r="E362" s="268" t="s">
        <v>345</v>
      </c>
      <c r="F362" s="276"/>
      <c r="G362" s="263"/>
      <c r="H362" s="269"/>
      <c r="I362" s="222"/>
      <c r="J362" s="223"/>
    </row>
    <row r="363" spans="1:10">
      <c r="A363" s="246"/>
      <c r="B363" s="184"/>
      <c r="C363" s="272"/>
      <c r="D363" s="262"/>
      <c r="E363" s="195" t="s">
        <v>634</v>
      </c>
      <c r="F363" s="270">
        <f>190.7*0.125</f>
        <v>23.837499999999999</v>
      </c>
      <c r="G363" s="263"/>
      <c r="H363" s="269"/>
      <c r="I363" s="222"/>
      <c r="J363" s="223"/>
    </row>
    <row r="364" spans="1:10">
      <c r="A364" s="246"/>
      <c r="B364" s="184"/>
      <c r="C364" s="272"/>
      <c r="D364" s="262"/>
      <c r="E364" s="195" t="s">
        <v>635</v>
      </c>
      <c r="F364" s="304">
        <f>41.1*1/2*0.125</f>
        <v>2.5687500000000001</v>
      </c>
      <c r="G364" s="263"/>
      <c r="H364" s="269"/>
      <c r="I364" s="222"/>
      <c r="J364" s="223"/>
    </row>
    <row r="365" spans="1:10">
      <c r="A365" s="246"/>
      <c r="B365" s="184"/>
      <c r="C365" s="272"/>
      <c r="D365" s="262"/>
      <c r="E365" s="275"/>
      <c r="F365" s="331">
        <f>SUM(F363:F364)</f>
        <v>26.40625</v>
      </c>
      <c r="G365" s="263"/>
      <c r="H365" s="269"/>
      <c r="I365" s="222"/>
      <c r="J365" s="223"/>
    </row>
    <row r="366" spans="1:10">
      <c r="A366" s="246"/>
      <c r="B366" s="184"/>
      <c r="C366" s="272"/>
      <c r="D366" s="262"/>
      <c r="E366" s="268" t="s">
        <v>342</v>
      </c>
      <c r="F366" s="276"/>
      <c r="G366" s="263"/>
      <c r="H366" s="269"/>
      <c r="I366" s="222"/>
      <c r="J366" s="223"/>
    </row>
    <row r="367" spans="1:10">
      <c r="A367" s="246"/>
      <c r="B367" s="184"/>
      <c r="C367" s="272"/>
      <c r="D367" s="262"/>
      <c r="E367" s="275"/>
      <c r="F367" s="276"/>
      <c r="G367" s="263"/>
      <c r="H367" s="269"/>
      <c r="I367" s="222"/>
      <c r="J367" s="223"/>
    </row>
    <row r="368" spans="1:10" ht="25.5">
      <c r="A368" s="246"/>
      <c r="B368" s="184"/>
      <c r="C368" s="272"/>
      <c r="D368" s="33" t="s">
        <v>350</v>
      </c>
      <c r="E368" s="34" t="s">
        <v>351</v>
      </c>
      <c r="F368" s="255"/>
      <c r="G368" s="36" t="s">
        <v>2</v>
      </c>
      <c r="H368" s="58">
        <v>12.08</v>
      </c>
      <c r="I368" s="225"/>
      <c r="J368" s="226"/>
    </row>
    <row r="369" spans="1:10">
      <c r="A369" s="256"/>
      <c r="B369" s="301"/>
      <c r="C369" s="302"/>
      <c r="D369" s="296"/>
      <c r="E369" s="258" t="s">
        <v>337</v>
      </c>
      <c r="F369" s="270"/>
      <c r="G369" s="185"/>
      <c r="H369" s="269"/>
      <c r="I369" s="222"/>
      <c r="J369" s="223"/>
    </row>
    <row r="370" spans="1:10">
      <c r="A370" s="256"/>
      <c r="B370" s="301"/>
      <c r="C370" s="302"/>
      <c r="D370" s="296"/>
      <c r="E370" s="268" t="s">
        <v>338</v>
      </c>
      <c r="F370" s="270"/>
      <c r="G370" s="185"/>
      <c r="H370" s="269"/>
      <c r="I370" s="222"/>
      <c r="J370" s="223"/>
    </row>
    <row r="371" spans="1:10">
      <c r="A371" s="256"/>
      <c r="B371" s="301"/>
      <c r="C371" s="302"/>
      <c r="D371" s="303"/>
      <c r="E371" s="195" t="s">
        <v>636</v>
      </c>
      <c r="F371" s="270">
        <f>46.5*0.125*2/3</f>
        <v>3.875</v>
      </c>
      <c r="G371" s="185"/>
      <c r="H371" s="269"/>
      <c r="I371" s="222"/>
      <c r="J371" s="223"/>
    </row>
    <row r="372" spans="1:10">
      <c r="A372" s="256"/>
      <c r="B372" s="301"/>
      <c r="C372" s="302"/>
      <c r="D372" s="303"/>
      <c r="E372" s="195" t="s">
        <v>637</v>
      </c>
      <c r="F372" s="270">
        <f>3*1+3*1.3</f>
        <v>6.9</v>
      </c>
      <c r="G372" s="185"/>
      <c r="H372" s="269"/>
      <c r="I372" s="222"/>
      <c r="J372" s="223"/>
    </row>
    <row r="373" spans="1:10">
      <c r="A373" s="256"/>
      <c r="B373" s="301"/>
      <c r="C373" s="302"/>
      <c r="D373" s="303"/>
      <c r="E373" s="195" t="s">
        <v>360</v>
      </c>
      <c r="F373" s="304">
        <f>1*1.3</f>
        <v>1.3</v>
      </c>
      <c r="G373" s="185"/>
      <c r="H373" s="269"/>
      <c r="I373" s="222"/>
      <c r="J373" s="223"/>
    </row>
    <row r="374" spans="1:10">
      <c r="A374" s="256"/>
      <c r="B374" s="301"/>
      <c r="C374" s="302"/>
      <c r="D374" s="303"/>
      <c r="E374" s="247"/>
      <c r="F374" s="270">
        <f>SUM(F370:F373)</f>
        <v>12.075000000000001</v>
      </c>
      <c r="G374" s="185"/>
      <c r="H374" s="269"/>
      <c r="I374" s="222"/>
      <c r="J374" s="223"/>
    </row>
    <row r="375" spans="1:10">
      <c r="A375" s="256"/>
      <c r="B375" s="301"/>
      <c r="C375" s="302"/>
      <c r="D375" s="303"/>
      <c r="E375" s="305"/>
      <c r="F375" s="279"/>
      <c r="G375" s="185"/>
      <c r="H375" s="269"/>
      <c r="I375" s="222"/>
      <c r="J375" s="223"/>
    </row>
    <row r="376" spans="1:10">
      <c r="A376" s="25"/>
      <c r="B376" s="41"/>
      <c r="C376" s="42"/>
      <c r="D376" s="296"/>
      <c r="E376" s="297"/>
      <c r="F376" s="270"/>
      <c r="G376" s="24"/>
      <c r="H376" s="58"/>
      <c r="I376" s="222"/>
      <c r="J376" s="223"/>
    </row>
    <row r="377" spans="1:10">
      <c r="A377" s="25"/>
      <c r="B377" s="41"/>
      <c r="C377" s="42"/>
      <c r="D377" s="296"/>
      <c r="E377" s="297"/>
      <c r="F377" s="270"/>
      <c r="G377" s="24"/>
      <c r="H377" s="58"/>
      <c r="I377" s="222"/>
      <c r="J377" s="223"/>
    </row>
    <row r="378" spans="1:10" ht="25.5">
      <c r="A378" s="25"/>
      <c r="B378" s="280" t="s">
        <v>93</v>
      </c>
      <c r="C378" s="280"/>
      <c r="D378" s="282"/>
      <c r="E378" s="251" t="s">
        <v>94</v>
      </c>
      <c r="F378" s="298"/>
      <c r="G378" s="285"/>
      <c r="H378" s="58"/>
      <c r="I378" s="222"/>
      <c r="J378" s="223"/>
    </row>
    <row r="379" spans="1:10">
      <c r="A379" s="25"/>
      <c r="B379" s="41"/>
      <c r="C379" s="42"/>
      <c r="D379" s="296"/>
      <c r="E379" s="297"/>
      <c r="F379" s="32"/>
      <c r="G379" s="24"/>
      <c r="H379" s="58"/>
      <c r="I379" s="222"/>
      <c r="J379" s="223"/>
    </row>
    <row r="380" spans="1:10">
      <c r="A380" s="256"/>
      <c r="B380" s="301"/>
      <c r="C380" s="302"/>
      <c r="D380" s="303"/>
      <c r="E380" s="305"/>
      <c r="F380" s="279"/>
      <c r="G380" s="185"/>
      <c r="H380" s="269"/>
      <c r="I380" s="222"/>
      <c r="J380" s="223"/>
    </row>
    <row r="381" spans="1:10" ht="25.5">
      <c r="A381" s="25">
        <f>MAX(A$1:A380)+1</f>
        <v>37</v>
      </c>
      <c r="B381" s="41"/>
      <c r="C381" s="26" t="s">
        <v>85</v>
      </c>
      <c r="D381" s="27"/>
      <c r="E381" s="28" t="s">
        <v>86</v>
      </c>
      <c r="F381" s="254"/>
      <c r="G381" s="30" t="s">
        <v>2</v>
      </c>
      <c r="H381" s="59">
        <f>H382</f>
        <v>4230</v>
      </c>
      <c r="I381" s="376"/>
      <c r="J381" s="226">
        <f>H381*I381</f>
        <v>0</v>
      </c>
    </row>
    <row r="382" spans="1:10" ht="38.25">
      <c r="A382" s="25"/>
      <c r="B382" s="41"/>
      <c r="C382" s="42"/>
      <c r="D382" s="33" t="s">
        <v>361</v>
      </c>
      <c r="E382" s="34" t="s">
        <v>362</v>
      </c>
      <c r="F382" s="255"/>
      <c r="G382" s="36" t="s">
        <v>2</v>
      </c>
      <c r="H382" s="58">
        <v>4230</v>
      </c>
      <c r="I382" s="222"/>
      <c r="J382" s="223"/>
    </row>
    <row r="383" spans="1:10">
      <c r="A383" s="25"/>
      <c r="B383" s="41"/>
      <c r="C383" s="42"/>
      <c r="D383" s="33"/>
      <c r="E383" s="307" t="s">
        <v>363</v>
      </c>
      <c r="F383" s="255"/>
      <c r="G383" s="36"/>
      <c r="H383" s="58"/>
      <c r="I383" s="222"/>
      <c r="J383" s="223"/>
    </row>
    <row r="384" spans="1:10" ht="15.75">
      <c r="A384" s="256"/>
      <c r="B384" s="301"/>
      <c r="C384" s="302"/>
      <c r="D384" s="303"/>
      <c r="E384" s="258" t="s">
        <v>364</v>
      </c>
      <c r="F384" s="279"/>
      <c r="G384" s="185"/>
      <c r="H384" s="269"/>
      <c r="I384" s="222"/>
      <c r="J384" s="223"/>
    </row>
    <row r="385" spans="1:10">
      <c r="A385" s="256"/>
      <c r="B385" s="301"/>
      <c r="C385" s="302"/>
      <c r="D385" s="303"/>
      <c r="E385" s="195" t="s">
        <v>264</v>
      </c>
      <c r="F385" s="270">
        <v>0</v>
      </c>
      <c r="G385" s="185"/>
      <c r="H385" s="269"/>
      <c r="I385" s="222"/>
      <c r="J385" s="223"/>
    </row>
    <row r="386" spans="1:10">
      <c r="A386" s="256"/>
      <c r="B386" s="301"/>
      <c r="C386" s="302"/>
      <c r="D386" s="303"/>
      <c r="E386" s="195" t="s">
        <v>638</v>
      </c>
      <c r="F386" s="270">
        <v>529</v>
      </c>
      <c r="G386" s="185"/>
      <c r="H386" s="269"/>
      <c r="I386" s="222"/>
      <c r="J386" s="223"/>
    </row>
    <row r="387" spans="1:10">
      <c r="A387" s="256"/>
      <c r="B387" s="301"/>
      <c r="C387" s="302"/>
      <c r="D387" s="303"/>
      <c r="E387" s="195" t="s">
        <v>265</v>
      </c>
      <c r="F387" s="270">
        <v>0</v>
      </c>
      <c r="G387" s="185"/>
      <c r="H387" s="269"/>
      <c r="I387" s="222"/>
      <c r="J387" s="223"/>
    </row>
    <row r="388" spans="1:10">
      <c r="A388" s="256"/>
      <c r="B388" s="301"/>
      <c r="C388" s="302"/>
      <c r="D388" s="303"/>
      <c r="E388" s="195" t="s">
        <v>639</v>
      </c>
      <c r="F388" s="270">
        <v>1170</v>
      </c>
      <c r="G388" s="185"/>
      <c r="H388" s="269"/>
      <c r="I388" s="222"/>
      <c r="J388" s="223"/>
    </row>
    <row r="389" spans="1:10">
      <c r="A389" s="256"/>
      <c r="B389" s="301"/>
      <c r="C389" s="302"/>
      <c r="D389" s="303"/>
      <c r="E389" s="195" t="s">
        <v>640</v>
      </c>
      <c r="F389" s="270">
        <v>234</v>
      </c>
      <c r="G389" s="185"/>
      <c r="H389" s="269"/>
      <c r="I389" s="222"/>
      <c r="J389" s="223"/>
    </row>
    <row r="390" spans="1:10">
      <c r="A390" s="256"/>
      <c r="B390" s="301"/>
      <c r="C390" s="302"/>
      <c r="D390" s="303"/>
      <c r="E390" s="195" t="s">
        <v>641</v>
      </c>
      <c r="F390" s="304">
        <v>182</v>
      </c>
      <c r="G390" s="185"/>
      <c r="H390" s="269"/>
      <c r="I390" s="222"/>
      <c r="J390" s="223"/>
    </row>
    <row r="391" spans="1:10">
      <c r="A391" s="256"/>
      <c r="B391" s="301"/>
      <c r="C391" s="302"/>
      <c r="D391" s="303"/>
      <c r="E391" s="305"/>
      <c r="F391" s="270">
        <f>SUM(F385:F390)</f>
        <v>2115</v>
      </c>
      <c r="G391" s="185"/>
      <c r="H391" s="269"/>
      <c r="I391" s="222"/>
      <c r="J391" s="223"/>
    </row>
    <row r="392" spans="1:10" ht="15.75">
      <c r="A392" s="256"/>
      <c r="B392" s="301"/>
      <c r="C392" s="302"/>
      <c r="D392" s="303"/>
      <c r="E392" s="258" t="s">
        <v>366</v>
      </c>
      <c r="F392" s="279"/>
      <c r="G392" s="185"/>
      <c r="H392" s="269"/>
      <c r="I392" s="222"/>
      <c r="J392" s="223"/>
    </row>
    <row r="393" spans="1:10">
      <c r="A393" s="256"/>
      <c r="B393" s="301"/>
      <c r="C393" s="302"/>
      <c r="D393" s="303"/>
      <c r="E393" s="195" t="s">
        <v>264</v>
      </c>
      <c r="F393" s="270">
        <v>0</v>
      </c>
      <c r="G393" s="185"/>
      <c r="H393" s="269"/>
      <c r="I393" s="222"/>
      <c r="J393" s="223"/>
    </row>
    <row r="394" spans="1:10">
      <c r="A394" s="256"/>
      <c r="B394" s="301"/>
      <c r="C394" s="302"/>
      <c r="D394" s="303"/>
      <c r="E394" s="195" t="s">
        <v>642</v>
      </c>
      <c r="F394" s="270">
        <v>100</v>
      </c>
      <c r="G394" s="185"/>
      <c r="H394" s="269"/>
      <c r="I394" s="222"/>
      <c r="J394" s="223"/>
    </row>
    <row r="395" spans="1:10">
      <c r="A395" s="256"/>
      <c r="B395" s="301"/>
      <c r="C395" s="302"/>
      <c r="D395" s="303"/>
      <c r="E395" s="195" t="s">
        <v>265</v>
      </c>
      <c r="F395" s="270">
        <v>0</v>
      </c>
      <c r="G395" s="185"/>
      <c r="H395" s="269"/>
      <c r="I395" s="222"/>
      <c r="J395" s="223"/>
    </row>
    <row r="396" spans="1:10">
      <c r="A396" s="256"/>
      <c r="B396" s="301"/>
      <c r="C396" s="302"/>
      <c r="D396" s="303"/>
      <c r="E396" s="195" t="s">
        <v>643</v>
      </c>
      <c r="F396" s="270">
        <v>571</v>
      </c>
      <c r="G396" s="185"/>
      <c r="H396" s="269"/>
      <c r="I396" s="222"/>
      <c r="J396" s="223"/>
    </row>
    <row r="397" spans="1:10">
      <c r="A397" s="256"/>
      <c r="B397" s="301"/>
      <c r="C397" s="302"/>
      <c r="D397" s="303"/>
      <c r="E397" s="195" t="s">
        <v>640</v>
      </c>
      <c r="F397" s="270">
        <v>234</v>
      </c>
      <c r="G397" s="185"/>
      <c r="H397" s="269"/>
      <c r="I397" s="222"/>
      <c r="J397" s="223"/>
    </row>
    <row r="398" spans="1:10">
      <c r="A398" s="256"/>
      <c r="B398" s="301"/>
      <c r="C398" s="302"/>
      <c r="D398" s="303"/>
      <c r="E398" s="195" t="s">
        <v>641</v>
      </c>
      <c r="F398" s="304">
        <v>182</v>
      </c>
      <c r="G398" s="185"/>
      <c r="H398" s="269"/>
      <c r="I398" s="222"/>
      <c r="J398" s="223"/>
    </row>
    <row r="399" spans="1:10">
      <c r="A399" s="256"/>
      <c r="B399" s="301"/>
      <c r="C399" s="302"/>
      <c r="D399" s="303"/>
      <c r="E399" s="305"/>
      <c r="F399" s="270">
        <f>SUM(F393:F398)</f>
        <v>1087</v>
      </c>
      <c r="G399" s="185"/>
      <c r="H399" s="269"/>
      <c r="I399" s="222"/>
      <c r="J399" s="223"/>
    </row>
    <row r="400" spans="1:10" ht="15.75">
      <c r="A400" s="256"/>
      <c r="B400" s="301"/>
      <c r="C400" s="302"/>
      <c r="D400" s="303"/>
      <c r="E400" s="258" t="s">
        <v>644</v>
      </c>
      <c r="F400" s="279"/>
      <c r="G400" s="185"/>
      <c r="H400" s="269"/>
      <c r="I400" s="222"/>
      <c r="J400" s="223"/>
    </row>
    <row r="401" spans="1:10">
      <c r="A401" s="256"/>
      <c r="B401" s="301"/>
      <c r="C401" s="302"/>
      <c r="D401" s="303"/>
      <c r="E401" s="195" t="s">
        <v>264</v>
      </c>
      <c r="F401" s="270">
        <v>0</v>
      </c>
      <c r="G401" s="185"/>
      <c r="H401" s="269"/>
      <c r="I401" s="222"/>
      <c r="J401" s="223"/>
    </row>
    <row r="402" spans="1:10">
      <c r="A402" s="256"/>
      <c r="B402" s="301"/>
      <c r="C402" s="302"/>
      <c r="D402" s="303"/>
      <c r="E402" s="195" t="s">
        <v>645</v>
      </c>
      <c r="F402" s="270">
        <v>429</v>
      </c>
      <c r="G402" s="185"/>
      <c r="H402" s="269"/>
      <c r="I402" s="222"/>
      <c r="J402" s="223"/>
    </row>
    <row r="403" spans="1:10">
      <c r="A403" s="256"/>
      <c r="B403" s="301"/>
      <c r="C403" s="302"/>
      <c r="D403" s="303"/>
      <c r="E403" s="195" t="s">
        <v>265</v>
      </c>
      <c r="F403" s="270">
        <v>0</v>
      </c>
      <c r="G403" s="185"/>
      <c r="H403" s="269"/>
      <c r="I403" s="222"/>
      <c r="J403" s="223"/>
    </row>
    <row r="404" spans="1:10">
      <c r="A404" s="256"/>
      <c r="B404" s="301"/>
      <c r="C404" s="302"/>
      <c r="D404" s="303"/>
      <c r="E404" s="195" t="s">
        <v>646</v>
      </c>
      <c r="F404" s="270">
        <v>599</v>
      </c>
      <c r="G404" s="185"/>
      <c r="H404" s="269"/>
      <c r="I404" s="222"/>
      <c r="J404" s="223"/>
    </row>
    <row r="405" spans="1:10">
      <c r="A405" s="256"/>
      <c r="B405" s="301"/>
      <c r="C405" s="302"/>
      <c r="D405" s="303"/>
      <c r="E405" s="195" t="s">
        <v>640</v>
      </c>
      <c r="F405" s="270">
        <v>0</v>
      </c>
      <c r="G405" s="185"/>
      <c r="H405" s="269"/>
      <c r="I405" s="222"/>
      <c r="J405" s="223"/>
    </row>
    <row r="406" spans="1:10">
      <c r="A406" s="256"/>
      <c r="B406" s="301"/>
      <c r="C406" s="302"/>
      <c r="D406" s="303"/>
      <c r="E406" s="195" t="s">
        <v>641</v>
      </c>
      <c r="F406" s="304">
        <v>0</v>
      </c>
      <c r="G406" s="185"/>
      <c r="H406" s="269"/>
      <c r="I406" s="222"/>
      <c r="J406" s="223"/>
    </row>
    <row r="407" spans="1:10">
      <c r="A407" s="256"/>
      <c r="B407" s="301"/>
      <c r="C407" s="302"/>
      <c r="D407" s="303"/>
      <c r="E407" s="305"/>
      <c r="F407" s="270">
        <f>SUM(F401:F406)</f>
        <v>1028</v>
      </c>
      <c r="G407" s="185"/>
      <c r="H407" s="269"/>
      <c r="I407" s="222"/>
      <c r="J407" s="223"/>
    </row>
    <row r="408" spans="1:10">
      <c r="A408" s="256"/>
      <c r="B408" s="301"/>
      <c r="C408" s="302"/>
      <c r="D408" s="303"/>
      <c r="E408" s="339" t="s">
        <v>115</v>
      </c>
      <c r="F408" s="270">
        <f>F391+F399+F407</f>
        <v>4230</v>
      </c>
      <c r="G408" s="185"/>
      <c r="H408" s="269"/>
      <c r="I408" s="222"/>
      <c r="J408" s="223"/>
    </row>
    <row r="409" spans="1:10">
      <c r="A409" s="256"/>
      <c r="B409" s="301"/>
      <c r="C409" s="302"/>
      <c r="D409" s="303"/>
      <c r="E409" s="305"/>
      <c r="F409" s="279"/>
      <c r="G409" s="185"/>
      <c r="H409" s="269"/>
      <c r="I409" s="222"/>
      <c r="J409" s="223"/>
    </row>
    <row r="410" spans="1:10">
      <c r="A410" s="256"/>
      <c r="B410" s="301"/>
      <c r="C410" s="302"/>
      <c r="D410" s="303"/>
      <c r="E410" s="305"/>
      <c r="F410" s="279"/>
      <c r="G410" s="185"/>
      <c r="H410" s="269"/>
      <c r="I410" s="222"/>
      <c r="J410" s="223"/>
    </row>
    <row r="411" spans="1:10" ht="25.5">
      <c r="A411" s="25">
        <f>MAX(A$1:A410)+1</f>
        <v>38</v>
      </c>
      <c r="B411" s="41"/>
      <c r="C411" s="26" t="s">
        <v>87</v>
      </c>
      <c r="D411" s="27"/>
      <c r="E411" s="28" t="s">
        <v>88</v>
      </c>
      <c r="F411" s="254"/>
      <c r="G411" s="30" t="s">
        <v>8</v>
      </c>
      <c r="H411" s="59">
        <f>H412</f>
        <v>126.9</v>
      </c>
      <c r="I411" s="376"/>
      <c r="J411" s="226">
        <f>H411*I411</f>
        <v>0</v>
      </c>
    </row>
    <row r="412" spans="1:10" ht="25.5">
      <c r="A412" s="256"/>
      <c r="B412" s="301"/>
      <c r="C412" s="302"/>
      <c r="D412" s="33" t="s">
        <v>137</v>
      </c>
      <c r="E412" s="34" t="s">
        <v>138</v>
      </c>
      <c r="F412" s="35"/>
      <c r="G412" s="36" t="s">
        <v>8</v>
      </c>
      <c r="H412" s="58">
        <v>126.9</v>
      </c>
      <c r="I412" s="222"/>
      <c r="J412" s="223"/>
    </row>
    <row r="413" spans="1:10">
      <c r="A413" s="256"/>
      <c r="B413" s="301"/>
      <c r="C413" s="302"/>
      <c r="D413" s="33"/>
      <c r="E413" s="307" t="s">
        <v>363</v>
      </c>
      <c r="F413" s="35"/>
      <c r="G413" s="36"/>
      <c r="H413" s="58"/>
      <c r="I413" s="222"/>
      <c r="J413" s="223"/>
    </row>
    <row r="414" spans="1:10">
      <c r="A414" s="256"/>
      <c r="B414" s="301"/>
      <c r="C414" s="302"/>
      <c r="D414" s="303"/>
      <c r="E414" s="258" t="s">
        <v>368</v>
      </c>
      <c r="F414" s="279"/>
      <c r="G414" s="185"/>
      <c r="H414" s="269"/>
      <c r="I414" s="222"/>
      <c r="J414" s="223"/>
    </row>
    <row r="415" spans="1:10">
      <c r="A415" s="256"/>
      <c r="B415" s="301"/>
      <c r="C415" s="302"/>
      <c r="D415" s="303"/>
      <c r="E415" s="195" t="s">
        <v>264</v>
      </c>
      <c r="F415" s="270">
        <v>0</v>
      </c>
      <c r="G415" s="185"/>
      <c r="H415" s="269"/>
      <c r="I415" s="222"/>
      <c r="J415" s="223"/>
    </row>
    <row r="416" spans="1:10">
      <c r="A416" s="256"/>
      <c r="B416" s="301"/>
      <c r="C416" s="302"/>
      <c r="D416" s="303"/>
      <c r="E416" s="195" t="s">
        <v>647</v>
      </c>
      <c r="F416" s="270">
        <f>529*0.06</f>
        <v>31.74</v>
      </c>
      <c r="G416" s="185"/>
      <c r="H416" s="269"/>
      <c r="I416" s="222"/>
      <c r="J416" s="223"/>
    </row>
    <row r="417" spans="1:10">
      <c r="A417" s="256"/>
      <c r="B417" s="301"/>
      <c r="C417" s="302"/>
      <c r="D417" s="303"/>
      <c r="E417" s="195" t="s">
        <v>265</v>
      </c>
      <c r="F417" s="270">
        <v>0</v>
      </c>
      <c r="G417" s="185"/>
      <c r="H417" s="269"/>
      <c r="I417" s="222"/>
      <c r="J417" s="223"/>
    </row>
    <row r="418" spans="1:10">
      <c r="A418" s="256"/>
      <c r="B418" s="301"/>
      <c r="C418" s="302"/>
      <c r="D418" s="303"/>
      <c r="E418" s="195" t="s">
        <v>648</v>
      </c>
      <c r="F418" s="270">
        <f>1170*0.06</f>
        <v>70.2</v>
      </c>
      <c r="G418" s="185"/>
      <c r="H418" s="269"/>
      <c r="I418" s="222"/>
      <c r="J418" s="223"/>
    </row>
    <row r="419" spans="1:10">
      <c r="A419" s="256"/>
      <c r="B419" s="301"/>
      <c r="C419" s="302"/>
      <c r="D419" s="303"/>
      <c r="E419" s="195" t="s">
        <v>649</v>
      </c>
      <c r="F419" s="270">
        <f>234*0.06</f>
        <v>14.04</v>
      </c>
      <c r="G419" s="185"/>
      <c r="H419" s="269"/>
      <c r="I419" s="222"/>
      <c r="J419" s="223"/>
    </row>
    <row r="420" spans="1:10">
      <c r="A420" s="256"/>
      <c r="B420" s="301"/>
      <c r="C420" s="302"/>
      <c r="D420" s="303"/>
      <c r="E420" s="195" t="s">
        <v>650</v>
      </c>
      <c r="F420" s="304">
        <f>182*0.06</f>
        <v>10.92</v>
      </c>
      <c r="G420" s="185"/>
      <c r="H420" s="269"/>
      <c r="I420" s="222"/>
      <c r="J420" s="223"/>
    </row>
    <row r="421" spans="1:10">
      <c r="A421" s="256"/>
      <c r="B421" s="301"/>
      <c r="C421" s="302"/>
      <c r="D421" s="303"/>
      <c r="E421" s="305"/>
      <c r="F421" s="270">
        <f>SUM(F415:F420)</f>
        <v>126.89999999999999</v>
      </c>
      <c r="G421" s="185"/>
      <c r="H421" s="269"/>
      <c r="I421" s="222"/>
      <c r="J421" s="223"/>
    </row>
    <row r="422" spans="1:10">
      <c r="A422" s="256"/>
      <c r="B422" s="301"/>
      <c r="C422" s="302"/>
      <c r="D422" s="303"/>
      <c r="E422" s="305"/>
      <c r="F422" s="279"/>
      <c r="G422" s="185"/>
      <c r="H422" s="269"/>
      <c r="I422" s="222"/>
      <c r="J422" s="223"/>
    </row>
    <row r="423" spans="1:10" ht="25.5">
      <c r="A423" s="25">
        <f>MAX(A$1:A422)+1</f>
        <v>39</v>
      </c>
      <c r="B423" s="41"/>
      <c r="C423" s="26" t="s">
        <v>372</v>
      </c>
      <c r="D423" s="27"/>
      <c r="E423" s="28" t="s">
        <v>373</v>
      </c>
      <c r="F423" s="254"/>
      <c r="G423" s="30" t="s">
        <v>8</v>
      </c>
      <c r="H423" s="59">
        <f>H424</f>
        <v>84.6</v>
      </c>
      <c r="I423" s="376"/>
      <c r="J423" s="226">
        <f>H423*I423</f>
        <v>0</v>
      </c>
    </row>
    <row r="424" spans="1:10" ht="25.5">
      <c r="A424" s="25"/>
      <c r="B424" s="41"/>
      <c r="C424" s="42"/>
      <c r="D424" s="33" t="s">
        <v>374</v>
      </c>
      <c r="E424" s="34" t="s">
        <v>375</v>
      </c>
      <c r="F424" s="255"/>
      <c r="G424" s="36" t="s">
        <v>8</v>
      </c>
      <c r="H424" s="58">
        <v>84.6</v>
      </c>
      <c r="I424" s="222"/>
      <c r="J424" s="223"/>
    </row>
    <row r="425" spans="1:10">
      <c r="A425" s="25"/>
      <c r="B425" s="41"/>
      <c r="C425" s="42"/>
      <c r="D425" s="33"/>
      <c r="E425" s="307" t="s">
        <v>363</v>
      </c>
      <c r="F425" s="255"/>
      <c r="G425" s="36"/>
      <c r="H425" s="58"/>
      <c r="I425" s="222"/>
      <c r="J425" s="223"/>
    </row>
    <row r="426" spans="1:10">
      <c r="A426" s="256"/>
      <c r="B426" s="301"/>
      <c r="C426" s="302"/>
      <c r="D426" s="303"/>
      <c r="E426" s="258" t="s">
        <v>376</v>
      </c>
      <c r="F426" s="341"/>
      <c r="G426" s="185"/>
      <c r="H426" s="269"/>
      <c r="I426" s="222"/>
      <c r="J426" s="223"/>
    </row>
    <row r="427" spans="1:10">
      <c r="A427" s="256"/>
      <c r="B427" s="301"/>
      <c r="C427" s="302"/>
      <c r="D427" s="303"/>
      <c r="E427" s="195" t="s">
        <v>264</v>
      </c>
      <c r="F427" s="270">
        <v>0</v>
      </c>
      <c r="G427" s="185"/>
      <c r="H427" s="269"/>
      <c r="I427" s="222"/>
      <c r="J427" s="223"/>
    </row>
    <row r="428" spans="1:10">
      <c r="A428" s="256"/>
      <c r="B428" s="301"/>
      <c r="C428" s="302"/>
      <c r="D428" s="303"/>
      <c r="E428" s="195" t="s">
        <v>651</v>
      </c>
      <c r="F428" s="270">
        <f>529*0.04</f>
        <v>21.16</v>
      </c>
      <c r="G428" s="185"/>
      <c r="H428" s="269"/>
      <c r="I428" s="222"/>
      <c r="J428" s="223"/>
    </row>
    <row r="429" spans="1:10">
      <c r="A429" s="256"/>
      <c r="B429" s="301"/>
      <c r="C429" s="302"/>
      <c r="D429" s="303"/>
      <c r="E429" s="195" t="s">
        <v>265</v>
      </c>
      <c r="F429" s="270">
        <v>0</v>
      </c>
      <c r="G429" s="185"/>
      <c r="H429" s="269"/>
      <c r="I429" s="222"/>
      <c r="J429" s="223"/>
    </row>
    <row r="430" spans="1:10">
      <c r="A430" s="256"/>
      <c r="B430" s="301"/>
      <c r="C430" s="302"/>
      <c r="D430" s="303"/>
      <c r="E430" s="195" t="s">
        <v>652</v>
      </c>
      <c r="F430" s="270">
        <f>1170*0.04</f>
        <v>46.800000000000004</v>
      </c>
      <c r="G430" s="185"/>
      <c r="H430" s="269"/>
      <c r="I430" s="222"/>
      <c r="J430" s="223"/>
    </row>
    <row r="431" spans="1:10">
      <c r="A431" s="256"/>
      <c r="B431" s="301"/>
      <c r="C431" s="302"/>
      <c r="D431" s="303"/>
      <c r="E431" s="195" t="s">
        <v>653</v>
      </c>
      <c r="F431" s="270">
        <f>234*0.04</f>
        <v>9.36</v>
      </c>
      <c r="G431" s="185"/>
      <c r="H431" s="269"/>
      <c r="I431" s="222"/>
      <c r="J431" s="223"/>
    </row>
    <row r="432" spans="1:10">
      <c r="A432" s="256"/>
      <c r="B432" s="301"/>
      <c r="C432" s="302"/>
      <c r="D432" s="303"/>
      <c r="E432" s="195" t="s">
        <v>654</v>
      </c>
      <c r="F432" s="304">
        <f>182*0.04</f>
        <v>7.28</v>
      </c>
      <c r="G432" s="185"/>
      <c r="H432" s="269"/>
      <c r="I432" s="222"/>
      <c r="J432" s="223"/>
    </row>
    <row r="433" spans="1:10">
      <c r="A433" s="256"/>
      <c r="B433" s="301"/>
      <c r="C433" s="302"/>
      <c r="D433" s="303"/>
      <c r="E433" s="305"/>
      <c r="F433" s="270">
        <f>SUM(F427:F432)</f>
        <v>84.600000000000009</v>
      </c>
      <c r="G433" s="185"/>
      <c r="H433" s="269"/>
      <c r="I433" s="222"/>
      <c r="J433" s="223"/>
    </row>
    <row r="434" spans="1:10">
      <c r="A434" s="256"/>
      <c r="B434" s="301"/>
      <c r="C434" s="302"/>
      <c r="D434" s="303"/>
      <c r="E434" s="305"/>
      <c r="F434" s="279"/>
      <c r="G434" s="185"/>
      <c r="H434" s="269"/>
      <c r="I434" s="222"/>
      <c r="J434" s="223"/>
    </row>
    <row r="435" spans="1:10" ht="25.5">
      <c r="A435" s="25">
        <f>MAX(A$1:A434)+1</f>
        <v>40</v>
      </c>
      <c r="B435" s="41"/>
      <c r="C435" s="26" t="s">
        <v>380</v>
      </c>
      <c r="D435" s="27"/>
      <c r="E435" s="28" t="s">
        <v>381</v>
      </c>
      <c r="F435" s="29"/>
      <c r="G435" s="30" t="s">
        <v>7</v>
      </c>
      <c r="H435" s="59">
        <v>810</v>
      </c>
      <c r="I435" s="376"/>
      <c r="J435" s="226">
        <f>H435*I435</f>
        <v>0</v>
      </c>
    </row>
    <row r="436" spans="1:10">
      <c r="A436" s="256"/>
      <c r="B436" s="301"/>
      <c r="C436" s="302"/>
      <c r="D436" s="303"/>
      <c r="E436" s="258" t="s">
        <v>382</v>
      </c>
      <c r="F436" s="279"/>
      <c r="G436" s="185"/>
      <c r="H436" s="269"/>
      <c r="I436" s="222"/>
      <c r="J436" s="223"/>
    </row>
    <row r="437" spans="1:10">
      <c r="A437" s="256"/>
      <c r="B437" s="301"/>
      <c r="C437" s="302"/>
      <c r="D437" s="303"/>
      <c r="E437" s="195" t="s">
        <v>655</v>
      </c>
      <c r="F437" s="270">
        <v>240</v>
      </c>
      <c r="G437" s="185"/>
      <c r="H437" s="269"/>
      <c r="I437" s="222"/>
      <c r="J437" s="223"/>
    </row>
    <row r="438" spans="1:10">
      <c r="A438" s="256"/>
      <c r="B438" s="301"/>
      <c r="C438" s="302"/>
      <c r="D438" s="303"/>
      <c r="E438" s="195" t="s">
        <v>656</v>
      </c>
      <c r="F438" s="270">
        <v>462</v>
      </c>
      <c r="G438" s="185"/>
      <c r="H438" s="269"/>
      <c r="I438" s="222"/>
      <c r="J438" s="223"/>
    </row>
    <row r="439" spans="1:10">
      <c r="A439" s="256"/>
      <c r="B439" s="301"/>
      <c r="C439" s="302"/>
      <c r="D439" s="303"/>
      <c r="E439" s="195" t="s">
        <v>657</v>
      </c>
      <c r="F439" s="304">
        <v>108</v>
      </c>
      <c r="G439" s="185"/>
      <c r="H439" s="269"/>
      <c r="I439" s="222"/>
      <c r="J439" s="223"/>
    </row>
    <row r="440" spans="1:10">
      <c r="A440" s="256"/>
      <c r="B440" s="301"/>
      <c r="C440" s="302"/>
      <c r="D440" s="303"/>
      <c r="E440" s="258"/>
      <c r="F440" s="270">
        <f>SUM(F437:F439)</f>
        <v>810</v>
      </c>
      <c r="G440" s="185"/>
      <c r="H440" s="269"/>
      <c r="I440" s="222"/>
      <c r="J440" s="223"/>
    </row>
    <row r="441" spans="1:10">
      <c r="A441" s="256"/>
      <c r="B441" s="301"/>
      <c r="C441" s="302"/>
      <c r="D441" s="303"/>
      <c r="E441" s="195" t="s">
        <v>384</v>
      </c>
      <c r="F441" s="279"/>
      <c r="G441" s="185"/>
      <c r="H441" s="269"/>
      <c r="I441" s="222"/>
      <c r="J441" s="223"/>
    </row>
    <row r="442" spans="1:10">
      <c r="A442" s="256"/>
      <c r="B442" s="301"/>
      <c r="C442" s="302"/>
      <c r="D442" s="303"/>
      <c r="E442" s="195" t="s">
        <v>385</v>
      </c>
      <c r="F442" s="279"/>
      <c r="G442" s="185"/>
      <c r="H442" s="269"/>
      <c r="I442" s="222"/>
      <c r="J442" s="223"/>
    </row>
    <row r="443" spans="1:10">
      <c r="A443" s="256"/>
      <c r="B443" s="301"/>
      <c r="C443" s="302"/>
      <c r="D443" s="303"/>
      <c r="E443" s="195" t="s">
        <v>386</v>
      </c>
      <c r="F443" s="279"/>
      <c r="G443" s="185"/>
      <c r="H443" s="269"/>
      <c r="I443" s="222"/>
      <c r="J443" s="223"/>
    </row>
    <row r="444" spans="1:10">
      <c r="A444" s="256"/>
      <c r="B444" s="301"/>
      <c r="C444" s="302"/>
      <c r="D444" s="303"/>
      <c r="E444" s="195" t="s">
        <v>387</v>
      </c>
      <c r="F444" s="310"/>
      <c r="G444" s="185"/>
      <c r="H444" s="269"/>
      <c r="I444" s="222"/>
      <c r="J444" s="223"/>
    </row>
    <row r="445" spans="1:10">
      <c r="A445" s="256"/>
      <c r="B445" s="301"/>
      <c r="C445" s="302"/>
      <c r="D445" s="303"/>
      <c r="E445" s="195"/>
      <c r="F445" s="310"/>
      <c r="G445" s="185"/>
      <c r="H445" s="269"/>
      <c r="I445" s="222"/>
      <c r="J445" s="223"/>
    </row>
    <row r="446" spans="1:10">
      <c r="A446" s="256"/>
      <c r="B446" s="301"/>
      <c r="C446" s="302"/>
      <c r="D446" s="303"/>
      <c r="E446" s="305"/>
      <c r="F446" s="279"/>
      <c r="G446" s="185"/>
      <c r="H446" s="269"/>
      <c r="I446" s="222"/>
      <c r="J446" s="223"/>
    </row>
    <row r="447" spans="1:10" ht="25.5">
      <c r="A447" s="25">
        <f>MAX(A$1:A446)+1</f>
        <v>41</v>
      </c>
      <c r="B447" s="301"/>
      <c r="C447" s="26" t="s">
        <v>388</v>
      </c>
      <c r="D447" s="27"/>
      <c r="E447" s="28" t="s">
        <v>389</v>
      </c>
      <c r="F447" s="29"/>
      <c r="G447" s="30" t="s">
        <v>2</v>
      </c>
      <c r="H447" s="59">
        <f>H448</f>
        <v>34</v>
      </c>
      <c r="I447" s="376"/>
      <c r="J447" s="226">
        <f>H447*I447</f>
        <v>0</v>
      </c>
    </row>
    <row r="448" spans="1:10" ht="25.5">
      <c r="A448" s="256"/>
      <c r="B448" s="301"/>
      <c r="C448" s="302"/>
      <c r="D448" s="33" t="s">
        <v>390</v>
      </c>
      <c r="E448" s="34" t="s">
        <v>391</v>
      </c>
      <c r="F448" s="35"/>
      <c r="G448" s="36" t="s">
        <v>2</v>
      </c>
      <c r="H448" s="58">
        <v>34</v>
      </c>
      <c r="I448" s="222"/>
      <c r="J448" s="223"/>
    </row>
    <row r="449" spans="1:10">
      <c r="A449" s="256"/>
      <c r="B449" s="301"/>
      <c r="C449" s="302"/>
      <c r="D449" s="303"/>
      <c r="E449" s="307" t="s">
        <v>392</v>
      </c>
      <c r="F449" s="279"/>
      <c r="G449" s="185"/>
      <c r="H449" s="269"/>
      <c r="I449" s="222"/>
      <c r="J449" s="223"/>
    </row>
    <row r="450" spans="1:10" ht="25.5">
      <c r="A450" s="256"/>
      <c r="B450" s="301"/>
      <c r="C450" s="302"/>
      <c r="D450" s="303"/>
      <c r="E450" s="258" t="s">
        <v>658</v>
      </c>
      <c r="F450" s="279"/>
      <c r="G450" s="185"/>
      <c r="H450" s="269"/>
      <c r="I450" s="222"/>
      <c r="J450" s="223"/>
    </row>
    <row r="451" spans="1:10">
      <c r="A451" s="256"/>
      <c r="B451" s="301"/>
      <c r="C451" s="302"/>
      <c r="D451" s="303"/>
      <c r="E451" s="195" t="s">
        <v>659</v>
      </c>
      <c r="F451" s="270">
        <v>22</v>
      </c>
      <c r="G451" s="185"/>
      <c r="H451" s="269"/>
      <c r="I451" s="222"/>
      <c r="J451" s="223"/>
    </row>
    <row r="452" spans="1:10">
      <c r="A452" s="256"/>
      <c r="B452" s="301"/>
      <c r="C452" s="302"/>
      <c r="D452" s="303"/>
      <c r="E452" s="195" t="s">
        <v>660</v>
      </c>
      <c r="F452" s="304">
        <v>12</v>
      </c>
      <c r="G452" s="185"/>
      <c r="H452" s="269"/>
      <c r="I452" s="222"/>
      <c r="J452" s="223"/>
    </row>
    <row r="453" spans="1:10">
      <c r="A453" s="256"/>
      <c r="B453" s="301"/>
      <c r="C453" s="302"/>
      <c r="D453" s="303"/>
      <c r="E453" s="195"/>
      <c r="F453" s="270">
        <f>SUM(F451:F452)</f>
        <v>34</v>
      </c>
      <c r="G453" s="185"/>
      <c r="H453" s="269"/>
      <c r="I453" s="222"/>
      <c r="J453" s="223"/>
    </row>
    <row r="454" spans="1:10">
      <c r="A454" s="256"/>
      <c r="B454" s="301"/>
      <c r="C454" s="302"/>
      <c r="D454" s="303"/>
      <c r="E454" s="307"/>
      <c r="F454" s="279"/>
      <c r="G454" s="185"/>
      <c r="H454" s="269"/>
      <c r="I454" s="222"/>
      <c r="J454" s="223"/>
    </row>
    <row r="455" spans="1:10">
      <c r="A455" s="256"/>
      <c r="B455" s="301"/>
      <c r="C455" s="302"/>
      <c r="D455" s="303"/>
      <c r="E455" s="305"/>
      <c r="F455" s="279"/>
      <c r="G455" s="185"/>
      <c r="H455" s="269"/>
      <c r="I455" s="222"/>
      <c r="J455" s="223"/>
    </row>
    <row r="456" spans="1:10" ht="25.5">
      <c r="A456" s="25">
        <f>MAX(A$1:A455)+1</f>
        <v>42</v>
      </c>
      <c r="B456" s="41"/>
      <c r="C456" s="26" t="s">
        <v>395</v>
      </c>
      <c r="D456" s="27"/>
      <c r="E456" s="28" t="s">
        <v>396</v>
      </c>
      <c r="F456" s="254"/>
      <c r="G456" s="30" t="s">
        <v>2</v>
      </c>
      <c r="H456" s="59">
        <f>H457+H465</f>
        <v>1361</v>
      </c>
      <c r="I456" s="376"/>
      <c r="J456" s="226">
        <f>H456*I456</f>
        <v>0</v>
      </c>
    </row>
    <row r="457" spans="1:10" ht="25.5">
      <c r="A457" s="25"/>
      <c r="B457" s="41"/>
      <c r="C457" s="26"/>
      <c r="D457" s="33" t="s">
        <v>397</v>
      </c>
      <c r="E457" s="34" t="s">
        <v>398</v>
      </c>
      <c r="F457" s="35"/>
      <c r="G457" s="36" t="s">
        <v>2</v>
      </c>
      <c r="H457" s="58">
        <v>1245</v>
      </c>
      <c r="I457" s="225"/>
      <c r="J457" s="226"/>
    </row>
    <row r="458" spans="1:10">
      <c r="A458" s="256"/>
      <c r="B458" s="301"/>
      <c r="C458" s="257"/>
      <c r="D458" s="259"/>
      <c r="E458" s="307" t="s">
        <v>399</v>
      </c>
      <c r="F458" s="270"/>
      <c r="G458" s="261"/>
      <c r="H458" s="269"/>
      <c r="I458" s="222"/>
      <c r="J458" s="223"/>
    </row>
    <row r="459" spans="1:10">
      <c r="A459" s="256"/>
      <c r="B459" s="301"/>
      <c r="C459" s="257"/>
      <c r="D459" s="259"/>
      <c r="E459" s="195" t="s">
        <v>400</v>
      </c>
      <c r="F459" s="304">
        <v>1245</v>
      </c>
      <c r="G459" s="261"/>
      <c r="H459" s="269"/>
      <c r="I459" s="222"/>
      <c r="J459" s="223"/>
    </row>
    <row r="460" spans="1:10">
      <c r="A460" s="256"/>
      <c r="B460" s="301"/>
      <c r="C460" s="257"/>
      <c r="D460" s="259"/>
      <c r="E460" s="195" t="s">
        <v>661</v>
      </c>
      <c r="F460" s="270">
        <f>SUM(F457:F459)</f>
        <v>1245</v>
      </c>
      <c r="G460" s="261"/>
      <c r="H460" s="269"/>
      <c r="I460" s="222"/>
      <c r="J460" s="223"/>
    </row>
    <row r="461" spans="1:10">
      <c r="A461" s="256"/>
      <c r="B461" s="301"/>
      <c r="C461" s="257"/>
      <c r="D461" s="259"/>
      <c r="E461" s="195" t="s">
        <v>662</v>
      </c>
      <c r="F461" s="233"/>
      <c r="G461" s="261"/>
      <c r="H461" s="269"/>
      <c r="I461" s="222"/>
      <c r="J461" s="223"/>
    </row>
    <row r="462" spans="1:10">
      <c r="A462" s="256"/>
      <c r="B462" s="301"/>
      <c r="C462" s="257"/>
      <c r="D462" s="259"/>
      <c r="E462" s="195" t="s">
        <v>663</v>
      </c>
      <c r="F462" s="233"/>
      <c r="G462" s="261"/>
      <c r="H462" s="269"/>
      <c r="I462" s="222"/>
      <c r="J462" s="223"/>
    </row>
    <row r="463" spans="1:10">
      <c r="A463" s="256"/>
      <c r="B463" s="301"/>
      <c r="C463" s="257"/>
      <c r="D463" s="259"/>
      <c r="E463" s="195" t="s">
        <v>664</v>
      </c>
      <c r="F463" s="270"/>
      <c r="G463" s="261"/>
      <c r="H463" s="269"/>
      <c r="I463" s="222"/>
      <c r="J463" s="223"/>
    </row>
    <row r="464" spans="1:10">
      <c r="A464" s="256"/>
      <c r="B464" s="301"/>
      <c r="C464" s="257"/>
      <c r="D464" s="259"/>
      <c r="E464" s="385"/>
      <c r="F464" s="359"/>
      <c r="G464" s="261"/>
      <c r="H464" s="269"/>
      <c r="I464" s="222"/>
      <c r="J464" s="223"/>
    </row>
    <row r="465" spans="1:10" ht="25.5">
      <c r="A465" s="355"/>
      <c r="B465" s="301"/>
      <c r="C465" s="302"/>
      <c r="D465" s="33" t="s">
        <v>665</v>
      </c>
      <c r="E465" s="34" t="s">
        <v>666</v>
      </c>
      <c r="F465" s="35"/>
      <c r="G465" s="36" t="s">
        <v>2</v>
      </c>
      <c r="H465" s="58">
        <v>116</v>
      </c>
      <c r="I465" s="225"/>
      <c r="J465" s="226"/>
    </row>
    <row r="466" spans="1:10">
      <c r="A466" s="355"/>
      <c r="B466" s="301"/>
      <c r="C466" s="302"/>
      <c r="D466" s="303"/>
      <c r="E466" s="307" t="s">
        <v>667</v>
      </c>
      <c r="F466" s="260"/>
      <c r="G466" s="185"/>
      <c r="H466" s="269"/>
      <c r="I466" s="222"/>
      <c r="J466" s="223"/>
    </row>
    <row r="467" spans="1:10">
      <c r="A467" s="355"/>
      <c r="B467" s="301"/>
      <c r="C467" s="302"/>
      <c r="D467" s="303"/>
      <c r="E467" s="307" t="s">
        <v>668</v>
      </c>
      <c r="F467" s="260"/>
      <c r="G467" s="185"/>
      <c r="H467" s="269"/>
      <c r="I467" s="222"/>
      <c r="J467" s="223"/>
    </row>
    <row r="468" spans="1:10">
      <c r="A468" s="355"/>
      <c r="B468" s="301"/>
      <c r="C468" s="302"/>
      <c r="D468" s="303"/>
      <c r="E468" s="195" t="s">
        <v>669</v>
      </c>
      <c r="F468" s="270">
        <v>116</v>
      </c>
      <c r="G468" s="185"/>
      <c r="H468" s="269"/>
      <c r="I468" s="222"/>
      <c r="J468" s="223"/>
    </row>
    <row r="469" spans="1:10">
      <c r="A469" s="355"/>
      <c r="B469" s="301"/>
      <c r="C469" s="302"/>
      <c r="D469" s="303"/>
      <c r="E469" s="363"/>
      <c r="F469" s="279"/>
      <c r="G469" s="185"/>
      <c r="H469" s="269"/>
      <c r="I469" s="222"/>
      <c r="J469" s="223"/>
    </row>
    <row r="470" spans="1:10">
      <c r="A470" s="256"/>
      <c r="B470" s="301"/>
      <c r="C470" s="302"/>
      <c r="D470" s="303"/>
      <c r="E470" s="305"/>
      <c r="F470" s="279"/>
      <c r="G470" s="185"/>
      <c r="H470" s="269"/>
      <c r="I470" s="222"/>
      <c r="J470" s="223"/>
    </row>
    <row r="471" spans="1:10" ht="25.5">
      <c r="A471" s="25">
        <f>MAX(A$1:A470)+1</f>
        <v>43</v>
      </c>
      <c r="B471" s="41"/>
      <c r="C471" s="42" t="s">
        <v>401</v>
      </c>
      <c r="D471" s="296"/>
      <c r="E471" s="28" t="s">
        <v>402</v>
      </c>
      <c r="F471" s="254"/>
      <c r="G471" s="30" t="s">
        <v>2</v>
      </c>
      <c r="H471" s="59">
        <v>82</v>
      </c>
      <c r="I471" s="376"/>
      <c r="J471" s="226">
        <f>H471*I471</f>
        <v>0</v>
      </c>
    </row>
    <row r="472" spans="1:10">
      <c r="A472" s="256"/>
      <c r="B472" s="301"/>
      <c r="C472" s="302"/>
      <c r="D472" s="303"/>
      <c r="E472" s="195" t="s">
        <v>670</v>
      </c>
      <c r="F472" s="270">
        <v>15</v>
      </c>
      <c r="G472" s="185"/>
      <c r="H472" s="269"/>
      <c r="I472" s="222"/>
      <c r="J472" s="223"/>
    </row>
    <row r="473" spans="1:10">
      <c r="A473" s="256"/>
      <c r="B473" s="301"/>
      <c r="C473" s="302"/>
      <c r="D473" s="303"/>
      <c r="E473" s="195" t="s">
        <v>671</v>
      </c>
      <c r="F473" s="270">
        <v>20</v>
      </c>
      <c r="G473" s="185"/>
      <c r="H473" s="269"/>
      <c r="I473" s="222"/>
      <c r="J473" s="223"/>
    </row>
    <row r="474" spans="1:10">
      <c r="A474" s="256"/>
      <c r="B474" s="301"/>
      <c r="C474" s="302"/>
      <c r="D474" s="303"/>
      <c r="E474" s="195" t="s">
        <v>672</v>
      </c>
      <c r="F474" s="270">
        <v>11</v>
      </c>
      <c r="G474" s="185"/>
      <c r="H474" s="269"/>
      <c r="I474" s="222"/>
      <c r="J474" s="223"/>
    </row>
    <row r="475" spans="1:10">
      <c r="A475" s="256"/>
      <c r="B475" s="301"/>
      <c r="C475" s="302"/>
      <c r="D475" s="303"/>
      <c r="E475" s="195" t="s">
        <v>673</v>
      </c>
      <c r="F475" s="270">
        <v>7</v>
      </c>
      <c r="G475" s="185"/>
      <c r="H475" s="269"/>
      <c r="I475" s="222"/>
      <c r="J475" s="223"/>
    </row>
    <row r="476" spans="1:10">
      <c r="A476" s="256"/>
      <c r="B476" s="301"/>
      <c r="C476" s="302"/>
      <c r="D476" s="303"/>
      <c r="E476" s="195" t="s">
        <v>674</v>
      </c>
      <c r="F476" s="304">
        <v>29</v>
      </c>
      <c r="G476" s="185"/>
      <c r="H476" s="269"/>
      <c r="I476" s="222"/>
      <c r="J476" s="223"/>
    </row>
    <row r="477" spans="1:10">
      <c r="A477" s="256"/>
      <c r="B477" s="301"/>
      <c r="C477" s="302"/>
      <c r="D477" s="303"/>
      <c r="E477" s="195"/>
      <c r="F477" s="270">
        <f>SUM(F472:F476)</f>
        <v>82</v>
      </c>
      <c r="G477" s="185"/>
      <c r="H477" s="269"/>
      <c r="I477" s="222"/>
      <c r="J477" s="223"/>
    </row>
    <row r="478" spans="1:10">
      <c r="A478" s="256"/>
      <c r="B478" s="301"/>
      <c r="C478" s="302"/>
      <c r="D478" s="303"/>
      <c r="E478" s="305"/>
      <c r="F478" s="279"/>
      <c r="G478" s="185"/>
      <c r="H478" s="269"/>
      <c r="I478" s="222"/>
      <c r="J478" s="223"/>
    </row>
    <row r="479" spans="1:10" ht="25.5">
      <c r="A479" s="25">
        <f>MAX(A$1:A478)+1</f>
        <v>44</v>
      </c>
      <c r="B479" s="41"/>
      <c r="C479" s="26" t="s">
        <v>675</v>
      </c>
      <c r="D479" s="27"/>
      <c r="E479" s="28" t="s">
        <v>676</v>
      </c>
      <c r="F479" s="29"/>
      <c r="G479" s="30" t="s">
        <v>2</v>
      </c>
      <c r="H479" s="59">
        <f>H480</f>
        <v>5.75</v>
      </c>
      <c r="I479" s="376"/>
      <c r="J479" s="226">
        <f>H479*I479</f>
        <v>0</v>
      </c>
    </row>
    <row r="480" spans="1:10" ht="25.5">
      <c r="A480" s="25"/>
      <c r="B480" s="41"/>
      <c r="C480" s="42"/>
      <c r="D480" s="33" t="s">
        <v>677</v>
      </c>
      <c r="E480" s="34" t="s">
        <v>678</v>
      </c>
      <c r="F480" s="35"/>
      <c r="G480" s="36" t="s">
        <v>2</v>
      </c>
      <c r="H480" s="58">
        <v>5.75</v>
      </c>
      <c r="I480" s="222"/>
      <c r="J480" s="223"/>
    </row>
    <row r="481" spans="1:10">
      <c r="A481" s="25"/>
      <c r="B481" s="41"/>
      <c r="C481" s="42"/>
      <c r="D481" s="296"/>
      <c r="E481" s="258" t="s">
        <v>679</v>
      </c>
      <c r="F481" s="270"/>
      <c r="G481" s="24"/>
      <c r="H481" s="58"/>
      <c r="I481" s="222"/>
      <c r="J481" s="223"/>
    </row>
    <row r="482" spans="1:10">
      <c r="A482" s="25"/>
      <c r="B482" s="41"/>
      <c r="C482" s="42"/>
      <c r="D482" s="296"/>
      <c r="E482" s="195" t="s">
        <v>680</v>
      </c>
      <c r="F482" s="233">
        <f>11.5*0.25*2</f>
        <v>5.75</v>
      </c>
      <c r="G482" s="24"/>
      <c r="H482" s="58"/>
      <c r="I482" s="222"/>
      <c r="J482" s="223"/>
    </row>
    <row r="483" spans="1:10">
      <c r="A483" s="256"/>
      <c r="B483" s="301"/>
      <c r="C483" s="302"/>
      <c r="D483" s="303"/>
      <c r="E483" s="305"/>
      <c r="F483" s="279"/>
      <c r="G483" s="185"/>
      <c r="H483" s="269"/>
      <c r="I483" s="222"/>
      <c r="J483" s="223"/>
    </row>
    <row r="484" spans="1:10">
      <c r="A484" s="256"/>
      <c r="B484" s="301"/>
      <c r="C484" s="302"/>
      <c r="D484" s="303"/>
      <c r="E484" s="305"/>
      <c r="F484" s="279"/>
      <c r="G484" s="185"/>
      <c r="H484" s="269"/>
      <c r="I484" s="222"/>
      <c r="J484" s="223"/>
    </row>
    <row r="485" spans="1:10">
      <c r="A485" s="25">
        <f>MAX(A$1:A484)+1</f>
        <v>45</v>
      </c>
      <c r="B485" s="41"/>
      <c r="C485" s="26" t="s">
        <v>681</v>
      </c>
      <c r="D485" s="27"/>
      <c r="E485" s="28" t="s">
        <v>682</v>
      </c>
      <c r="F485" s="254"/>
      <c r="G485" s="30" t="s">
        <v>7</v>
      </c>
      <c r="H485" s="59">
        <f>H486</f>
        <v>16</v>
      </c>
      <c r="I485" s="376"/>
      <c r="J485" s="226">
        <f>H485*I485</f>
        <v>0</v>
      </c>
    </row>
    <row r="486" spans="1:10" ht="25.5">
      <c r="A486" s="25"/>
      <c r="B486" s="41"/>
      <c r="C486" s="27"/>
      <c r="D486" s="33" t="s">
        <v>683</v>
      </c>
      <c r="E486" s="34" t="s">
        <v>684</v>
      </c>
      <c r="F486" s="255"/>
      <c r="G486" s="36" t="s">
        <v>7</v>
      </c>
      <c r="H486" s="58">
        <v>16</v>
      </c>
      <c r="I486" s="222"/>
      <c r="J486" s="223"/>
    </row>
    <row r="487" spans="1:10">
      <c r="A487" s="256"/>
      <c r="B487" s="301"/>
      <c r="C487" s="259"/>
      <c r="D487" s="262"/>
      <c r="E487" s="258" t="s">
        <v>685</v>
      </c>
      <c r="F487" s="276"/>
      <c r="G487" s="263"/>
      <c r="H487" s="269"/>
      <c r="I487" s="222"/>
      <c r="J487" s="223"/>
    </row>
    <row r="488" spans="1:10">
      <c r="A488" s="256"/>
      <c r="B488" s="301"/>
      <c r="C488" s="259"/>
      <c r="D488" s="262"/>
      <c r="E488" s="195" t="s">
        <v>686</v>
      </c>
      <c r="F488" s="331">
        <v>16</v>
      </c>
      <c r="G488" s="263"/>
      <c r="H488" s="269"/>
      <c r="I488" s="222"/>
      <c r="J488" s="223"/>
    </row>
    <row r="489" spans="1:10">
      <c r="A489" s="256"/>
      <c r="B489" s="301"/>
      <c r="C489" s="302"/>
      <c r="D489" s="303"/>
      <c r="E489" s="305"/>
      <c r="F489" s="279"/>
      <c r="G489" s="185"/>
      <c r="H489" s="269"/>
      <c r="I489" s="222"/>
      <c r="J489" s="223"/>
    </row>
    <row r="490" spans="1:10">
      <c r="A490" s="256"/>
      <c r="B490" s="301"/>
      <c r="C490" s="272"/>
      <c r="D490" s="262"/>
      <c r="E490" s="275"/>
      <c r="F490" s="276"/>
      <c r="G490" s="263"/>
      <c r="H490" s="269"/>
      <c r="I490" s="222"/>
      <c r="J490" s="223"/>
    </row>
    <row r="491" spans="1:10" ht="25.5">
      <c r="A491" s="25">
        <f>MAX(A$1:A490)+1</f>
        <v>46</v>
      </c>
      <c r="B491" s="23"/>
      <c r="C491" s="26" t="s">
        <v>139</v>
      </c>
      <c r="D491" s="27"/>
      <c r="E491" s="28" t="s">
        <v>140</v>
      </c>
      <c r="F491" s="254"/>
      <c r="G491" s="30" t="s">
        <v>1</v>
      </c>
      <c r="H491" s="59">
        <f>H492</f>
        <v>10</v>
      </c>
      <c r="I491" s="376"/>
      <c r="J491" s="226">
        <f>H491*I491</f>
        <v>0</v>
      </c>
    </row>
    <row r="492" spans="1:10" ht="25.5">
      <c r="A492" s="22"/>
      <c r="B492" s="23"/>
      <c r="C492" s="23"/>
      <c r="D492" s="33" t="s">
        <v>141</v>
      </c>
      <c r="E492" s="34" t="s">
        <v>142</v>
      </c>
      <c r="F492" s="255"/>
      <c r="G492" s="36" t="s">
        <v>1</v>
      </c>
      <c r="H492" s="58">
        <v>10</v>
      </c>
      <c r="I492" s="222"/>
      <c r="J492" s="223"/>
    </row>
    <row r="493" spans="1:10">
      <c r="A493" s="22"/>
      <c r="B493" s="23"/>
      <c r="C493" s="23"/>
      <c r="D493" s="33"/>
      <c r="E493" s="268" t="s">
        <v>338</v>
      </c>
      <c r="F493" s="255"/>
      <c r="G493" s="36"/>
      <c r="H493" s="58"/>
      <c r="I493" s="222"/>
      <c r="J493" s="223"/>
    </row>
    <row r="494" spans="1:10">
      <c r="A494" s="246"/>
      <c r="B494" s="184"/>
      <c r="C494" s="184"/>
      <c r="D494" s="262"/>
      <c r="E494" s="345" t="s">
        <v>403</v>
      </c>
      <c r="F494" s="276"/>
      <c r="G494" s="263"/>
      <c r="H494" s="269"/>
      <c r="I494" s="222"/>
      <c r="J494" s="223"/>
    </row>
    <row r="495" spans="1:10">
      <c r="A495" s="246"/>
      <c r="B495" s="184"/>
      <c r="C495" s="184"/>
      <c r="D495" s="262"/>
      <c r="E495" s="195">
        <v>201</v>
      </c>
      <c r="F495" s="331">
        <v>3</v>
      </c>
      <c r="G495" s="263"/>
      <c r="H495" s="269"/>
      <c r="I495" s="222"/>
      <c r="J495" s="223"/>
    </row>
    <row r="496" spans="1:10">
      <c r="A496" s="246"/>
      <c r="B496" s="184"/>
      <c r="C496" s="184"/>
      <c r="D496" s="262"/>
      <c r="E496" s="195" t="s">
        <v>687</v>
      </c>
      <c r="F496" s="331">
        <v>1</v>
      </c>
      <c r="G496" s="263"/>
      <c r="H496" s="269"/>
      <c r="I496" s="222"/>
      <c r="J496" s="223"/>
    </row>
    <row r="497" spans="1:10">
      <c r="A497" s="246"/>
      <c r="B497" s="184"/>
      <c r="C497" s="184"/>
      <c r="D497" s="262"/>
      <c r="E497" s="195">
        <v>213</v>
      </c>
      <c r="F497" s="331">
        <v>2</v>
      </c>
      <c r="G497" s="263"/>
      <c r="H497" s="269"/>
      <c r="I497" s="222"/>
      <c r="J497" s="223"/>
    </row>
    <row r="498" spans="1:10">
      <c r="A498" s="246"/>
      <c r="B498" s="184"/>
      <c r="C498" s="184"/>
      <c r="D498" s="262"/>
      <c r="E498" s="195" t="s">
        <v>406</v>
      </c>
      <c r="F498" s="331">
        <v>1</v>
      </c>
      <c r="G498" s="263"/>
      <c r="H498" s="269"/>
      <c r="I498" s="222"/>
      <c r="J498" s="223"/>
    </row>
    <row r="499" spans="1:10">
      <c r="A499" s="246"/>
      <c r="B499" s="184"/>
      <c r="C499" s="184"/>
      <c r="D499" s="262"/>
      <c r="E499" s="195">
        <v>507</v>
      </c>
      <c r="F499" s="331">
        <v>1</v>
      </c>
      <c r="G499" s="263"/>
      <c r="H499" s="269"/>
      <c r="I499" s="222"/>
      <c r="J499" s="223"/>
    </row>
    <row r="500" spans="1:10">
      <c r="A500" s="246"/>
      <c r="B500" s="184"/>
      <c r="C500" s="184"/>
      <c r="D500" s="262"/>
      <c r="E500" s="258" t="s">
        <v>407</v>
      </c>
      <c r="F500" s="248"/>
      <c r="G500" s="263"/>
      <c r="H500" s="269"/>
      <c r="I500" s="222"/>
      <c r="J500" s="223"/>
    </row>
    <row r="501" spans="1:10">
      <c r="A501" s="246"/>
      <c r="B501" s="184"/>
      <c r="C501" s="184"/>
      <c r="D501" s="262"/>
      <c r="E501" s="195" t="s">
        <v>405</v>
      </c>
      <c r="F501" s="331">
        <v>1</v>
      </c>
      <c r="G501" s="263"/>
      <c r="H501" s="269"/>
      <c r="I501" s="222"/>
      <c r="J501" s="223"/>
    </row>
    <row r="502" spans="1:10">
      <c r="A502" s="246"/>
      <c r="B502" s="184"/>
      <c r="C502" s="184"/>
      <c r="D502" s="262"/>
      <c r="E502" s="195">
        <v>706</v>
      </c>
      <c r="F502" s="273">
        <v>1</v>
      </c>
      <c r="G502" s="263"/>
      <c r="H502" s="269"/>
      <c r="I502" s="222"/>
      <c r="J502" s="223"/>
    </row>
    <row r="503" spans="1:10">
      <c r="A503" s="246"/>
      <c r="B503" s="184"/>
      <c r="C503" s="184"/>
      <c r="D503" s="262"/>
      <c r="E503" s="275"/>
      <c r="F503" s="331">
        <f>SUM(F495:F502)</f>
        <v>10</v>
      </c>
      <c r="G503" s="263"/>
      <c r="H503" s="269"/>
      <c r="I503" s="222"/>
      <c r="J503" s="223"/>
    </row>
    <row r="504" spans="1:10">
      <c r="A504" s="246"/>
      <c r="B504" s="184"/>
      <c r="C504" s="184"/>
      <c r="D504" s="262"/>
      <c r="E504" s="268" t="s">
        <v>408</v>
      </c>
      <c r="F504" s="248"/>
      <c r="G504" s="263"/>
      <c r="H504" s="269"/>
      <c r="I504" s="222"/>
      <c r="J504" s="223"/>
    </row>
    <row r="505" spans="1:10">
      <c r="A505" s="246"/>
      <c r="B505" s="184"/>
      <c r="C505" s="184"/>
      <c r="D505" s="185"/>
      <c r="E505" s="186"/>
      <c r="F505" s="187"/>
      <c r="G505" s="188"/>
      <c r="H505" s="269"/>
      <c r="I505" s="222"/>
      <c r="J505" s="223"/>
    </row>
    <row r="506" spans="1:10" ht="25.5">
      <c r="A506" s="25">
        <f>MAX(A$1:A505)+1</f>
        <v>47</v>
      </c>
      <c r="B506" s="23"/>
      <c r="C506" s="26" t="s">
        <v>409</v>
      </c>
      <c r="D506" s="27"/>
      <c r="E506" s="28" t="s">
        <v>410</v>
      </c>
      <c r="F506" s="254"/>
      <c r="G506" s="30" t="s">
        <v>1</v>
      </c>
      <c r="H506" s="59">
        <f>H507</f>
        <v>4</v>
      </c>
      <c r="I506" s="376"/>
      <c r="J506" s="226">
        <f>H506*I506</f>
        <v>0</v>
      </c>
    </row>
    <row r="507" spans="1:10" ht="25.5">
      <c r="A507" s="22"/>
      <c r="B507" s="23"/>
      <c r="C507" s="23"/>
      <c r="D507" s="33" t="s">
        <v>411</v>
      </c>
      <c r="E507" s="34" t="s">
        <v>412</v>
      </c>
      <c r="F507" s="255"/>
      <c r="G507" s="36" t="s">
        <v>1</v>
      </c>
      <c r="H507" s="58">
        <v>4</v>
      </c>
      <c r="I507" s="222"/>
      <c r="J507" s="223"/>
    </row>
    <row r="508" spans="1:10">
      <c r="A508" s="246"/>
      <c r="B508" s="184"/>
      <c r="C508" s="184"/>
      <c r="D508" s="262"/>
      <c r="E508" s="195" t="s">
        <v>413</v>
      </c>
      <c r="F508" s="331">
        <v>1</v>
      </c>
      <c r="G508" s="263"/>
      <c r="H508" s="269"/>
      <c r="I508" s="222"/>
      <c r="J508" s="223"/>
    </row>
    <row r="509" spans="1:10">
      <c r="A509" s="246"/>
      <c r="B509" s="184"/>
      <c r="C509" s="184"/>
      <c r="D509" s="262"/>
      <c r="E509" s="195" t="s">
        <v>416</v>
      </c>
      <c r="F509" s="331">
        <v>1</v>
      </c>
      <c r="G509" s="263"/>
      <c r="H509" s="269"/>
      <c r="I509" s="222"/>
      <c r="J509" s="223"/>
    </row>
    <row r="510" spans="1:10">
      <c r="A510" s="246"/>
      <c r="B510" s="184"/>
      <c r="C510" s="184"/>
      <c r="D510" s="262"/>
      <c r="E510" s="195" t="s">
        <v>417</v>
      </c>
      <c r="F510" s="273">
        <v>2</v>
      </c>
      <c r="G510" s="263"/>
      <c r="H510" s="269"/>
      <c r="I510" s="222"/>
      <c r="J510" s="223"/>
    </row>
    <row r="511" spans="1:10">
      <c r="A511" s="246"/>
      <c r="B511" s="184"/>
      <c r="C511" s="184"/>
      <c r="D511" s="262"/>
      <c r="E511" s="247"/>
      <c r="F511" s="331">
        <f>SUM(F508:F510)</f>
        <v>4</v>
      </c>
      <c r="G511" s="263"/>
      <c r="H511" s="269"/>
      <c r="I511" s="222"/>
      <c r="J511" s="223"/>
    </row>
    <row r="512" spans="1:10">
      <c r="A512" s="246"/>
      <c r="B512" s="184"/>
      <c r="C512" s="184"/>
      <c r="D512" s="262"/>
      <c r="E512" s="268" t="s">
        <v>418</v>
      </c>
      <c r="F512" s="276"/>
      <c r="G512" s="263"/>
      <c r="H512" s="269"/>
      <c r="I512" s="222"/>
      <c r="J512" s="223"/>
    </row>
    <row r="513" spans="1:10">
      <c r="A513" s="256"/>
      <c r="B513" s="301"/>
      <c r="C513" s="302"/>
      <c r="D513" s="303"/>
      <c r="E513" s="305"/>
      <c r="F513" s="279"/>
      <c r="G513" s="185"/>
      <c r="H513" s="269"/>
      <c r="I513" s="222"/>
      <c r="J513" s="223"/>
    </row>
    <row r="514" spans="1:10" ht="25.5">
      <c r="A514" s="346">
        <f>MAX(A$1:A513)+1</f>
        <v>48</v>
      </c>
      <c r="B514" s="41"/>
      <c r="C514" s="26" t="s">
        <v>419</v>
      </c>
      <c r="D514" s="27"/>
      <c r="E514" s="28" t="s">
        <v>420</v>
      </c>
      <c r="F514" s="29"/>
      <c r="G514" s="30" t="s">
        <v>1</v>
      </c>
      <c r="H514" s="59">
        <f>H515</f>
        <v>1</v>
      </c>
      <c r="I514" s="376"/>
      <c r="J514" s="226">
        <f>H514*I514</f>
        <v>0</v>
      </c>
    </row>
    <row r="515" spans="1:10" ht="25.5">
      <c r="A515" s="346"/>
      <c r="B515" s="41"/>
      <c r="C515" s="39"/>
      <c r="D515" s="33" t="s">
        <v>421</v>
      </c>
      <c r="E515" s="34" t="s">
        <v>422</v>
      </c>
      <c r="F515" s="35"/>
      <c r="G515" s="36" t="s">
        <v>1</v>
      </c>
      <c r="H515" s="58">
        <v>1</v>
      </c>
      <c r="I515" s="222"/>
      <c r="J515" s="223"/>
    </row>
    <row r="516" spans="1:10">
      <c r="A516" s="25"/>
      <c r="B516" s="41"/>
      <c r="C516" s="42"/>
      <c r="D516" s="296"/>
      <c r="E516" s="347" t="s">
        <v>688</v>
      </c>
      <c r="F516" s="31">
        <v>1</v>
      </c>
      <c r="G516" s="24"/>
      <c r="H516" s="58"/>
      <c r="I516" s="222"/>
      <c r="J516" s="223"/>
    </row>
    <row r="517" spans="1:10">
      <c r="A517" s="25"/>
      <c r="B517" s="41"/>
      <c r="C517" s="42"/>
      <c r="D517" s="296"/>
      <c r="E517" s="297"/>
      <c r="F517" s="270"/>
      <c r="G517" s="24"/>
      <c r="H517" s="58"/>
      <c r="I517" s="222"/>
      <c r="J517" s="223"/>
    </row>
    <row r="518" spans="1:10">
      <c r="A518" s="256"/>
      <c r="B518" s="301"/>
      <c r="C518" s="302"/>
      <c r="D518" s="303"/>
      <c r="E518" s="268" t="s">
        <v>424</v>
      </c>
      <c r="F518" s="279"/>
      <c r="G518" s="185"/>
      <c r="H518" s="269"/>
      <c r="I518" s="222"/>
      <c r="J518" s="223"/>
    </row>
    <row r="519" spans="1:10">
      <c r="A519" s="256"/>
      <c r="B519" s="301"/>
      <c r="C519" s="302"/>
      <c r="D519" s="303"/>
      <c r="E519" s="268" t="s">
        <v>425</v>
      </c>
      <c r="F519" s="279"/>
      <c r="G519" s="185"/>
      <c r="H519" s="269"/>
      <c r="I519" s="222"/>
      <c r="J519" s="223"/>
    </row>
    <row r="520" spans="1:10">
      <c r="A520" s="256"/>
      <c r="B520" s="301"/>
      <c r="C520" s="302"/>
      <c r="D520" s="303"/>
      <c r="E520" s="305"/>
      <c r="F520" s="279"/>
      <c r="G520" s="185"/>
      <c r="H520" s="269"/>
      <c r="I520" s="222"/>
      <c r="J520" s="223"/>
    </row>
    <row r="521" spans="1:10">
      <c r="A521" s="25">
        <f>MAX(A$1:A516)+1</f>
        <v>49</v>
      </c>
      <c r="B521" s="41"/>
      <c r="C521" s="26" t="s">
        <v>143</v>
      </c>
      <c r="D521" s="27"/>
      <c r="E521" s="28" t="s">
        <v>144</v>
      </c>
      <c r="F521" s="254"/>
      <c r="G521" s="30" t="s">
        <v>7</v>
      </c>
      <c r="H521" s="59">
        <f>H522</f>
        <v>401</v>
      </c>
      <c r="I521" s="376"/>
      <c r="J521" s="226">
        <f>H521*I521</f>
        <v>0</v>
      </c>
    </row>
    <row r="522" spans="1:10">
      <c r="A522" s="25"/>
      <c r="B522" s="41"/>
      <c r="C522" s="39"/>
      <c r="D522" s="33" t="s">
        <v>145</v>
      </c>
      <c r="E522" s="34" t="s">
        <v>146</v>
      </c>
      <c r="F522" s="255"/>
      <c r="G522" s="36" t="s">
        <v>7</v>
      </c>
      <c r="H522" s="58">
        <v>401</v>
      </c>
      <c r="I522" s="222"/>
      <c r="J522" s="223"/>
    </row>
    <row r="523" spans="1:10">
      <c r="A523" s="256"/>
      <c r="B523" s="301"/>
      <c r="C523" s="302"/>
      <c r="D523" s="303"/>
      <c r="E523" s="258" t="s">
        <v>426</v>
      </c>
      <c r="F523" s="279"/>
      <c r="G523" s="185"/>
      <c r="H523" s="269"/>
      <c r="I523" s="222"/>
      <c r="J523" s="223"/>
    </row>
    <row r="524" spans="1:10">
      <c r="A524" s="256"/>
      <c r="B524" s="301"/>
      <c r="C524" s="302"/>
      <c r="D524" s="303"/>
      <c r="E524" s="195" t="s">
        <v>589</v>
      </c>
      <c r="F524" s="270">
        <v>102</v>
      </c>
      <c r="G524" s="185"/>
      <c r="H524" s="269"/>
      <c r="I524" s="222"/>
      <c r="J524" s="223"/>
    </row>
    <row r="525" spans="1:10">
      <c r="A525" s="256"/>
      <c r="B525" s="301"/>
      <c r="C525" s="302"/>
      <c r="D525" s="303"/>
      <c r="E525" s="195" t="s">
        <v>578</v>
      </c>
      <c r="F525" s="270">
        <v>155</v>
      </c>
      <c r="G525" s="185"/>
      <c r="H525" s="269"/>
      <c r="I525" s="222"/>
      <c r="J525" s="223"/>
    </row>
    <row r="526" spans="1:10">
      <c r="A526" s="256"/>
      <c r="B526" s="301"/>
      <c r="C526" s="302"/>
      <c r="D526" s="303"/>
      <c r="E526" s="195" t="s">
        <v>580</v>
      </c>
      <c r="F526" s="304">
        <v>76</v>
      </c>
      <c r="G526" s="185"/>
      <c r="H526" s="269"/>
      <c r="I526" s="222"/>
      <c r="J526" s="223"/>
    </row>
    <row r="527" spans="1:10">
      <c r="A527" s="256"/>
      <c r="B527" s="301"/>
      <c r="C527" s="302"/>
      <c r="D527" s="303"/>
      <c r="E527" s="195"/>
      <c r="F527" s="270">
        <f>SUM(F524:F526)</f>
        <v>333</v>
      </c>
      <c r="G527" s="185"/>
      <c r="H527" s="269"/>
      <c r="I527" s="222"/>
      <c r="J527" s="223"/>
    </row>
    <row r="528" spans="1:10">
      <c r="A528" s="256"/>
      <c r="B528" s="301"/>
      <c r="C528" s="302"/>
      <c r="D528" s="303"/>
      <c r="E528" s="268" t="s">
        <v>427</v>
      </c>
      <c r="F528" s="279"/>
      <c r="G528" s="185"/>
      <c r="H528" s="269"/>
      <c r="I528" s="222"/>
      <c r="J528" s="223"/>
    </row>
    <row r="529" spans="1:10">
      <c r="A529" s="256"/>
      <c r="B529" s="301"/>
      <c r="C529" s="302"/>
      <c r="D529" s="303"/>
      <c r="E529" s="305"/>
      <c r="F529" s="279"/>
      <c r="G529" s="185"/>
      <c r="H529" s="269"/>
      <c r="I529" s="222"/>
      <c r="J529" s="223"/>
    </row>
    <row r="530" spans="1:10">
      <c r="A530" s="256"/>
      <c r="B530" s="301"/>
      <c r="C530" s="302"/>
      <c r="D530" s="303"/>
      <c r="E530" s="258" t="s">
        <v>428</v>
      </c>
      <c r="F530" s="279"/>
      <c r="G530" s="185"/>
      <c r="H530" s="269"/>
      <c r="I530" s="222"/>
      <c r="J530" s="223"/>
    </row>
    <row r="531" spans="1:10">
      <c r="A531" s="256"/>
      <c r="B531" s="301"/>
      <c r="C531" s="302"/>
      <c r="D531" s="303"/>
      <c r="E531" s="195" t="s">
        <v>589</v>
      </c>
      <c r="F531" s="270">
        <v>24</v>
      </c>
      <c r="G531" s="185"/>
      <c r="H531" s="269"/>
      <c r="I531" s="222"/>
      <c r="J531" s="223"/>
    </row>
    <row r="532" spans="1:10">
      <c r="A532" s="256"/>
      <c r="B532" s="301"/>
      <c r="C532" s="302"/>
      <c r="D532" s="303"/>
      <c r="E532" s="195" t="s">
        <v>578</v>
      </c>
      <c r="F532" s="304">
        <v>17</v>
      </c>
      <c r="G532" s="185"/>
      <c r="H532" s="269"/>
      <c r="I532" s="222"/>
      <c r="J532" s="223"/>
    </row>
    <row r="533" spans="1:10">
      <c r="A533" s="256"/>
      <c r="B533" s="301"/>
      <c r="C533" s="302"/>
      <c r="D533" s="303"/>
      <c r="E533" s="305"/>
      <c r="F533" s="270">
        <f>SUM(F531:F532)</f>
        <v>41</v>
      </c>
      <c r="G533" s="185"/>
      <c r="H533" s="269"/>
      <c r="I533" s="222"/>
      <c r="J533" s="223"/>
    </row>
    <row r="534" spans="1:10">
      <c r="A534" s="256"/>
      <c r="B534" s="301"/>
      <c r="C534" s="302"/>
      <c r="D534" s="303"/>
      <c r="E534" s="268" t="s">
        <v>429</v>
      </c>
      <c r="F534" s="279"/>
      <c r="G534" s="185"/>
      <c r="H534" s="269"/>
      <c r="I534" s="222"/>
      <c r="J534" s="223"/>
    </row>
    <row r="535" spans="1:10">
      <c r="A535" s="256"/>
      <c r="B535" s="301"/>
      <c r="C535" s="302"/>
      <c r="D535" s="303"/>
      <c r="E535" s="339"/>
      <c r="F535" s="331"/>
      <c r="G535" s="185"/>
      <c r="H535" s="269"/>
      <c r="I535" s="222"/>
      <c r="J535" s="223"/>
    </row>
    <row r="536" spans="1:10">
      <c r="A536" s="256"/>
      <c r="B536" s="301"/>
      <c r="C536" s="302"/>
      <c r="D536" s="303"/>
      <c r="E536" s="258" t="s">
        <v>430</v>
      </c>
      <c r="F536" s="331">
        <v>27</v>
      </c>
      <c r="G536" s="185"/>
      <c r="H536" s="269"/>
      <c r="I536" s="222"/>
      <c r="J536" s="223"/>
    </row>
    <row r="537" spans="1:10">
      <c r="A537" s="256"/>
      <c r="B537" s="301"/>
      <c r="C537" s="302"/>
      <c r="D537" s="303"/>
      <c r="E537" s="268" t="s">
        <v>429</v>
      </c>
      <c r="F537" s="331"/>
      <c r="G537" s="185"/>
      <c r="H537" s="269"/>
      <c r="I537" s="222"/>
      <c r="J537" s="223"/>
    </row>
    <row r="538" spans="1:10">
      <c r="A538" s="256"/>
      <c r="B538" s="301"/>
      <c r="C538" s="302"/>
      <c r="D538" s="303"/>
      <c r="E538" s="386" t="s">
        <v>117</v>
      </c>
      <c r="F538" s="340">
        <f>F527+F533+F536</f>
        <v>401</v>
      </c>
      <c r="G538" s="185"/>
      <c r="H538" s="269"/>
      <c r="I538" s="222"/>
      <c r="J538" s="223"/>
    </row>
    <row r="539" spans="1:10">
      <c r="A539" s="256"/>
      <c r="B539" s="301"/>
      <c r="C539" s="302"/>
      <c r="D539" s="303"/>
      <c r="E539" s="268"/>
      <c r="F539" s="279"/>
      <c r="G539" s="185"/>
      <c r="H539" s="269"/>
      <c r="I539" s="222"/>
      <c r="J539" s="223"/>
    </row>
    <row r="540" spans="1:10">
      <c r="A540" s="256"/>
      <c r="B540" s="301"/>
      <c r="C540" s="302"/>
      <c r="D540" s="303"/>
      <c r="E540" s="268"/>
      <c r="F540" s="279"/>
      <c r="G540" s="185"/>
      <c r="H540" s="269"/>
      <c r="I540" s="222"/>
      <c r="J540" s="223"/>
    </row>
    <row r="541" spans="1:10">
      <c r="A541" s="25">
        <f>MAX(A$1:A536)+1</f>
        <v>50</v>
      </c>
      <c r="B541" s="301"/>
      <c r="C541" s="26" t="s">
        <v>689</v>
      </c>
      <c r="D541" s="27"/>
      <c r="E541" s="28" t="s">
        <v>690</v>
      </c>
      <c r="F541" s="29"/>
      <c r="G541" s="30" t="s">
        <v>7</v>
      </c>
      <c r="H541" s="59">
        <f>H542</f>
        <v>740</v>
      </c>
      <c r="I541" s="376"/>
      <c r="J541" s="226">
        <f>H541*I541</f>
        <v>0</v>
      </c>
    </row>
    <row r="542" spans="1:10">
      <c r="A542" s="256"/>
      <c r="B542" s="301"/>
      <c r="C542" s="302"/>
      <c r="D542" s="33" t="s">
        <v>691</v>
      </c>
      <c r="E542" s="34" t="s">
        <v>692</v>
      </c>
      <c r="F542" s="35"/>
      <c r="G542" s="36" t="s">
        <v>7</v>
      </c>
      <c r="H542" s="58">
        <v>740</v>
      </c>
      <c r="I542" s="222"/>
      <c r="J542" s="223"/>
    </row>
    <row r="543" spans="1:10">
      <c r="A543" s="256"/>
      <c r="B543" s="301"/>
      <c r="C543" s="302"/>
      <c r="D543" s="303"/>
      <c r="E543" s="258" t="s">
        <v>693</v>
      </c>
      <c r="F543" s="279"/>
      <c r="G543" s="185"/>
      <c r="H543" s="269"/>
      <c r="I543" s="222"/>
      <c r="J543" s="223"/>
    </row>
    <row r="544" spans="1:10">
      <c r="A544" s="256"/>
      <c r="B544" s="301"/>
      <c r="C544" s="302"/>
      <c r="D544" s="303"/>
      <c r="E544" s="268" t="s">
        <v>694</v>
      </c>
      <c r="F544" s="270">
        <v>740</v>
      </c>
      <c r="G544" s="185"/>
      <c r="H544" s="269"/>
      <c r="I544" s="222"/>
      <c r="J544" s="223"/>
    </row>
    <row r="545" spans="1:10">
      <c r="A545" s="256"/>
      <c r="B545" s="301"/>
      <c r="C545" s="302"/>
      <c r="D545" s="303"/>
      <c r="E545" s="268"/>
      <c r="F545" s="270"/>
      <c r="G545" s="185"/>
      <c r="H545" s="269"/>
      <c r="I545" s="222"/>
      <c r="J545" s="223"/>
    </row>
    <row r="546" spans="1:10">
      <c r="A546" s="25">
        <f>MAX(A$1:A541)+1</f>
        <v>51</v>
      </c>
      <c r="B546" s="41"/>
      <c r="C546" s="26" t="s">
        <v>695</v>
      </c>
      <c r="D546" s="27"/>
      <c r="E546" s="28" t="s">
        <v>696</v>
      </c>
      <c r="F546" s="29"/>
      <c r="G546" s="30" t="s">
        <v>7</v>
      </c>
      <c r="H546" s="59">
        <v>13</v>
      </c>
      <c r="I546" s="376"/>
      <c r="J546" s="226">
        <f>H546*I546</f>
        <v>0</v>
      </c>
    </row>
    <row r="547" spans="1:10">
      <c r="A547" s="256"/>
      <c r="B547" s="301"/>
      <c r="C547" s="302"/>
      <c r="D547" s="303"/>
      <c r="E547" s="268" t="s">
        <v>697</v>
      </c>
      <c r="F547" s="270">
        <v>13</v>
      </c>
      <c r="G547" s="185"/>
      <c r="H547" s="269"/>
      <c r="I547" s="222"/>
      <c r="J547" s="223"/>
    </row>
    <row r="548" spans="1:10">
      <c r="A548" s="256"/>
      <c r="B548" s="301"/>
      <c r="C548" s="302"/>
      <c r="D548" s="303"/>
      <c r="E548" s="268" t="s">
        <v>698</v>
      </c>
      <c r="F548" s="270"/>
      <c r="G548" s="185"/>
      <c r="H548" s="269"/>
      <c r="I548" s="222"/>
      <c r="J548" s="223"/>
    </row>
    <row r="549" spans="1:10">
      <c r="A549" s="256"/>
      <c r="B549" s="301"/>
      <c r="C549" s="302"/>
      <c r="D549" s="303"/>
      <c r="E549" s="268"/>
      <c r="F549" s="270"/>
      <c r="G549" s="185"/>
      <c r="H549" s="269"/>
      <c r="I549" s="222"/>
      <c r="J549" s="223"/>
    </row>
    <row r="550" spans="1:10">
      <c r="A550" s="40"/>
      <c r="B550" s="41"/>
      <c r="C550" s="42"/>
      <c r="D550" s="296"/>
      <c r="E550" s="297"/>
      <c r="F550" s="32"/>
      <c r="G550" s="24"/>
      <c r="H550" s="58"/>
      <c r="I550" s="222"/>
      <c r="J550" s="223"/>
    </row>
    <row r="551" spans="1:10" ht="25.5">
      <c r="A551" s="25"/>
      <c r="B551" s="280" t="s">
        <v>95</v>
      </c>
      <c r="C551" s="280"/>
      <c r="D551" s="282"/>
      <c r="E551" s="251" t="s">
        <v>100</v>
      </c>
      <c r="F551" s="298"/>
      <c r="G551" s="285"/>
      <c r="H551" s="58"/>
      <c r="I551" s="222"/>
      <c r="J551" s="223"/>
    </row>
    <row r="552" spans="1:10">
      <c r="A552" s="40"/>
      <c r="B552" s="41"/>
      <c r="C552" s="42"/>
      <c r="D552" s="296"/>
      <c r="E552" s="195"/>
      <c r="F552" s="354"/>
      <c r="G552" s="24"/>
      <c r="H552" s="58"/>
      <c r="I552" s="222"/>
      <c r="J552" s="223"/>
    </row>
    <row r="553" spans="1:10">
      <c r="A553" s="355"/>
      <c r="B553" s="301"/>
      <c r="C553" s="302"/>
      <c r="D553" s="303"/>
      <c r="E553" s="247"/>
      <c r="F553" s="356"/>
      <c r="G553" s="185"/>
      <c r="H553" s="269"/>
      <c r="I553" s="222"/>
      <c r="J553" s="223"/>
    </row>
    <row r="554" spans="1:10" ht="25.5">
      <c r="A554" s="25">
        <f>MAX(A$1:A552)+1</f>
        <v>52</v>
      </c>
      <c r="B554" s="301"/>
      <c r="C554" s="26" t="s">
        <v>432</v>
      </c>
      <c r="D554" s="27"/>
      <c r="E554" s="28" t="s">
        <v>433</v>
      </c>
      <c r="F554" s="29"/>
      <c r="G554" s="30" t="s">
        <v>8</v>
      </c>
      <c r="H554" s="59">
        <f>H555</f>
        <v>41.99</v>
      </c>
      <c r="I554" s="376"/>
      <c r="J554" s="226">
        <f>H554*I554</f>
        <v>0</v>
      </c>
    </row>
    <row r="555" spans="1:10" ht="25.5">
      <c r="A555" s="355"/>
      <c r="B555" s="301"/>
      <c r="C555" s="39"/>
      <c r="D555" s="33" t="s">
        <v>434</v>
      </c>
      <c r="E555" s="34" t="s">
        <v>435</v>
      </c>
      <c r="F555" s="35"/>
      <c r="G555" s="36" t="s">
        <v>8</v>
      </c>
      <c r="H555" s="58">
        <v>41.99</v>
      </c>
      <c r="I555" s="222"/>
      <c r="J555" s="223"/>
    </row>
    <row r="556" spans="1:10">
      <c r="A556" s="355"/>
      <c r="B556" s="301"/>
      <c r="C556" s="39"/>
      <c r="D556" s="33"/>
      <c r="E556" s="307" t="s">
        <v>667</v>
      </c>
      <c r="F556" s="35"/>
      <c r="G556" s="36"/>
      <c r="H556" s="269"/>
      <c r="I556" s="222"/>
      <c r="J556" s="223"/>
    </row>
    <row r="557" spans="1:10">
      <c r="A557" s="355"/>
      <c r="B557" s="301"/>
      <c r="C557" s="39"/>
      <c r="D557" s="33"/>
      <c r="E557" s="258" t="s">
        <v>699</v>
      </c>
      <c r="F557" s="35"/>
      <c r="G557" s="36"/>
      <c r="H557" s="269"/>
      <c r="I557" s="222"/>
      <c r="J557" s="223"/>
    </row>
    <row r="558" spans="1:10">
      <c r="A558" s="355"/>
      <c r="B558" s="301"/>
      <c r="C558" s="302"/>
      <c r="D558" s="303"/>
      <c r="E558" s="387" t="s">
        <v>700</v>
      </c>
      <c r="F558" s="31">
        <f>116*0.04</f>
        <v>4.6399999999999997</v>
      </c>
      <c r="G558" s="185"/>
      <c r="H558" s="269"/>
      <c r="I558" s="222"/>
      <c r="J558" s="223"/>
    </row>
    <row r="559" spans="1:10">
      <c r="A559" s="355"/>
      <c r="B559" s="301"/>
      <c r="C559" s="302"/>
      <c r="D559" s="303"/>
      <c r="E559" s="387"/>
      <c r="F559" s="31"/>
      <c r="G559" s="185"/>
      <c r="H559" s="269"/>
      <c r="I559" s="222"/>
      <c r="J559" s="223"/>
    </row>
    <row r="560" spans="1:10">
      <c r="A560" s="355"/>
      <c r="B560" s="301"/>
      <c r="C560" s="302"/>
      <c r="D560" s="303"/>
      <c r="E560" s="307" t="s">
        <v>399</v>
      </c>
      <c r="F560" s="356"/>
      <c r="G560" s="185"/>
      <c r="H560" s="269"/>
      <c r="I560" s="222"/>
      <c r="J560" s="223"/>
    </row>
    <row r="561" spans="1:10">
      <c r="A561" s="355"/>
      <c r="B561" s="301"/>
      <c r="C561" s="302"/>
      <c r="D561" s="303"/>
      <c r="E561" s="258" t="s">
        <v>436</v>
      </c>
      <c r="F561" s="35"/>
      <c r="G561" s="185"/>
      <c r="H561" s="269"/>
      <c r="I561" s="222"/>
      <c r="J561" s="223"/>
    </row>
    <row r="562" spans="1:10">
      <c r="A562" s="355"/>
      <c r="B562" s="301"/>
      <c r="C562" s="302"/>
      <c r="D562" s="303"/>
      <c r="E562" s="387" t="s">
        <v>701</v>
      </c>
      <c r="F562" s="388">
        <f>1245*0.03</f>
        <v>37.35</v>
      </c>
      <c r="G562" s="185"/>
      <c r="H562" s="269"/>
      <c r="I562" s="222"/>
      <c r="J562" s="223"/>
    </row>
    <row r="563" spans="1:10">
      <c r="A563" s="355"/>
      <c r="B563" s="301"/>
      <c r="C563" s="302"/>
      <c r="D563" s="303"/>
      <c r="E563" s="307"/>
      <c r="F563" s="31">
        <f>SUM(F558:F562)</f>
        <v>41.99</v>
      </c>
      <c r="G563" s="185"/>
      <c r="H563" s="269"/>
      <c r="I563" s="222"/>
      <c r="J563" s="223"/>
    </row>
    <row r="564" spans="1:10">
      <c r="A564" s="355"/>
      <c r="B564" s="301"/>
      <c r="C564" s="302"/>
      <c r="D564" s="303"/>
      <c r="E564" s="307"/>
      <c r="F564" s="356"/>
      <c r="G564" s="185"/>
      <c r="H564" s="269"/>
      <c r="I564" s="222"/>
      <c r="J564" s="223"/>
    </row>
    <row r="565" spans="1:10">
      <c r="A565" s="355"/>
      <c r="B565" s="301"/>
      <c r="C565" s="302"/>
      <c r="D565" s="303"/>
      <c r="E565" s="307"/>
      <c r="F565" s="356"/>
      <c r="G565" s="185"/>
      <c r="H565" s="269"/>
      <c r="I565" s="222"/>
      <c r="J565" s="223"/>
    </row>
    <row r="566" spans="1:10" ht="25.5">
      <c r="A566" s="25">
        <f>MAX(A$1:A565)+1</f>
        <v>53</v>
      </c>
      <c r="B566" s="41"/>
      <c r="C566" s="26" t="s">
        <v>73</v>
      </c>
      <c r="D566" s="27"/>
      <c r="E566" s="28" t="s">
        <v>74</v>
      </c>
      <c r="F566" s="254"/>
      <c r="G566" s="30" t="s">
        <v>8</v>
      </c>
      <c r="H566" s="59">
        <v>454.95</v>
      </c>
      <c r="I566" s="376"/>
      <c r="J566" s="226">
        <f>H566*I566</f>
        <v>0</v>
      </c>
    </row>
    <row r="567" spans="1:10">
      <c r="A567" s="25"/>
      <c r="B567" s="41"/>
      <c r="C567" s="26"/>
      <c r="D567" s="27"/>
      <c r="E567" s="307" t="s">
        <v>363</v>
      </c>
      <c r="F567" s="254"/>
      <c r="G567" s="30"/>
      <c r="H567" s="59"/>
      <c r="I567" s="222"/>
      <c r="J567" s="223"/>
    </row>
    <row r="568" spans="1:10">
      <c r="A568" s="355"/>
      <c r="B568" s="301"/>
      <c r="C568" s="302"/>
      <c r="D568" s="303"/>
      <c r="E568" s="258" t="s">
        <v>439</v>
      </c>
      <c r="F568" s="356"/>
      <c r="G568" s="185"/>
      <c r="H568" s="269"/>
      <c r="I568" s="222"/>
      <c r="J568" s="223"/>
    </row>
    <row r="569" spans="1:10">
      <c r="A569" s="355"/>
      <c r="B569" s="301"/>
      <c r="C569" s="302"/>
      <c r="D569" s="303"/>
      <c r="E569" s="195" t="s">
        <v>264</v>
      </c>
      <c r="F569" s="270">
        <v>0</v>
      </c>
      <c r="G569" s="185"/>
      <c r="H569" s="269"/>
      <c r="I569" s="222"/>
      <c r="J569" s="223"/>
    </row>
    <row r="570" spans="1:10">
      <c r="A570" s="355"/>
      <c r="B570" s="301"/>
      <c r="C570" s="302"/>
      <c r="D570" s="303"/>
      <c r="E570" s="195" t="s">
        <v>702</v>
      </c>
      <c r="F570" s="270">
        <f>110*0.2</f>
        <v>22</v>
      </c>
      <c r="G570" s="185"/>
      <c r="H570" s="269"/>
      <c r="I570" s="222"/>
      <c r="J570" s="223"/>
    </row>
    <row r="571" spans="1:10">
      <c r="A571" s="355"/>
      <c r="B571" s="301"/>
      <c r="C571" s="302"/>
      <c r="D571" s="303"/>
      <c r="E571" s="195" t="s">
        <v>265</v>
      </c>
      <c r="F571" s="270">
        <v>0</v>
      </c>
      <c r="G571" s="185"/>
      <c r="H571" s="269"/>
      <c r="I571" s="222"/>
      <c r="J571" s="223"/>
    </row>
    <row r="572" spans="1:10">
      <c r="A572" s="355"/>
      <c r="B572" s="301"/>
      <c r="C572" s="302"/>
      <c r="D572" s="303"/>
      <c r="E572" s="195" t="s">
        <v>703</v>
      </c>
      <c r="F572" s="270">
        <f>628*0.2</f>
        <v>125.60000000000001</v>
      </c>
      <c r="G572" s="185"/>
      <c r="H572" s="269"/>
      <c r="I572" s="222"/>
      <c r="J572" s="223"/>
    </row>
    <row r="573" spans="1:10">
      <c r="A573" s="355"/>
      <c r="B573" s="301"/>
      <c r="C573" s="302"/>
      <c r="D573" s="303"/>
      <c r="E573" s="195" t="s">
        <v>704</v>
      </c>
      <c r="F573" s="270">
        <f>257*0.2</f>
        <v>51.400000000000006</v>
      </c>
      <c r="G573" s="185"/>
      <c r="H573" s="269"/>
      <c r="I573" s="222"/>
      <c r="J573" s="223"/>
    </row>
    <row r="574" spans="1:10">
      <c r="A574" s="355"/>
      <c r="B574" s="301"/>
      <c r="C574" s="302"/>
      <c r="D574" s="303"/>
      <c r="E574" s="195" t="s">
        <v>705</v>
      </c>
      <c r="F574" s="304">
        <f>200*0.2</f>
        <v>40</v>
      </c>
      <c r="G574" s="185"/>
      <c r="H574" s="269"/>
      <c r="I574" s="222"/>
      <c r="J574" s="223"/>
    </row>
    <row r="575" spans="1:10">
      <c r="A575" s="355"/>
      <c r="B575" s="301"/>
      <c r="C575" s="302"/>
      <c r="D575" s="303"/>
      <c r="E575" s="305"/>
      <c r="F575" s="270">
        <f>SUM(F569:F574)</f>
        <v>239.00000000000003</v>
      </c>
      <c r="G575" s="185"/>
      <c r="H575" s="269"/>
      <c r="I575" s="222"/>
      <c r="J575" s="223"/>
    </row>
    <row r="576" spans="1:10">
      <c r="A576" s="355"/>
      <c r="B576" s="301"/>
      <c r="C576" s="302"/>
      <c r="D576" s="303"/>
      <c r="E576" s="307" t="s">
        <v>392</v>
      </c>
      <c r="F576" s="270"/>
      <c r="G576" s="185"/>
      <c r="H576" s="269"/>
      <c r="I576" s="222"/>
      <c r="J576" s="223"/>
    </row>
    <row r="577" spans="1:10">
      <c r="A577" s="355"/>
      <c r="B577" s="301"/>
      <c r="C577" s="302"/>
      <c r="D577" s="303"/>
      <c r="E577" s="258" t="s">
        <v>443</v>
      </c>
      <c r="F577" s="270"/>
      <c r="G577" s="185"/>
      <c r="H577" s="269"/>
      <c r="I577" s="222"/>
      <c r="J577" s="223"/>
    </row>
    <row r="578" spans="1:10">
      <c r="A578" s="355"/>
      <c r="B578" s="301"/>
      <c r="C578" s="302"/>
      <c r="D578" s="303"/>
      <c r="E578" s="195" t="s">
        <v>706</v>
      </c>
      <c r="F578" s="270">
        <f>26*0.15</f>
        <v>3.9</v>
      </c>
      <c r="G578" s="185"/>
      <c r="H578" s="269"/>
      <c r="I578" s="222"/>
      <c r="J578" s="223"/>
    </row>
    <row r="579" spans="1:10">
      <c r="A579" s="355"/>
      <c r="B579" s="301"/>
      <c r="C579" s="302"/>
      <c r="D579" s="303"/>
      <c r="E579" s="195" t="s">
        <v>707</v>
      </c>
      <c r="F579" s="304">
        <f>14*0.15</f>
        <v>2.1</v>
      </c>
      <c r="G579" s="185"/>
      <c r="H579" s="269"/>
      <c r="I579" s="222"/>
      <c r="J579" s="223"/>
    </row>
    <row r="580" spans="1:10">
      <c r="A580" s="355"/>
      <c r="B580" s="301"/>
      <c r="C580" s="302"/>
      <c r="D580" s="303"/>
      <c r="E580" s="195"/>
      <c r="F580" s="270">
        <f>SUM(F578:F579)</f>
        <v>6</v>
      </c>
      <c r="G580" s="185"/>
      <c r="H580" s="269"/>
      <c r="I580" s="222"/>
      <c r="J580" s="223"/>
    </row>
    <row r="581" spans="1:10">
      <c r="A581" s="355"/>
      <c r="B581" s="301"/>
      <c r="C581" s="302"/>
      <c r="D581" s="303"/>
      <c r="E581" s="307" t="s">
        <v>667</v>
      </c>
      <c r="F581" s="270"/>
      <c r="G581" s="185"/>
      <c r="H581" s="269"/>
      <c r="I581" s="222"/>
      <c r="J581" s="223"/>
    </row>
    <row r="582" spans="1:10">
      <c r="A582" s="355"/>
      <c r="B582" s="301"/>
      <c r="C582" s="302"/>
      <c r="D582" s="303"/>
      <c r="E582" s="258" t="s">
        <v>708</v>
      </c>
      <c r="F582" s="270"/>
      <c r="G582" s="185"/>
      <c r="H582" s="269"/>
      <c r="I582" s="222"/>
      <c r="J582" s="223"/>
    </row>
    <row r="583" spans="1:10">
      <c r="A583" s="355"/>
      <c r="B583" s="301"/>
      <c r="C583" s="302"/>
      <c r="D583" s="303"/>
      <c r="E583" s="195" t="s">
        <v>709</v>
      </c>
      <c r="F583" s="270">
        <f>116*0.2</f>
        <v>23.200000000000003</v>
      </c>
      <c r="G583" s="185"/>
      <c r="H583" s="269"/>
      <c r="I583" s="222"/>
      <c r="J583" s="223"/>
    </row>
    <row r="584" spans="1:10">
      <c r="A584" s="355"/>
      <c r="B584" s="301"/>
      <c r="C584" s="302"/>
      <c r="D584" s="303"/>
      <c r="E584" s="195"/>
      <c r="F584" s="270"/>
      <c r="G584" s="185"/>
      <c r="H584" s="269"/>
      <c r="I584" s="222"/>
      <c r="J584" s="223"/>
    </row>
    <row r="585" spans="1:10">
      <c r="A585" s="355"/>
      <c r="B585" s="301"/>
      <c r="C585" s="302"/>
      <c r="D585" s="303"/>
      <c r="E585" s="307" t="s">
        <v>399</v>
      </c>
      <c r="F585" s="270"/>
      <c r="G585" s="185"/>
      <c r="H585" s="269"/>
      <c r="I585" s="222"/>
      <c r="J585" s="223"/>
    </row>
    <row r="586" spans="1:10">
      <c r="A586" s="355"/>
      <c r="B586" s="301"/>
      <c r="C586" s="302"/>
      <c r="D586" s="303"/>
      <c r="E586" s="258" t="s">
        <v>446</v>
      </c>
      <c r="F586" s="270"/>
      <c r="G586" s="185"/>
      <c r="H586" s="269"/>
      <c r="I586" s="222"/>
      <c r="J586" s="223"/>
    </row>
    <row r="587" spans="1:10">
      <c r="A587" s="355"/>
      <c r="B587" s="301"/>
      <c r="C587" s="302"/>
      <c r="D587" s="303"/>
      <c r="E587" s="195" t="s">
        <v>710</v>
      </c>
      <c r="F587" s="270">
        <f>1245*0.15</f>
        <v>186.75</v>
      </c>
      <c r="G587" s="185"/>
      <c r="H587" s="269"/>
      <c r="I587" s="222"/>
      <c r="J587" s="223"/>
    </row>
    <row r="588" spans="1:10">
      <c r="A588" s="355"/>
      <c r="B588" s="301"/>
      <c r="C588" s="302"/>
      <c r="D588" s="303"/>
      <c r="E588" s="381" t="s">
        <v>117</v>
      </c>
      <c r="F588" s="340">
        <f>F575+F580+F583+F587</f>
        <v>454.95000000000005</v>
      </c>
      <c r="G588" s="185"/>
      <c r="H588" s="269"/>
      <c r="I588" s="222"/>
      <c r="J588" s="223"/>
    </row>
    <row r="589" spans="1:10">
      <c r="A589" s="355"/>
      <c r="B589" s="301"/>
      <c r="C589" s="302"/>
      <c r="D589" s="303"/>
      <c r="E589" s="247"/>
      <c r="F589" s="356"/>
      <c r="G589" s="185"/>
      <c r="H589" s="269"/>
      <c r="I589" s="222"/>
      <c r="J589" s="223"/>
    </row>
    <row r="590" spans="1:10" ht="25.5">
      <c r="A590" s="25">
        <f>MAX(A$1:A589)+1</f>
        <v>54</v>
      </c>
      <c r="B590" s="41"/>
      <c r="C590" s="26" t="s">
        <v>75</v>
      </c>
      <c r="D590" s="27"/>
      <c r="E590" s="28" t="s">
        <v>76</v>
      </c>
      <c r="F590" s="254"/>
      <c r="G590" s="30" t="s">
        <v>8</v>
      </c>
      <c r="H590" s="59">
        <f>H591</f>
        <v>28</v>
      </c>
      <c r="I590" s="376"/>
      <c r="J590" s="226">
        <f>H590*I590</f>
        <v>0</v>
      </c>
    </row>
    <row r="591" spans="1:10" ht="25.5">
      <c r="A591" s="40"/>
      <c r="B591" s="41"/>
      <c r="C591" s="39"/>
      <c r="D591" s="33" t="s">
        <v>77</v>
      </c>
      <c r="E591" s="34" t="s">
        <v>78</v>
      </c>
      <c r="F591" s="255"/>
      <c r="G591" s="36" t="s">
        <v>8</v>
      </c>
      <c r="H591" s="58">
        <v>28</v>
      </c>
      <c r="I591" s="222"/>
      <c r="J591" s="223"/>
    </row>
    <row r="592" spans="1:10">
      <c r="A592" s="355"/>
      <c r="B592" s="301"/>
      <c r="C592" s="302"/>
      <c r="D592" s="303"/>
      <c r="E592" s="258" t="s">
        <v>449</v>
      </c>
      <c r="F592" s="356"/>
      <c r="G592" s="185"/>
      <c r="H592" s="269"/>
      <c r="I592" s="222"/>
      <c r="J592" s="223"/>
    </row>
    <row r="593" spans="1:10">
      <c r="A593" s="355"/>
      <c r="B593" s="301"/>
      <c r="C593" s="302"/>
      <c r="D593" s="303"/>
      <c r="E593" s="195" t="s">
        <v>264</v>
      </c>
      <c r="F593" s="270">
        <v>8</v>
      </c>
      <c r="G593" s="185"/>
      <c r="H593" s="269"/>
      <c r="I593" s="222"/>
      <c r="J593" s="223"/>
    </row>
    <row r="594" spans="1:10">
      <c r="A594" s="355"/>
      <c r="B594" s="301"/>
      <c r="C594" s="302"/>
      <c r="D594" s="303"/>
      <c r="E594" s="195" t="s">
        <v>589</v>
      </c>
      <c r="F594" s="270">
        <v>0</v>
      </c>
      <c r="G594" s="185"/>
      <c r="H594" s="269"/>
      <c r="I594" s="222"/>
      <c r="J594" s="223"/>
    </row>
    <row r="595" spans="1:10">
      <c r="A595" s="355"/>
      <c r="B595" s="301"/>
      <c r="C595" s="302"/>
      <c r="D595" s="303"/>
      <c r="E595" s="195" t="s">
        <v>265</v>
      </c>
      <c r="F595" s="270">
        <v>8</v>
      </c>
      <c r="G595" s="185"/>
      <c r="H595" s="269"/>
      <c r="I595" s="222"/>
      <c r="J595" s="223"/>
    </row>
    <row r="596" spans="1:10">
      <c r="A596" s="355"/>
      <c r="B596" s="301"/>
      <c r="C596" s="302"/>
      <c r="D596" s="303"/>
      <c r="E596" s="195" t="s">
        <v>578</v>
      </c>
      <c r="F596" s="270">
        <v>6</v>
      </c>
      <c r="G596" s="185"/>
      <c r="H596" s="269"/>
      <c r="I596" s="222"/>
      <c r="J596" s="223"/>
    </row>
    <row r="597" spans="1:10">
      <c r="A597" s="355"/>
      <c r="B597" s="301"/>
      <c r="C597" s="302"/>
      <c r="D597" s="303"/>
      <c r="E597" s="195" t="s">
        <v>580</v>
      </c>
      <c r="F597" s="270">
        <v>5</v>
      </c>
      <c r="G597" s="185"/>
      <c r="H597" s="269"/>
      <c r="I597" s="222"/>
      <c r="J597" s="223"/>
    </row>
    <row r="598" spans="1:10">
      <c r="A598" s="355"/>
      <c r="B598" s="301"/>
      <c r="C598" s="302"/>
      <c r="D598" s="303"/>
      <c r="E598" s="195" t="s">
        <v>266</v>
      </c>
      <c r="F598" s="304">
        <v>1</v>
      </c>
      <c r="G598" s="185"/>
      <c r="H598" s="269"/>
      <c r="I598" s="222"/>
      <c r="J598" s="223"/>
    </row>
    <row r="599" spans="1:10">
      <c r="A599" s="355"/>
      <c r="B599" s="301"/>
      <c r="C599" s="302"/>
      <c r="D599" s="303"/>
      <c r="E599" s="305"/>
      <c r="F599" s="270">
        <f>SUM(F593:F598)</f>
        <v>28</v>
      </c>
      <c r="G599" s="185"/>
      <c r="H599" s="269"/>
      <c r="I599" s="222"/>
      <c r="J599" s="223"/>
    </row>
    <row r="600" spans="1:10">
      <c r="A600" s="355"/>
      <c r="B600" s="301"/>
      <c r="C600" s="302"/>
      <c r="D600" s="303"/>
      <c r="E600" s="247"/>
      <c r="F600" s="356"/>
      <c r="G600" s="185"/>
      <c r="H600" s="269"/>
      <c r="I600" s="222"/>
      <c r="J600" s="223"/>
    </row>
    <row r="601" spans="1:10" ht="25.5">
      <c r="A601" s="25">
        <f>MAX(A$1:A600)+1</f>
        <v>55</v>
      </c>
      <c r="B601" s="301"/>
      <c r="C601" s="26" t="s">
        <v>451</v>
      </c>
      <c r="D601" s="27"/>
      <c r="E601" s="28" t="s">
        <v>452</v>
      </c>
      <c r="F601" s="29"/>
      <c r="G601" s="30" t="s">
        <v>8</v>
      </c>
      <c r="H601" s="59">
        <f>H602</f>
        <v>2.71</v>
      </c>
      <c r="I601" s="376"/>
      <c r="J601" s="226">
        <f>H601*I601</f>
        <v>0</v>
      </c>
    </row>
    <row r="602" spans="1:10" ht="38.25">
      <c r="A602" s="355"/>
      <c r="B602" s="301"/>
      <c r="C602" s="302"/>
      <c r="D602" s="33" t="s">
        <v>453</v>
      </c>
      <c r="E602" s="35" t="s">
        <v>454</v>
      </c>
      <c r="F602" s="35"/>
      <c r="G602" s="36" t="s">
        <v>8</v>
      </c>
      <c r="H602" s="58">
        <v>2.71</v>
      </c>
      <c r="I602" s="222"/>
      <c r="J602" s="223"/>
    </row>
    <row r="603" spans="1:10">
      <c r="A603" s="355"/>
      <c r="B603" s="301"/>
      <c r="C603" s="302"/>
      <c r="D603" s="303"/>
      <c r="E603" s="307" t="s">
        <v>392</v>
      </c>
      <c r="F603" s="279"/>
      <c r="G603" s="185"/>
      <c r="H603" s="269"/>
      <c r="I603" s="222"/>
      <c r="J603" s="223"/>
    </row>
    <row r="604" spans="1:10" ht="25.5">
      <c r="A604" s="355"/>
      <c r="B604" s="301"/>
      <c r="C604" s="302"/>
      <c r="D604" s="303"/>
      <c r="E604" s="258" t="s">
        <v>455</v>
      </c>
      <c r="F604" s="279"/>
      <c r="G604" s="185"/>
      <c r="H604" s="269"/>
      <c r="I604" s="222"/>
      <c r="J604" s="223"/>
    </row>
    <row r="605" spans="1:10">
      <c r="A605" s="355"/>
      <c r="B605" s="301"/>
      <c r="C605" s="302"/>
      <c r="D605" s="303"/>
      <c r="E605" s="195" t="s">
        <v>711</v>
      </c>
      <c r="F605" s="270">
        <f>22*0.085</f>
        <v>1.87</v>
      </c>
      <c r="G605" s="185"/>
      <c r="H605" s="269"/>
      <c r="I605" s="222"/>
      <c r="J605" s="223"/>
    </row>
    <row r="606" spans="1:10">
      <c r="A606" s="355"/>
      <c r="B606" s="301"/>
      <c r="C606" s="302"/>
      <c r="D606" s="303"/>
      <c r="E606" s="195" t="s">
        <v>712</v>
      </c>
      <c r="F606" s="304">
        <f>12*0.07</f>
        <v>0.84000000000000008</v>
      </c>
      <c r="G606" s="185"/>
      <c r="H606" s="269"/>
      <c r="I606" s="222"/>
      <c r="J606" s="223"/>
    </row>
    <row r="607" spans="1:10">
      <c r="A607" s="355"/>
      <c r="B607" s="301"/>
      <c r="C607" s="302"/>
      <c r="D607" s="303"/>
      <c r="E607" s="247"/>
      <c r="F607" s="31">
        <f>SUM(F605:F606)</f>
        <v>2.71</v>
      </c>
      <c r="G607" s="185"/>
      <c r="H607" s="269"/>
      <c r="I607" s="222"/>
      <c r="J607" s="223"/>
    </row>
    <row r="608" spans="1:10">
      <c r="A608" s="355"/>
      <c r="B608" s="301"/>
      <c r="C608" s="302"/>
      <c r="D608" s="303"/>
      <c r="E608" s="247"/>
      <c r="F608" s="356"/>
      <c r="G608" s="185"/>
      <c r="H608" s="269"/>
      <c r="I608" s="222"/>
      <c r="J608" s="223"/>
    </row>
    <row r="609" spans="1:10" ht="38.25">
      <c r="A609" s="25">
        <f>MAX(A$1:A607)+1</f>
        <v>56</v>
      </c>
      <c r="B609" s="41"/>
      <c r="C609" s="26" t="s">
        <v>79</v>
      </c>
      <c r="D609" s="27"/>
      <c r="E609" s="28" t="s">
        <v>80</v>
      </c>
      <c r="F609" s="254"/>
      <c r="G609" s="30" t="s">
        <v>8</v>
      </c>
      <c r="H609" s="59">
        <f>H610</f>
        <v>179.05</v>
      </c>
      <c r="I609" s="376"/>
      <c r="J609" s="226">
        <f>H609*I609</f>
        <v>0</v>
      </c>
    </row>
    <row r="610" spans="1:10" ht="38.25">
      <c r="A610" s="40"/>
      <c r="B610" s="41"/>
      <c r="C610" s="42"/>
      <c r="D610" s="33" t="s">
        <v>81</v>
      </c>
      <c r="E610" s="34" t="s">
        <v>82</v>
      </c>
      <c r="F610" s="255"/>
      <c r="G610" s="36" t="s">
        <v>8</v>
      </c>
      <c r="H610" s="58">
        <v>179.05</v>
      </c>
      <c r="I610" s="222"/>
      <c r="J610" s="223"/>
    </row>
    <row r="611" spans="1:10">
      <c r="A611" s="40"/>
      <c r="B611" s="41"/>
      <c r="C611" s="42"/>
      <c r="D611" s="33"/>
      <c r="E611" s="307" t="s">
        <v>363</v>
      </c>
      <c r="F611" s="255"/>
      <c r="G611" s="36"/>
      <c r="H611" s="58"/>
      <c r="I611" s="222"/>
      <c r="J611" s="223"/>
    </row>
    <row r="612" spans="1:10" ht="15.75">
      <c r="A612" s="355"/>
      <c r="B612" s="301"/>
      <c r="C612" s="302"/>
      <c r="D612" s="303"/>
      <c r="E612" s="258" t="s">
        <v>458</v>
      </c>
      <c r="F612" s="356"/>
      <c r="G612" s="185"/>
      <c r="H612" s="269"/>
      <c r="I612" s="222"/>
      <c r="J612" s="223"/>
    </row>
    <row r="613" spans="1:10">
      <c r="A613" s="355"/>
      <c r="B613" s="301"/>
      <c r="C613" s="302"/>
      <c r="D613" s="303"/>
      <c r="E613" s="195" t="s">
        <v>264</v>
      </c>
      <c r="F613" s="270">
        <v>0</v>
      </c>
      <c r="G613" s="185"/>
      <c r="H613" s="269"/>
      <c r="I613" s="222"/>
      <c r="J613" s="223"/>
    </row>
    <row r="614" spans="1:10">
      <c r="A614" s="355"/>
      <c r="B614" s="301"/>
      <c r="C614" s="302"/>
      <c r="D614" s="303"/>
      <c r="E614" s="195" t="s">
        <v>713</v>
      </c>
      <c r="F614" s="270">
        <f>100*0.15</f>
        <v>15</v>
      </c>
      <c r="G614" s="185"/>
      <c r="H614" s="269"/>
      <c r="I614" s="222"/>
      <c r="J614" s="223"/>
    </row>
    <row r="615" spans="1:10">
      <c r="A615" s="355"/>
      <c r="B615" s="301"/>
      <c r="C615" s="302"/>
      <c r="D615" s="303"/>
      <c r="E615" s="195" t="s">
        <v>265</v>
      </c>
      <c r="F615" s="270">
        <v>0</v>
      </c>
      <c r="G615" s="185"/>
      <c r="H615" s="269"/>
      <c r="I615" s="222"/>
      <c r="J615" s="223"/>
    </row>
    <row r="616" spans="1:10">
      <c r="A616" s="355"/>
      <c r="B616" s="301"/>
      <c r="C616" s="302"/>
      <c r="D616" s="303"/>
      <c r="E616" s="195" t="s">
        <v>714</v>
      </c>
      <c r="F616" s="270">
        <f>571*0.15</f>
        <v>85.649999999999991</v>
      </c>
      <c r="G616" s="185"/>
      <c r="H616" s="269"/>
      <c r="I616" s="222"/>
      <c r="J616" s="223"/>
    </row>
    <row r="617" spans="1:10">
      <c r="A617" s="355"/>
      <c r="B617" s="301"/>
      <c r="C617" s="302"/>
      <c r="D617" s="303"/>
      <c r="E617" s="195" t="s">
        <v>715</v>
      </c>
      <c r="F617" s="270">
        <f>234*0.15</f>
        <v>35.1</v>
      </c>
      <c r="G617" s="185"/>
      <c r="H617" s="269"/>
      <c r="I617" s="222"/>
      <c r="J617" s="223"/>
    </row>
    <row r="618" spans="1:10">
      <c r="A618" s="355"/>
      <c r="B618" s="301"/>
      <c r="C618" s="302"/>
      <c r="D618" s="303"/>
      <c r="E618" s="195" t="s">
        <v>716</v>
      </c>
      <c r="F618" s="304">
        <f>182*0.15</f>
        <v>27.3</v>
      </c>
      <c r="G618" s="185"/>
      <c r="H618" s="269"/>
      <c r="I618" s="222"/>
      <c r="J618" s="223"/>
    </row>
    <row r="619" spans="1:10">
      <c r="A619" s="355"/>
      <c r="B619" s="301"/>
      <c r="C619" s="302"/>
      <c r="D619" s="303"/>
      <c r="E619" s="305"/>
      <c r="F619" s="270">
        <f>SUM(F613:F618)</f>
        <v>163.05000000000001</v>
      </c>
      <c r="G619" s="185"/>
      <c r="H619" s="269"/>
      <c r="I619" s="222"/>
      <c r="J619" s="223"/>
    </row>
    <row r="620" spans="1:10">
      <c r="A620" s="355"/>
      <c r="B620" s="301"/>
      <c r="C620" s="302"/>
      <c r="D620" s="303"/>
      <c r="E620" s="307" t="s">
        <v>392</v>
      </c>
      <c r="F620" s="356"/>
      <c r="G620" s="185"/>
      <c r="H620" s="269"/>
      <c r="I620" s="222"/>
      <c r="J620" s="223"/>
    </row>
    <row r="621" spans="1:10" ht="15.75">
      <c r="A621" s="355"/>
      <c r="B621" s="301"/>
      <c r="C621" s="302"/>
      <c r="D621" s="303"/>
      <c r="E621" s="258" t="s">
        <v>458</v>
      </c>
      <c r="F621" s="356"/>
      <c r="G621" s="185"/>
      <c r="H621" s="269"/>
      <c r="I621" s="222"/>
      <c r="J621" s="223"/>
    </row>
    <row r="622" spans="1:10">
      <c r="A622" s="355"/>
      <c r="B622" s="301"/>
      <c r="C622" s="302"/>
      <c r="D622" s="303"/>
      <c r="E622" s="195" t="s">
        <v>717</v>
      </c>
      <c r="F622" s="270">
        <f>25*0.15</f>
        <v>3.75</v>
      </c>
      <c r="G622" s="185"/>
      <c r="H622" s="269"/>
      <c r="I622" s="222"/>
      <c r="J622" s="223"/>
    </row>
    <row r="623" spans="1:10">
      <c r="A623" s="355"/>
      <c r="B623" s="301"/>
      <c r="C623" s="302"/>
      <c r="D623" s="303"/>
      <c r="E623" s="195" t="s">
        <v>718</v>
      </c>
      <c r="F623" s="304">
        <f>13*0.15</f>
        <v>1.95</v>
      </c>
      <c r="G623" s="185"/>
      <c r="H623" s="269"/>
      <c r="I623" s="222"/>
      <c r="J623" s="223"/>
    </row>
    <row r="624" spans="1:10">
      <c r="A624" s="355"/>
      <c r="B624" s="301"/>
      <c r="C624" s="302"/>
      <c r="D624" s="303"/>
      <c r="E624" s="307"/>
      <c r="F624" s="31">
        <f>SUM(F622:F623)</f>
        <v>5.7</v>
      </c>
      <c r="G624" s="185"/>
      <c r="H624" s="269"/>
      <c r="I624" s="222"/>
      <c r="J624" s="223"/>
    </row>
    <row r="625" spans="1:10">
      <c r="A625" s="355"/>
      <c r="B625" s="301"/>
      <c r="C625" s="302"/>
      <c r="D625" s="303"/>
      <c r="E625" s="307" t="s">
        <v>464</v>
      </c>
      <c r="F625" s="31"/>
      <c r="G625" s="185"/>
      <c r="H625" s="269"/>
      <c r="I625" s="222"/>
      <c r="J625" s="223"/>
    </row>
    <row r="626" spans="1:10" ht="15.75">
      <c r="A626" s="355"/>
      <c r="B626" s="301"/>
      <c r="C626" s="302"/>
      <c r="D626" s="303"/>
      <c r="E626" s="258" t="s">
        <v>465</v>
      </c>
      <c r="F626" s="31"/>
      <c r="G626" s="185"/>
      <c r="H626" s="269"/>
      <c r="I626" s="222"/>
      <c r="J626" s="223"/>
    </row>
    <row r="627" spans="1:10">
      <c r="A627" s="355"/>
      <c r="B627" s="301"/>
      <c r="C627" s="302"/>
      <c r="D627" s="303"/>
      <c r="E627" s="195" t="s">
        <v>719</v>
      </c>
      <c r="F627" s="270">
        <f>43*0.1</f>
        <v>4.3</v>
      </c>
      <c r="G627" s="185"/>
      <c r="H627" s="269"/>
      <c r="I627" s="222"/>
      <c r="J627" s="223"/>
    </row>
    <row r="628" spans="1:10">
      <c r="A628" s="355"/>
      <c r="B628" s="301"/>
      <c r="C628" s="302"/>
      <c r="D628" s="303"/>
      <c r="E628" s="195" t="s">
        <v>720</v>
      </c>
      <c r="F628" s="304">
        <f>60*0.1</f>
        <v>6</v>
      </c>
      <c r="G628" s="185"/>
      <c r="H628" s="269"/>
      <c r="I628" s="222"/>
      <c r="J628" s="223"/>
    </row>
    <row r="629" spans="1:10">
      <c r="A629" s="355"/>
      <c r="B629" s="301"/>
      <c r="C629" s="302"/>
      <c r="D629" s="303"/>
      <c r="E629" s="307"/>
      <c r="F629" s="31">
        <f>SUM(F627:F628)</f>
        <v>10.3</v>
      </c>
      <c r="G629" s="185"/>
      <c r="H629" s="269"/>
      <c r="I629" s="222"/>
      <c r="J629" s="223"/>
    </row>
    <row r="630" spans="1:10">
      <c r="A630" s="355"/>
      <c r="B630" s="301"/>
      <c r="C630" s="302"/>
      <c r="D630" s="303"/>
      <c r="E630" s="381" t="s">
        <v>117</v>
      </c>
      <c r="F630" s="361">
        <f>F619+F624+F629</f>
        <v>179.05</v>
      </c>
      <c r="G630" s="185"/>
      <c r="H630" s="269"/>
      <c r="I630" s="222"/>
      <c r="J630" s="223"/>
    </row>
    <row r="631" spans="1:10">
      <c r="A631" s="355"/>
      <c r="B631" s="301"/>
      <c r="C631" s="302"/>
      <c r="D631" s="303"/>
      <c r="E631" s="307"/>
      <c r="F631" s="356"/>
      <c r="G631" s="185"/>
      <c r="H631" s="269"/>
      <c r="I631" s="222"/>
      <c r="J631" s="223"/>
    </row>
    <row r="632" spans="1:10">
      <c r="A632" s="355"/>
      <c r="B632" s="301"/>
      <c r="C632" s="302"/>
      <c r="D632" s="303"/>
      <c r="E632" s="307"/>
      <c r="F632" s="356"/>
      <c r="G632" s="185"/>
      <c r="H632" s="269"/>
      <c r="I632" s="222"/>
      <c r="J632" s="223"/>
    </row>
    <row r="633" spans="1:10" ht="25.5">
      <c r="A633" s="25">
        <f>MAX(A$1:A620)+1</f>
        <v>57</v>
      </c>
      <c r="B633" s="41"/>
      <c r="C633" s="26" t="s">
        <v>83</v>
      </c>
      <c r="D633" s="27"/>
      <c r="E633" s="28" t="s">
        <v>96</v>
      </c>
      <c r="F633" s="254"/>
      <c r="G633" s="30" t="s">
        <v>2</v>
      </c>
      <c r="H633" s="59">
        <f>H634</f>
        <v>1087</v>
      </c>
      <c r="I633" s="376"/>
      <c r="J633" s="226">
        <f>H633*I633</f>
        <v>0</v>
      </c>
    </row>
    <row r="634" spans="1:10" ht="25.5">
      <c r="A634" s="40"/>
      <c r="B634" s="41"/>
      <c r="C634" s="42"/>
      <c r="D634" s="33" t="s">
        <v>84</v>
      </c>
      <c r="E634" s="34" t="s">
        <v>97</v>
      </c>
      <c r="F634" s="255"/>
      <c r="G634" s="36" t="s">
        <v>2</v>
      </c>
      <c r="H634" s="58">
        <v>1087</v>
      </c>
      <c r="I634" s="222"/>
      <c r="J634" s="223"/>
    </row>
    <row r="635" spans="1:10">
      <c r="A635" s="40"/>
      <c r="B635" s="41"/>
      <c r="C635" s="42"/>
      <c r="D635" s="33"/>
      <c r="E635" s="307" t="s">
        <v>363</v>
      </c>
      <c r="F635" s="255"/>
      <c r="G635" s="36"/>
      <c r="H635" s="58"/>
      <c r="I635" s="222"/>
      <c r="J635" s="223"/>
    </row>
    <row r="636" spans="1:10" ht="15.75">
      <c r="A636" s="40"/>
      <c r="B636" s="41"/>
      <c r="C636" s="42"/>
      <c r="D636" s="296"/>
      <c r="E636" s="258" t="s">
        <v>468</v>
      </c>
      <c r="F636" s="31"/>
      <c r="G636" s="24"/>
      <c r="H636" s="58"/>
      <c r="I636" s="222"/>
      <c r="J636" s="223"/>
    </row>
    <row r="637" spans="1:10">
      <c r="A637" s="355"/>
      <c r="B637" s="301"/>
      <c r="C637" s="302"/>
      <c r="D637" s="303"/>
      <c r="E637" s="195" t="s">
        <v>264</v>
      </c>
      <c r="F637" s="270">
        <v>0</v>
      </c>
      <c r="G637" s="185"/>
      <c r="H637" s="269"/>
      <c r="I637" s="222"/>
      <c r="J637" s="223"/>
    </row>
    <row r="638" spans="1:10">
      <c r="A638" s="355"/>
      <c r="B638" s="301"/>
      <c r="C638" s="302"/>
      <c r="D638" s="303"/>
      <c r="E638" s="195" t="s">
        <v>721</v>
      </c>
      <c r="F638" s="270">
        <v>100</v>
      </c>
      <c r="G638" s="185"/>
      <c r="H638" s="269"/>
      <c r="I638" s="222"/>
      <c r="J638" s="223"/>
    </row>
    <row r="639" spans="1:10">
      <c r="A639" s="355"/>
      <c r="B639" s="301"/>
      <c r="C639" s="302"/>
      <c r="D639" s="303"/>
      <c r="E639" s="195" t="s">
        <v>265</v>
      </c>
      <c r="F639" s="270">
        <v>0</v>
      </c>
      <c r="G639" s="185"/>
      <c r="H639" s="269"/>
      <c r="I639" s="222"/>
      <c r="J639" s="223"/>
    </row>
    <row r="640" spans="1:10">
      <c r="A640" s="355"/>
      <c r="B640" s="301"/>
      <c r="C640" s="302"/>
      <c r="D640" s="303"/>
      <c r="E640" s="195" t="s">
        <v>643</v>
      </c>
      <c r="F640" s="270">
        <v>571</v>
      </c>
      <c r="G640" s="185"/>
      <c r="H640" s="269"/>
      <c r="I640" s="222"/>
      <c r="J640" s="223"/>
    </row>
    <row r="641" spans="1:10">
      <c r="A641" s="355"/>
      <c r="B641" s="301"/>
      <c r="C641" s="302"/>
      <c r="D641" s="303"/>
      <c r="E641" s="195" t="s">
        <v>722</v>
      </c>
      <c r="F641" s="270">
        <v>234</v>
      </c>
      <c r="G641" s="185"/>
      <c r="H641" s="269"/>
      <c r="I641" s="222"/>
      <c r="J641" s="223"/>
    </row>
    <row r="642" spans="1:10">
      <c r="A642" s="355"/>
      <c r="B642" s="301"/>
      <c r="C642" s="302"/>
      <c r="D642" s="303"/>
      <c r="E642" s="195" t="s">
        <v>641</v>
      </c>
      <c r="F642" s="304">
        <v>182</v>
      </c>
      <c r="G642" s="185"/>
      <c r="H642" s="269"/>
      <c r="I642" s="222"/>
      <c r="J642" s="223"/>
    </row>
    <row r="643" spans="1:10">
      <c r="A643" s="355"/>
      <c r="B643" s="301"/>
      <c r="C643" s="302"/>
      <c r="D643" s="303"/>
      <c r="E643" s="305"/>
      <c r="F643" s="270">
        <f>SUM(F637:F642)</f>
        <v>1087</v>
      </c>
      <c r="G643" s="185"/>
      <c r="H643" s="269"/>
      <c r="I643" s="222"/>
      <c r="J643" s="223"/>
    </row>
    <row r="644" spans="1:10">
      <c r="A644" s="355"/>
      <c r="B644" s="301"/>
      <c r="C644" s="302"/>
      <c r="D644" s="303"/>
      <c r="E644" s="247"/>
      <c r="F644" s="356"/>
      <c r="G644" s="185"/>
      <c r="H644" s="269"/>
      <c r="I644" s="222"/>
      <c r="J644" s="223"/>
    </row>
    <row r="645" spans="1:10" ht="25.5">
      <c r="A645" s="25">
        <f>MAX(A$1:A644)+1</f>
        <v>58</v>
      </c>
      <c r="B645" s="41"/>
      <c r="C645" s="26" t="s">
        <v>98</v>
      </c>
      <c r="D645" s="27"/>
      <c r="E645" s="28" t="s">
        <v>99</v>
      </c>
      <c r="F645" s="254"/>
      <c r="G645" s="30" t="s">
        <v>8</v>
      </c>
      <c r="H645" s="59">
        <f>H646</f>
        <v>54.35</v>
      </c>
      <c r="I645" s="376"/>
      <c r="J645" s="226">
        <f>H645*I645</f>
        <v>0</v>
      </c>
    </row>
    <row r="646" spans="1:10" ht="25.5">
      <c r="A646" s="40"/>
      <c r="B646" s="41"/>
      <c r="C646" s="39"/>
      <c r="D646" s="33" t="s">
        <v>472</v>
      </c>
      <c r="E646" s="34" t="s">
        <v>473</v>
      </c>
      <c r="F646" s="255"/>
      <c r="G646" s="36" t="s">
        <v>8</v>
      </c>
      <c r="H646" s="58">
        <v>54.35</v>
      </c>
      <c r="I646" s="222"/>
      <c r="J646" s="223"/>
    </row>
    <row r="647" spans="1:10">
      <c r="A647" s="40"/>
      <c r="B647" s="41"/>
      <c r="C647" s="39"/>
      <c r="D647" s="33"/>
      <c r="E647" s="307" t="s">
        <v>363</v>
      </c>
      <c r="F647" s="255"/>
      <c r="G647" s="36"/>
      <c r="H647" s="58"/>
      <c r="I647" s="222"/>
      <c r="J647" s="223"/>
    </row>
    <row r="648" spans="1:10">
      <c r="A648" s="40"/>
      <c r="B648" s="41"/>
      <c r="C648" s="42"/>
      <c r="D648" s="296"/>
      <c r="E648" s="258" t="s">
        <v>474</v>
      </c>
      <c r="F648" s="270"/>
      <c r="G648" s="24"/>
      <c r="H648" s="58"/>
      <c r="I648" s="222"/>
      <c r="J648" s="223"/>
    </row>
    <row r="649" spans="1:10">
      <c r="A649" s="355"/>
      <c r="B649" s="301"/>
      <c r="C649" s="302"/>
      <c r="D649" s="303"/>
      <c r="E649" s="195" t="s">
        <v>264</v>
      </c>
      <c r="F649" s="270">
        <v>0</v>
      </c>
      <c r="G649" s="185"/>
      <c r="H649" s="269"/>
      <c r="I649" s="222"/>
      <c r="J649" s="223"/>
    </row>
    <row r="650" spans="1:10">
      <c r="A650" s="355"/>
      <c r="B650" s="301"/>
      <c r="C650" s="302"/>
      <c r="D650" s="303"/>
      <c r="E650" s="195" t="s">
        <v>723</v>
      </c>
      <c r="F650" s="270">
        <f>100*0.05</f>
        <v>5</v>
      </c>
      <c r="G650" s="185"/>
      <c r="H650" s="269"/>
      <c r="I650" s="222"/>
      <c r="J650" s="223"/>
    </row>
    <row r="651" spans="1:10">
      <c r="A651" s="355"/>
      <c r="B651" s="301"/>
      <c r="C651" s="302"/>
      <c r="D651" s="303"/>
      <c r="E651" s="195" t="s">
        <v>265</v>
      </c>
      <c r="F651" s="270">
        <v>0</v>
      </c>
      <c r="G651" s="185"/>
      <c r="H651" s="269"/>
      <c r="I651" s="222"/>
      <c r="J651" s="223"/>
    </row>
    <row r="652" spans="1:10">
      <c r="A652" s="355"/>
      <c r="B652" s="301"/>
      <c r="C652" s="302"/>
      <c r="D652" s="303"/>
      <c r="E652" s="195" t="s">
        <v>724</v>
      </c>
      <c r="F652" s="270">
        <f>571*0.05</f>
        <v>28.55</v>
      </c>
      <c r="G652" s="185"/>
      <c r="H652" s="269"/>
      <c r="I652" s="222"/>
      <c r="J652" s="223"/>
    </row>
    <row r="653" spans="1:10">
      <c r="A653" s="355"/>
      <c r="B653" s="301"/>
      <c r="C653" s="302"/>
      <c r="D653" s="303"/>
      <c r="E653" s="195" t="s">
        <v>725</v>
      </c>
      <c r="F653" s="270">
        <f>234*0.05</f>
        <v>11.700000000000001</v>
      </c>
      <c r="G653" s="185"/>
      <c r="H653" s="269"/>
      <c r="I653" s="222"/>
      <c r="J653" s="223"/>
    </row>
    <row r="654" spans="1:10">
      <c r="A654" s="355"/>
      <c r="B654" s="301"/>
      <c r="C654" s="302"/>
      <c r="D654" s="303"/>
      <c r="E654" s="195" t="s">
        <v>726</v>
      </c>
      <c r="F654" s="304">
        <f>182*0.05</f>
        <v>9.1</v>
      </c>
      <c r="G654" s="185"/>
      <c r="H654" s="269"/>
      <c r="I654" s="222"/>
      <c r="J654" s="223"/>
    </row>
    <row r="655" spans="1:10">
      <c r="A655" s="355"/>
      <c r="B655" s="301"/>
      <c r="C655" s="302"/>
      <c r="D655" s="303"/>
      <c r="E655" s="305"/>
      <c r="F655" s="270">
        <f>SUM(F649:F654)</f>
        <v>54.35</v>
      </c>
      <c r="G655" s="185"/>
      <c r="H655" s="269"/>
      <c r="I655" s="222"/>
      <c r="J655" s="223"/>
    </row>
    <row r="656" spans="1:10">
      <c r="A656" s="355"/>
      <c r="B656" s="301"/>
      <c r="C656" s="302"/>
      <c r="D656" s="303"/>
      <c r="E656" s="363"/>
      <c r="F656" s="279"/>
      <c r="G656" s="185"/>
      <c r="H656" s="269"/>
      <c r="I656" s="222"/>
      <c r="J656" s="223"/>
    </row>
    <row r="657" spans="1:10">
      <c r="A657" s="355"/>
      <c r="B657" s="280" t="s">
        <v>149</v>
      </c>
      <c r="C657" s="280"/>
      <c r="D657" s="282"/>
      <c r="E657" s="251" t="s">
        <v>150</v>
      </c>
      <c r="F657" s="279"/>
      <c r="G657" s="185"/>
      <c r="H657" s="269"/>
      <c r="I657" s="222"/>
      <c r="J657" s="223"/>
    </row>
    <row r="658" spans="1:10">
      <c r="A658" s="355"/>
      <c r="B658" s="301"/>
      <c r="C658" s="302"/>
      <c r="D658" s="303"/>
      <c r="E658" s="363"/>
      <c r="F658" s="279"/>
      <c r="G658" s="185"/>
      <c r="H658" s="269"/>
      <c r="I658" s="222"/>
      <c r="J658" s="223"/>
    </row>
    <row r="659" spans="1:10" ht="25.5">
      <c r="A659" s="25">
        <f>MAX(A$1:A658)+1</f>
        <v>59</v>
      </c>
      <c r="B659" s="105"/>
      <c r="C659" s="93" t="s">
        <v>151</v>
      </c>
      <c r="D659" s="94"/>
      <c r="E659" s="95" t="s">
        <v>152</v>
      </c>
      <c r="F659" s="96"/>
      <c r="G659" s="97" t="s">
        <v>2</v>
      </c>
      <c r="H659" s="98">
        <f>H660+H664</f>
        <v>15.46</v>
      </c>
      <c r="I659" s="376"/>
      <c r="J659" s="226">
        <f>H659*I659</f>
        <v>0</v>
      </c>
    </row>
    <row r="660" spans="1:10" ht="25.5">
      <c r="A660" s="106"/>
      <c r="B660" s="105"/>
      <c r="C660" s="93"/>
      <c r="D660" s="100" t="s">
        <v>153</v>
      </c>
      <c r="E660" s="101" t="s">
        <v>154</v>
      </c>
      <c r="F660" s="102"/>
      <c r="G660" s="103" t="s">
        <v>2</v>
      </c>
      <c r="H660" s="104">
        <v>3.96</v>
      </c>
      <c r="I660" s="225"/>
      <c r="J660" s="226"/>
    </row>
    <row r="661" spans="1:10">
      <c r="A661" s="106"/>
      <c r="B661" s="105"/>
      <c r="C661" s="93"/>
      <c r="D661" s="100"/>
      <c r="E661" s="307" t="s">
        <v>727</v>
      </c>
      <c r="F661" s="102"/>
      <c r="G661" s="103"/>
      <c r="H661" s="104"/>
      <c r="I661" s="222"/>
      <c r="J661" s="223"/>
    </row>
    <row r="662" spans="1:10">
      <c r="A662" s="355"/>
      <c r="B662" s="301"/>
      <c r="C662" s="302"/>
      <c r="D662" s="303"/>
      <c r="E662" s="107" t="s">
        <v>487</v>
      </c>
      <c r="F662" s="279"/>
      <c r="G662" s="185"/>
      <c r="H662" s="269"/>
      <c r="I662" s="222"/>
      <c r="J662" s="223"/>
    </row>
    <row r="663" spans="1:10">
      <c r="A663" s="355"/>
      <c r="B663" s="301"/>
      <c r="C663" s="302"/>
      <c r="D663" s="303"/>
      <c r="E663" s="108" t="s">
        <v>728</v>
      </c>
      <c r="F663" s="109">
        <v>3.96</v>
      </c>
      <c r="G663" s="185"/>
      <c r="H663" s="269"/>
      <c r="I663" s="222"/>
      <c r="J663" s="223"/>
    </row>
    <row r="664" spans="1:10" ht="25.5">
      <c r="A664" s="355"/>
      <c r="B664" s="301"/>
      <c r="C664" s="302"/>
      <c r="D664" s="100" t="s">
        <v>155</v>
      </c>
      <c r="E664" s="101" t="s">
        <v>156</v>
      </c>
      <c r="F664" s="102"/>
      <c r="G664" s="103" t="s">
        <v>2</v>
      </c>
      <c r="H664" s="104">
        <v>11.5</v>
      </c>
      <c r="I664" s="225"/>
      <c r="J664" s="226"/>
    </row>
    <row r="665" spans="1:10">
      <c r="A665" s="355"/>
      <c r="B665" s="301"/>
      <c r="C665" s="302"/>
      <c r="D665" s="100"/>
      <c r="E665" s="307" t="s">
        <v>727</v>
      </c>
      <c r="F665" s="102"/>
      <c r="G665" s="103"/>
      <c r="H665" s="104"/>
      <c r="I665" s="222"/>
      <c r="J665" s="223"/>
    </row>
    <row r="666" spans="1:10">
      <c r="A666" s="355"/>
      <c r="B666" s="301"/>
      <c r="C666" s="302"/>
      <c r="D666" s="303"/>
      <c r="E666" s="107" t="s">
        <v>487</v>
      </c>
      <c r="F666" s="279"/>
      <c r="G666" s="185"/>
      <c r="H666" s="269"/>
      <c r="I666" s="222"/>
      <c r="J666" s="223"/>
    </row>
    <row r="667" spans="1:10">
      <c r="A667" s="355"/>
      <c r="B667" s="301"/>
      <c r="C667" s="302"/>
      <c r="D667" s="303"/>
      <c r="E667" s="108" t="s">
        <v>729</v>
      </c>
      <c r="F667" s="109">
        <v>11.5</v>
      </c>
      <c r="G667" s="185"/>
      <c r="H667" s="269"/>
      <c r="I667" s="222"/>
      <c r="J667" s="223"/>
    </row>
    <row r="668" spans="1:10">
      <c r="A668" s="355"/>
      <c r="B668" s="301"/>
      <c r="C668" s="302"/>
      <c r="D668" s="303"/>
      <c r="E668" s="363"/>
      <c r="F668" s="279"/>
      <c r="G668" s="185"/>
      <c r="H668" s="269"/>
      <c r="I668" s="222"/>
      <c r="J668" s="223"/>
    </row>
    <row r="669" spans="1:10">
      <c r="A669" s="355"/>
      <c r="B669" s="301"/>
      <c r="C669" s="302"/>
      <c r="D669" s="303"/>
      <c r="E669" s="363"/>
      <c r="F669" s="279"/>
      <c r="G669" s="185"/>
      <c r="H669" s="269"/>
      <c r="I669" s="222"/>
      <c r="J669" s="223"/>
    </row>
    <row r="670" spans="1:10">
      <c r="A670" s="40"/>
      <c r="B670" s="280" t="s">
        <v>9</v>
      </c>
      <c r="C670" s="280"/>
      <c r="D670" s="282"/>
      <c r="E670" s="251" t="s">
        <v>10</v>
      </c>
      <c r="F670" s="298"/>
      <c r="G670" s="285"/>
      <c r="H670" s="58"/>
      <c r="I670" s="222"/>
      <c r="J670" s="223"/>
    </row>
    <row r="671" spans="1:10">
      <c r="A671" s="40"/>
      <c r="B671" s="41"/>
      <c r="C671" s="42"/>
      <c r="D671" s="296"/>
      <c r="E671" s="364"/>
      <c r="F671" s="270"/>
      <c r="G671" s="24"/>
      <c r="H671" s="58"/>
      <c r="I671" s="222"/>
      <c r="J671" s="223"/>
    </row>
    <row r="672" spans="1:10" ht="25.5">
      <c r="A672" s="25">
        <f>MAX(A$1:A671)+1</f>
        <v>60</v>
      </c>
      <c r="B672" s="41"/>
      <c r="C672" s="26" t="s">
        <v>491</v>
      </c>
      <c r="D672" s="27"/>
      <c r="E672" s="28" t="s">
        <v>492</v>
      </c>
      <c r="F672" s="254"/>
      <c r="G672" s="30" t="s">
        <v>8</v>
      </c>
      <c r="H672" s="59">
        <f>H673</f>
        <v>13.4</v>
      </c>
      <c r="I672" s="376"/>
      <c r="J672" s="226">
        <f>H672*I672</f>
        <v>0</v>
      </c>
    </row>
    <row r="673" spans="1:10" ht="25.5">
      <c r="A673" s="40"/>
      <c r="B673" s="41"/>
      <c r="C673" s="39"/>
      <c r="D673" s="33" t="s">
        <v>493</v>
      </c>
      <c r="E673" s="34" t="s">
        <v>494</v>
      </c>
      <c r="F673" s="255"/>
      <c r="G673" s="36" t="s">
        <v>8</v>
      </c>
      <c r="H673" s="58">
        <v>13.4</v>
      </c>
      <c r="I673" s="222"/>
      <c r="J673" s="223"/>
    </row>
    <row r="674" spans="1:10">
      <c r="A674" s="355"/>
      <c r="B674" s="301"/>
      <c r="C674" s="302"/>
      <c r="D674" s="303"/>
      <c r="E674" s="258" t="s">
        <v>495</v>
      </c>
      <c r="F674" s="260"/>
      <c r="G674" s="185"/>
      <c r="H674" s="269"/>
      <c r="I674" s="222"/>
      <c r="J674" s="223"/>
    </row>
    <row r="675" spans="1:10">
      <c r="A675" s="355"/>
      <c r="B675" s="301"/>
      <c r="C675" s="302"/>
      <c r="D675" s="303"/>
      <c r="E675" s="195" t="s">
        <v>730</v>
      </c>
      <c r="F675" s="233">
        <f>67*0.2</f>
        <v>13.4</v>
      </c>
      <c r="G675" s="185"/>
      <c r="H675" s="269"/>
      <c r="I675" s="222"/>
      <c r="J675" s="223"/>
    </row>
    <row r="676" spans="1:10">
      <c r="A676" s="355"/>
      <c r="B676" s="301"/>
      <c r="C676" s="302"/>
      <c r="D676" s="303"/>
      <c r="E676" s="364"/>
      <c r="F676" s="270"/>
      <c r="G676" s="185"/>
      <c r="H676" s="269"/>
      <c r="I676" s="222"/>
      <c r="J676" s="223"/>
    </row>
    <row r="677" spans="1:10">
      <c r="A677" s="355"/>
      <c r="B677" s="301"/>
      <c r="C677" s="302"/>
      <c r="D677" s="303"/>
      <c r="E677" s="363"/>
      <c r="F677" s="279"/>
      <c r="G677" s="185"/>
      <c r="H677" s="269"/>
      <c r="I677" s="222"/>
      <c r="J677" s="223"/>
    </row>
    <row r="678" spans="1:10" ht="25.5">
      <c r="A678" s="25">
        <f>MAX(A$1:A677)+1</f>
        <v>61</v>
      </c>
      <c r="B678" s="41"/>
      <c r="C678" s="26" t="s">
        <v>513</v>
      </c>
      <c r="D678" s="27"/>
      <c r="E678" s="28" t="s">
        <v>514</v>
      </c>
      <c r="F678" s="254"/>
      <c r="G678" s="30" t="s">
        <v>8</v>
      </c>
      <c r="H678" s="59">
        <f>H679</f>
        <v>2.58</v>
      </c>
      <c r="I678" s="376"/>
      <c r="J678" s="226">
        <f>H678*I678</f>
        <v>0</v>
      </c>
    </row>
    <row r="679" spans="1:10" ht="25.5">
      <c r="A679" s="40"/>
      <c r="B679" s="41"/>
      <c r="C679" s="39"/>
      <c r="D679" s="33" t="s">
        <v>515</v>
      </c>
      <c r="E679" s="34" t="s">
        <v>516</v>
      </c>
      <c r="F679" s="255"/>
      <c r="G679" s="36" t="s">
        <v>8</v>
      </c>
      <c r="H679" s="58">
        <v>2.58</v>
      </c>
      <c r="I679" s="222"/>
      <c r="J679" s="223"/>
    </row>
    <row r="680" spans="1:10">
      <c r="A680" s="355"/>
      <c r="B680" s="301"/>
      <c r="C680" s="302"/>
      <c r="D680" s="303"/>
      <c r="E680" s="258" t="s">
        <v>517</v>
      </c>
      <c r="F680" s="260"/>
      <c r="G680" s="185"/>
      <c r="H680" s="269"/>
      <c r="I680" s="222"/>
      <c r="J680" s="223"/>
    </row>
    <row r="681" spans="1:10">
      <c r="A681" s="355"/>
      <c r="B681" s="301"/>
      <c r="C681" s="302"/>
      <c r="D681" s="303"/>
      <c r="E681" s="195" t="s">
        <v>731</v>
      </c>
      <c r="F681" s="233">
        <f>67*0.5*0.07*1.1</f>
        <v>2.5795000000000003</v>
      </c>
      <c r="G681" s="185"/>
      <c r="H681" s="269"/>
      <c r="I681" s="222"/>
      <c r="J681" s="223"/>
    </row>
    <row r="682" spans="1:10">
      <c r="A682" s="355"/>
      <c r="B682" s="301"/>
      <c r="C682" s="302"/>
      <c r="D682" s="303"/>
      <c r="E682" s="363"/>
      <c r="F682" s="279"/>
      <c r="G682" s="185"/>
      <c r="H682" s="269"/>
      <c r="I682" s="222"/>
      <c r="J682" s="223"/>
    </row>
    <row r="683" spans="1:10">
      <c r="A683" s="355"/>
      <c r="B683" s="301"/>
      <c r="C683" s="302"/>
      <c r="D683" s="303"/>
      <c r="E683" s="363"/>
      <c r="F683" s="279"/>
      <c r="G683" s="185"/>
      <c r="H683" s="269"/>
      <c r="I683" s="222"/>
      <c r="J683" s="223"/>
    </row>
    <row r="684" spans="1:10" ht="25.5">
      <c r="A684" s="25">
        <f>MAX(A$1:A683)+1</f>
        <v>62</v>
      </c>
      <c r="B684" s="41"/>
      <c r="C684" s="26" t="s">
        <v>519</v>
      </c>
      <c r="D684" s="27"/>
      <c r="E684" s="28" t="s">
        <v>520</v>
      </c>
      <c r="F684" s="254"/>
      <c r="G684" s="30" t="s">
        <v>7</v>
      </c>
      <c r="H684" s="59">
        <f>H685</f>
        <v>67</v>
      </c>
      <c r="I684" s="376"/>
      <c r="J684" s="226">
        <f>H684*I684</f>
        <v>0</v>
      </c>
    </row>
    <row r="685" spans="1:10" ht="25.5">
      <c r="A685" s="40"/>
      <c r="B685" s="41"/>
      <c r="C685" s="42"/>
      <c r="D685" s="33" t="s">
        <v>521</v>
      </c>
      <c r="E685" s="34" t="s">
        <v>522</v>
      </c>
      <c r="F685" s="255"/>
      <c r="G685" s="36" t="s">
        <v>7</v>
      </c>
      <c r="H685" s="58">
        <v>67</v>
      </c>
      <c r="I685" s="222"/>
      <c r="J685" s="223"/>
    </row>
    <row r="686" spans="1:10">
      <c r="A686" s="355"/>
      <c r="B686" s="301"/>
      <c r="C686" s="302"/>
      <c r="D686" s="303"/>
      <c r="E686" s="195" t="s">
        <v>732</v>
      </c>
      <c r="F686" s="233">
        <v>67</v>
      </c>
      <c r="G686" s="185"/>
      <c r="H686" s="269"/>
      <c r="I686" s="222"/>
      <c r="J686" s="223"/>
    </row>
    <row r="687" spans="1:10">
      <c r="A687" s="355"/>
      <c r="B687" s="301"/>
      <c r="C687" s="302"/>
      <c r="D687" s="303"/>
      <c r="E687" s="195"/>
      <c r="F687" s="233"/>
      <c r="G687" s="185"/>
      <c r="H687" s="269"/>
      <c r="I687" s="222"/>
      <c r="J687" s="223"/>
    </row>
    <row r="688" spans="1:10">
      <c r="A688" s="355"/>
      <c r="B688" s="301"/>
      <c r="C688" s="302"/>
      <c r="D688" s="303"/>
      <c r="E688" s="195"/>
      <c r="F688" s="233"/>
      <c r="G688" s="185"/>
      <c r="H688" s="269"/>
      <c r="I688" s="222"/>
      <c r="J688" s="223"/>
    </row>
    <row r="689" spans="1:10">
      <c r="A689" s="25">
        <f>MAX(A$1:A688)+1</f>
        <v>63</v>
      </c>
      <c r="B689" s="105"/>
      <c r="C689" s="93" t="s">
        <v>524</v>
      </c>
      <c r="D689" s="94"/>
      <c r="E689" s="95" t="s">
        <v>525</v>
      </c>
      <c r="F689" s="96"/>
      <c r="G689" s="97" t="s">
        <v>7</v>
      </c>
      <c r="H689" s="98">
        <f>H690</f>
        <v>5.4</v>
      </c>
      <c r="I689" s="376"/>
      <c r="J689" s="226">
        <f>H689*I689</f>
        <v>0</v>
      </c>
    </row>
    <row r="690" spans="1:10">
      <c r="A690" s="355"/>
      <c r="B690" s="301"/>
      <c r="C690" s="302"/>
      <c r="D690" s="33" t="s">
        <v>526</v>
      </c>
      <c r="E690" s="34" t="s">
        <v>527</v>
      </c>
      <c r="F690" s="35"/>
      <c r="G690" s="36" t="s">
        <v>7</v>
      </c>
      <c r="H690" s="58">
        <v>5.4</v>
      </c>
      <c r="I690" s="222"/>
      <c r="J690" s="223"/>
    </row>
    <row r="691" spans="1:10" ht="25.5">
      <c r="A691" s="355"/>
      <c r="B691" s="301"/>
      <c r="C691" s="302"/>
      <c r="D691" s="303"/>
      <c r="E691" s="108" t="s">
        <v>733</v>
      </c>
      <c r="F691" s="110">
        <f>2*4.5*0.6</f>
        <v>5.3999999999999995</v>
      </c>
      <c r="G691" s="185"/>
      <c r="H691" s="269"/>
      <c r="I691" s="222"/>
      <c r="J691" s="223"/>
    </row>
    <row r="692" spans="1:10">
      <c r="A692" s="355"/>
      <c r="B692" s="301"/>
      <c r="C692" s="302"/>
      <c r="D692" s="303"/>
      <c r="E692" s="195"/>
      <c r="F692" s="233"/>
      <c r="G692" s="185"/>
      <c r="H692" s="269"/>
      <c r="I692" s="222"/>
      <c r="J692" s="223"/>
    </row>
    <row r="693" spans="1:10">
      <c r="A693" s="25">
        <f>MAX(A$1:A692)+1</f>
        <v>64</v>
      </c>
      <c r="B693" s="301"/>
      <c r="C693" s="26" t="s">
        <v>529</v>
      </c>
      <c r="D693" s="27"/>
      <c r="E693" s="28" t="s">
        <v>530</v>
      </c>
      <c r="F693" s="29"/>
      <c r="G693" s="30" t="s">
        <v>7</v>
      </c>
      <c r="H693" s="98">
        <f>H694</f>
        <v>3.6</v>
      </c>
      <c r="I693" s="376"/>
      <c r="J693" s="226">
        <f>H693*I693</f>
        <v>0</v>
      </c>
    </row>
    <row r="694" spans="1:10">
      <c r="A694" s="355"/>
      <c r="B694" s="301"/>
      <c r="C694" s="302"/>
      <c r="D694" s="33" t="s">
        <v>531</v>
      </c>
      <c r="E694" s="34" t="s">
        <v>532</v>
      </c>
      <c r="F694" s="35"/>
      <c r="G694" s="36" t="s">
        <v>7</v>
      </c>
      <c r="H694" s="58">
        <v>3.6</v>
      </c>
      <c r="I694" s="222"/>
      <c r="J694" s="223"/>
    </row>
    <row r="695" spans="1:10" ht="25.5">
      <c r="A695" s="355"/>
      <c r="B695" s="301"/>
      <c r="C695" s="302"/>
      <c r="D695" s="303"/>
      <c r="E695" s="108" t="s">
        <v>734</v>
      </c>
      <c r="F695" s="110">
        <f>2*4.5*0.4</f>
        <v>3.6</v>
      </c>
      <c r="G695" s="185"/>
      <c r="H695" s="269"/>
      <c r="I695" s="222"/>
      <c r="J695" s="223"/>
    </row>
    <row r="696" spans="1:10">
      <c r="A696" s="355"/>
      <c r="B696" s="301"/>
      <c r="C696" s="302"/>
      <c r="D696" s="303"/>
      <c r="E696" s="195"/>
      <c r="F696" s="233"/>
      <c r="G696" s="185"/>
      <c r="H696" s="269"/>
      <c r="I696" s="222"/>
      <c r="J696" s="223"/>
    </row>
    <row r="697" spans="1:10">
      <c r="A697" s="355"/>
      <c r="B697" s="301"/>
      <c r="C697" s="302"/>
      <c r="D697" s="303"/>
      <c r="E697" s="195"/>
      <c r="F697" s="233"/>
      <c r="G697" s="185"/>
      <c r="H697" s="269"/>
      <c r="I697" s="222"/>
      <c r="J697" s="223"/>
    </row>
    <row r="698" spans="1:10" ht="25.5">
      <c r="A698" s="25">
        <f>MAX(A$1:A697)+1</f>
        <v>65</v>
      </c>
      <c r="B698" s="301"/>
      <c r="C698" s="93" t="s">
        <v>534</v>
      </c>
      <c r="D698" s="94"/>
      <c r="E698" s="95" t="s">
        <v>535</v>
      </c>
      <c r="F698" s="96"/>
      <c r="G698" s="97" t="s">
        <v>8</v>
      </c>
      <c r="H698" s="98">
        <f>H699</f>
        <v>6.11</v>
      </c>
      <c r="I698" s="376"/>
      <c r="J698" s="226">
        <f>H698*I698</f>
        <v>0</v>
      </c>
    </row>
    <row r="699" spans="1:10" ht="25.5">
      <c r="A699" s="355"/>
      <c r="B699" s="301"/>
      <c r="C699" s="111"/>
      <c r="D699" s="100" t="s">
        <v>536</v>
      </c>
      <c r="E699" s="101" t="s">
        <v>537</v>
      </c>
      <c r="F699" s="102"/>
      <c r="G699" s="103" t="s">
        <v>8</v>
      </c>
      <c r="H699" s="104">
        <v>6.11</v>
      </c>
      <c r="I699" s="222"/>
      <c r="J699" s="223"/>
    </row>
    <row r="700" spans="1:10" ht="25.5">
      <c r="A700" s="355"/>
      <c r="B700" s="301"/>
      <c r="C700" s="111"/>
      <c r="D700" s="100"/>
      <c r="E700" s="108" t="s">
        <v>735</v>
      </c>
      <c r="F700" s="110">
        <f>2*3.14*0.465*0.465*4.5</f>
        <v>6.1105185000000013</v>
      </c>
      <c r="G700" s="103"/>
      <c r="H700" s="104"/>
      <c r="I700" s="222"/>
      <c r="J700" s="223"/>
    </row>
    <row r="701" spans="1:10">
      <c r="A701" s="355"/>
      <c r="B701" s="301"/>
      <c r="C701" s="302"/>
      <c r="D701" s="303"/>
      <c r="E701" s="195"/>
      <c r="F701" s="233"/>
      <c r="G701" s="185"/>
      <c r="H701" s="269"/>
      <c r="I701" s="222"/>
      <c r="J701" s="223"/>
    </row>
    <row r="702" spans="1:10">
      <c r="A702" s="355"/>
      <c r="B702" s="301"/>
      <c r="C702" s="302"/>
      <c r="D702" s="303"/>
      <c r="E702" s="195"/>
      <c r="F702" s="233"/>
      <c r="G702" s="185"/>
      <c r="H702" s="269"/>
      <c r="I702" s="222"/>
      <c r="J702" s="223"/>
    </row>
    <row r="703" spans="1:10" ht="25.5">
      <c r="A703" s="25">
        <f>MAX(A$1:A702)+1</f>
        <v>66</v>
      </c>
      <c r="B703" s="301"/>
      <c r="C703" s="93" t="s">
        <v>539</v>
      </c>
      <c r="D703" s="94"/>
      <c r="E703" s="95" t="s">
        <v>540</v>
      </c>
      <c r="F703" s="96"/>
      <c r="G703" s="97" t="s">
        <v>0</v>
      </c>
      <c r="H703" s="98">
        <f>H704</f>
        <v>0.47</v>
      </c>
      <c r="I703" s="376"/>
      <c r="J703" s="226">
        <f>H703*I703</f>
        <v>0</v>
      </c>
    </row>
    <row r="704" spans="1:10" ht="25.5">
      <c r="A704" s="355"/>
      <c r="B704" s="301"/>
      <c r="C704" s="111"/>
      <c r="D704" s="100" t="s">
        <v>541</v>
      </c>
      <c r="E704" s="101" t="s">
        <v>542</v>
      </c>
      <c r="F704" s="102"/>
      <c r="G704" s="103" t="s">
        <v>0</v>
      </c>
      <c r="H704" s="104">
        <v>0.47</v>
      </c>
      <c r="I704" s="222"/>
      <c r="J704" s="223"/>
    </row>
    <row r="705" spans="1:10" ht="25.5">
      <c r="A705" s="355"/>
      <c r="B705" s="301"/>
      <c r="C705" s="111"/>
      <c r="D705" s="100"/>
      <c r="E705" s="108" t="s">
        <v>736</v>
      </c>
      <c r="F705" s="102">
        <f>2*0.23621</f>
        <v>0.47242000000000001</v>
      </c>
      <c r="G705" s="103"/>
      <c r="H705" s="104"/>
      <c r="I705" s="222"/>
      <c r="J705" s="223"/>
    </row>
    <row r="706" spans="1:10">
      <c r="A706" s="355"/>
      <c r="B706" s="301"/>
      <c r="C706" s="302"/>
      <c r="D706" s="303"/>
      <c r="E706" s="195"/>
      <c r="F706" s="233"/>
      <c r="G706" s="185"/>
      <c r="H706" s="269"/>
      <c r="I706" s="222"/>
      <c r="J706" s="223"/>
    </row>
    <row r="707" spans="1:10">
      <c r="A707" s="355"/>
      <c r="B707" s="301"/>
      <c r="C707" s="302"/>
      <c r="D707" s="303"/>
      <c r="E707" s="363"/>
      <c r="F707" s="279"/>
      <c r="G707" s="185"/>
      <c r="H707" s="269"/>
      <c r="I707" s="222"/>
      <c r="J707" s="223"/>
    </row>
    <row r="708" spans="1:10">
      <c r="A708" s="40"/>
      <c r="B708" s="280" t="s">
        <v>11</v>
      </c>
      <c r="C708" s="280"/>
      <c r="D708" s="282"/>
      <c r="E708" s="251" t="s">
        <v>12</v>
      </c>
      <c r="F708" s="298"/>
      <c r="G708" s="285"/>
      <c r="H708" s="58"/>
      <c r="I708" s="222"/>
      <c r="J708" s="223"/>
    </row>
    <row r="709" spans="1:10">
      <c r="A709" s="40"/>
      <c r="B709" s="41"/>
      <c r="C709" s="42"/>
      <c r="D709" s="296"/>
      <c r="E709" s="364"/>
      <c r="F709" s="270"/>
      <c r="G709" s="24"/>
      <c r="H709" s="58"/>
      <c r="I709" s="222"/>
      <c r="J709" s="223"/>
    </row>
    <row r="710" spans="1:10">
      <c r="A710" s="346">
        <f>MAX(A$1:A709)+1</f>
        <v>67</v>
      </c>
      <c r="B710" s="41"/>
      <c r="C710" s="26" t="s">
        <v>544</v>
      </c>
      <c r="D710" s="27"/>
      <c r="E710" s="28" t="s">
        <v>545</v>
      </c>
      <c r="F710" s="29"/>
      <c r="G710" s="30" t="s">
        <v>8</v>
      </c>
      <c r="H710" s="59">
        <f>H711</f>
        <v>5.05</v>
      </c>
      <c r="I710" s="376"/>
      <c r="J710" s="226">
        <f>H710*I710</f>
        <v>0</v>
      </c>
    </row>
    <row r="711" spans="1:10">
      <c r="A711" s="40"/>
      <c r="B711" s="41"/>
      <c r="C711" s="42"/>
      <c r="D711" s="389" t="s">
        <v>546</v>
      </c>
      <c r="E711" s="390" t="s">
        <v>547</v>
      </c>
      <c r="F711" s="391"/>
      <c r="G711" s="24" t="s">
        <v>8</v>
      </c>
      <c r="H711" s="58">
        <v>5.05</v>
      </c>
      <c r="I711" s="222"/>
      <c r="J711" s="223"/>
    </row>
    <row r="712" spans="1:10">
      <c r="A712" s="40"/>
      <c r="B712" s="41"/>
      <c r="C712" s="42"/>
      <c r="D712" s="365"/>
      <c r="E712" s="195" t="s">
        <v>737</v>
      </c>
      <c r="F712" s="270">
        <v>4.55</v>
      </c>
      <c r="G712" s="24"/>
      <c r="H712" s="368"/>
      <c r="I712" s="222"/>
      <c r="J712" s="223"/>
    </row>
    <row r="713" spans="1:10">
      <c r="A713" s="40"/>
      <c r="B713" s="41"/>
      <c r="C713" s="42"/>
      <c r="D713" s="365"/>
      <c r="E713" s="195"/>
      <c r="F713" s="367"/>
      <c r="G713" s="24"/>
      <c r="H713" s="368"/>
      <c r="I713" s="222"/>
      <c r="J713" s="223"/>
    </row>
    <row r="714" spans="1:10" ht="25.5">
      <c r="A714" s="40"/>
      <c r="B714" s="41"/>
      <c r="C714" s="42"/>
      <c r="D714" s="365"/>
      <c r="E714" s="195" t="s">
        <v>738</v>
      </c>
      <c r="F714" s="233">
        <v>0.5</v>
      </c>
      <c r="G714" s="24"/>
      <c r="H714" s="368"/>
      <c r="I714" s="222"/>
      <c r="J714" s="223"/>
    </row>
    <row r="715" spans="1:10">
      <c r="A715" s="40"/>
      <c r="B715" s="41"/>
      <c r="C715" s="42"/>
      <c r="D715" s="365"/>
      <c r="E715" s="369" t="s">
        <v>115</v>
      </c>
      <c r="F715" s="370">
        <f>SUM(F714,F712)</f>
        <v>5.05</v>
      </c>
      <c r="G715" s="24"/>
      <c r="H715" s="368"/>
      <c r="I715" s="222"/>
      <c r="J715" s="223"/>
    </row>
    <row r="716" spans="1:10">
      <c r="A716" s="355"/>
      <c r="B716" s="301"/>
      <c r="C716" s="302"/>
      <c r="D716" s="371"/>
      <c r="E716" s="247"/>
      <c r="F716" s="372"/>
      <c r="G716" s="185"/>
      <c r="H716" s="373"/>
      <c r="I716" s="222"/>
      <c r="J716" s="223"/>
    </row>
    <row r="717" spans="1:10">
      <c r="A717" s="346">
        <f>MAX(A$1:A716)+1</f>
        <v>68</v>
      </c>
      <c r="B717" s="41"/>
      <c r="C717" s="26" t="s">
        <v>550</v>
      </c>
      <c r="D717" s="27"/>
      <c r="E717" s="28" t="s">
        <v>551</v>
      </c>
      <c r="F717" s="29"/>
      <c r="G717" s="30" t="s">
        <v>2</v>
      </c>
      <c r="H717" s="59">
        <f>H718</f>
        <v>12.7</v>
      </c>
      <c r="I717" s="376"/>
      <c r="J717" s="226">
        <f>H717*I717</f>
        <v>0</v>
      </c>
    </row>
    <row r="718" spans="1:10">
      <c r="A718" s="40"/>
      <c r="B718" s="41"/>
      <c r="C718" s="39"/>
      <c r="D718" s="33" t="s">
        <v>552</v>
      </c>
      <c r="E718" s="34" t="s">
        <v>553</v>
      </c>
      <c r="F718" s="35"/>
      <c r="G718" s="36" t="s">
        <v>2</v>
      </c>
      <c r="H718" s="58">
        <v>12.7</v>
      </c>
      <c r="I718" s="222"/>
      <c r="J718" s="223"/>
    </row>
    <row r="719" spans="1:10">
      <c r="A719" s="40"/>
      <c r="B719" s="41"/>
      <c r="C719" s="42"/>
      <c r="D719" s="296"/>
      <c r="E719" s="374" t="s">
        <v>739</v>
      </c>
      <c r="F719" s="270">
        <v>12.7</v>
      </c>
      <c r="G719" s="24"/>
      <c r="H719" s="368"/>
      <c r="I719" s="222"/>
      <c r="J719" s="223"/>
    </row>
    <row r="720" spans="1:10">
      <c r="A720" s="355"/>
      <c r="B720" s="301"/>
      <c r="C720" s="302"/>
      <c r="D720" s="303"/>
      <c r="E720" s="363"/>
      <c r="F720" s="375"/>
      <c r="G720" s="185"/>
      <c r="H720" s="373"/>
      <c r="I720" s="222"/>
      <c r="J720" s="223"/>
    </row>
    <row r="721" spans="1:10">
      <c r="A721" s="346">
        <f>MAX(A$1:A720)+1</f>
        <v>69</v>
      </c>
      <c r="B721" s="41"/>
      <c r="C721" s="26" t="s">
        <v>555</v>
      </c>
      <c r="D721" s="27"/>
      <c r="E721" s="28" t="s">
        <v>556</v>
      </c>
      <c r="F721" s="29"/>
      <c r="G721" s="30" t="s">
        <v>0</v>
      </c>
      <c r="H721" s="59">
        <f>H722</f>
        <v>0.38</v>
      </c>
      <c r="I721" s="376"/>
      <c r="J721" s="226">
        <f>H721*I721</f>
        <v>0</v>
      </c>
    </row>
    <row r="722" spans="1:10">
      <c r="A722" s="40"/>
      <c r="B722" s="41"/>
      <c r="C722" s="42"/>
      <c r="D722" s="33" t="s">
        <v>557</v>
      </c>
      <c r="E722" s="34" t="s">
        <v>558</v>
      </c>
      <c r="F722" s="35"/>
      <c r="G722" s="36" t="s">
        <v>0</v>
      </c>
      <c r="H722" s="58">
        <v>0.38</v>
      </c>
      <c r="I722" s="222"/>
      <c r="J722" s="223"/>
    </row>
    <row r="723" spans="1:10">
      <c r="A723" s="40"/>
      <c r="B723" s="41"/>
      <c r="C723" s="42"/>
      <c r="D723" s="296"/>
      <c r="E723" s="195" t="s">
        <v>739</v>
      </c>
      <c r="F723" s="270">
        <v>0.38200000000000001</v>
      </c>
      <c r="G723" s="24"/>
      <c r="H723" s="368"/>
      <c r="I723" s="222"/>
      <c r="J723" s="223"/>
    </row>
    <row r="724" spans="1:10">
      <c r="A724" s="355"/>
      <c r="B724" s="301"/>
      <c r="C724" s="302"/>
      <c r="D724" s="303"/>
      <c r="E724" s="363"/>
      <c r="F724" s="279"/>
      <c r="G724" s="185"/>
      <c r="H724" s="269"/>
      <c r="I724" s="222"/>
      <c r="J724" s="223"/>
    </row>
    <row r="725" spans="1:10">
      <c r="A725" s="22"/>
      <c r="B725" s="23"/>
      <c r="C725" s="37"/>
      <c r="D725" s="37"/>
      <c r="E725" s="43"/>
      <c r="F725" s="31"/>
      <c r="G725" s="24"/>
      <c r="H725" s="44"/>
      <c r="I725" s="197"/>
      <c r="J725" s="113"/>
    </row>
    <row r="726" spans="1:10" ht="13.5" thickBot="1">
      <c r="A726" s="45"/>
      <c r="B726" s="46"/>
      <c r="C726" s="47"/>
      <c r="D726" s="48"/>
      <c r="E726" s="49"/>
      <c r="F726" s="50"/>
      <c r="G726" s="51"/>
      <c r="H726" s="52"/>
      <c r="I726" s="198"/>
      <c r="J726" s="114"/>
    </row>
    <row r="727" spans="1:10" ht="13.5" thickBot="1">
      <c r="A727" s="66"/>
      <c r="B727" s="67"/>
      <c r="C727" s="67"/>
      <c r="D727" s="67"/>
      <c r="E727" s="67" t="s">
        <v>740</v>
      </c>
      <c r="F727" s="68"/>
      <c r="G727" s="67"/>
      <c r="H727" s="68"/>
      <c r="I727" s="68"/>
      <c r="J727" s="380">
        <f>SUM(J6:J726)</f>
        <v>0</v>
      </c>
    </row>
  </sheetData>
  <sheetProtection algorithmName="SHA-512" hashValue="SANbs8ChQfYL0lvEZiN0dbD3W78IKjWYf3LkCmVPZrY/+747eZ8LpazNARuSNbj7Uf07h8kCsjBFdDdpSG2Itg==" saltValue="p6+pqpVpsnG8eUR7Fp0Ojw==" spinCount="100000" sheet="1" objects="1" scenarios="1"/>
  <mergeCells count="6">
    <mergeCell ref="J4:J5"/>
    <mergeCell ref="A4:C4"/>
    <mergeCell ref="E4:F5"/>
    <mergeCell ref="G4:G5"/>
    <mergeCell ref="H4:H5"/>
    <mergeCell ref="I4:I5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 : ZVOLEN-KRUHOVÝ OBJAZD NA KRIŽOVATKE ULICE J.KOLLÁRA A CESTY 2460&amp;RO.Výkaz výmer a rozpočet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5446-20CB-4A30-8C01-D86EC8045580}">
  <dimension ref="A1:N77"/>
  <sheetViews>
    <sheetView showGridLines="0" zoomScaleNormal="100" workbookViewId="0">
      <pane ySplit="4" topLeftCell="A5" activePane="bottomLeft" state="frozen"/>
      <selection pane="bottomLeft"/>
    </sheetView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4" customWidth="1"/>
    <col min="10" max="10" width="14.85546875" style="4" customWidth="1"/>
    <col min="11" max="16384" width="9.140625" style="7"/>
  </cols>
  <sheetData>
    <row r="1" spans="1:10" ht="12.75" customHeight="1">
      <c r="A1" s="1" t="s">
        <v>13</v>
      </c>
      <c r="B1" s="1"/>
      <c r="C1" s="2"/>
      <c r="D1" s="3"/>
      <c r="E1" s="54" t="s">
        <v>957</v>
      </c>
      <c r="G1" s="5"/>
      <c r="H1" s="55"/>
      <c r="I1" s="55"/>
      <c r="J1" s="55"/>
    </row>
    <row r="2" spans="1:10" ht="13.5" thickBot="1">
      <c r="A2" s="8" t="s">
        <v>14</v>
      </c>
      <c r="B2" s="1"/>
      <c r="C2" s="2"/>
      <c r="D2" s="3"/>
      <c r="E2" s="9">
        <v>2223</v>
      </c>
      <c r="G2" s="10"/>
      <c r="H2" s="56"/>
      <c r="I2" s="56"/>
      <c r="J2" s="56"/>
    </row>
    <row r="3" spans="1:10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36" t="s">
        <v>18</v>
      </c>
      <c r="I3" s="840" t="s">
        <v>163</v>
      </c>
      <c r="J3" s="840" t="s">
        <v>164</v>
      </c>
    </row>
    <row r="4" spans="1:10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37"/>
      <c r="I4" s="841"/>
      <c r="J4" s="841"/>
    </row>
    <row r="5" spans="1:10">
      <c r="A5" s="15"/>
      <c r="B5" s="16"/>
      <c r="C5" s="16"/>
      <c r="D5" s="17"/>
      <c r="E5" s="18"/>
      <c r="F5" s="19"/>
      <c r="G5" s="20"/>
      <c r="H5" s="57"/>
      <c r="I5" s="202"/>
      <c r="J5" s="57"/>
    </row>
    <row r="6" spans="1:10">
      <c r="A6" s="154"/>
      <c r="B6" s="23"/>
      <c r="C6" s="23"/>
      <c r="D6" s="24"/>
      <c r="E6" s="179"/>
      <c r="F6" s="180"/>
      <c r="G6" s="155"/>
      <c r="H6" s="181"/>
      <c r="I6" s="199"/>
      <c r="J6" s="182"/>
    </row>
    <row r="7" spans="1:10" s="399" customFormat="1">
      <c r="A7" s="392"/>
      <c r="B7" s="393" t="s">
        <v>107</v>
      </c>
      <c r="C7" s="217"/>
      <c r="D7" s="218"/>
      <c r="E7" s="219" t="s">
        <v>108</v>
      </c>
      <c r="F7" s="394"/>
      <c r="G7" s="395"/>
      <c r="H7" s="396"/>
      <c r="I7" s="397"/>
      <c r="J7" s="398"/>
    </row>
    <row r="8" spans="1:10" s="399" customFormat="1">
      <c r="A8" s="392"/>
      <c r="B8" s="400"/>
      <c r="C8" s="401"/>
      <c r="D8" s="402"/>
      <c r="E8" s="403"/>
      <c r="F8" s="404"/>
      <c r="G8" s="405"/>
      <c r="H8" s="396"/>
      <c r="I8" s="397"/>
      <c r="J8" s="398"/>
    </row>
    <row r="9" spans="1:10" s="399" customFormat="1">
      <c r="A9" s="392"/>
      <c r="B9" s="400"/>
      <c r="C9" s="401"/>
      <c r="D9" s="402"/>
      <c r="E9" s="403"/>
      <c r="F9" s="404"/>
      <c r="G9" s="405"/>
      <c r="H9" s="396"/>
      <c r="I9" s="397"/>
      <c r="J9" s="398"/>
    </row>
    <row r="10" spans="1:10" s="399" customFormat="1">
      <c r="A10" s="406">
        <f>MAX(A$1:A9)+1</f>
        <v>1</v>
      </c>
      <c r="B10" s="407"/>
      <c r="C10" s="239" t="s">
        <v>111</v>
      </c>
      <c r="D10" s="240"/>
      <c r="E10" s="241" t="s">
        <v>112</v>
      </c>
      <c r="F10" s="242"/>
      <c r="G10" s="243" t="s">
        <v>8</v>
      </c>
      <c r="H10" s="408">
        <v>49.44</v>
      </c>
      <c r="I10" s="507"/>
      <c r="J10" s="410">
        <f>H10*I10</f>
        <v>0</v>
      </c>
    </row>
    <row r="11" spans="1:10" s="399" customFormat="1">
      <c r="A11" s="411"/>
      <c r="B11" s="412"/>
      <c r="C11" s="413"/>
      <c r="D11" s="414"/>
      <c r="E11" s="237" t="s">
        <v>118</v>
      </c>
      <c r="F11" s="415">
        <v>49.44</v>
      </c>
      <c r="G11" s="395"/>
      <c r="H11" s="396"/>
      <c r="I11" s="397"/>
      <c r="J11" s="398"/>
    </row>
    <row r="12" spans="1:10">
      <c r="A12" s="154"/>
      <c r="B12" s="23"/>
      <c r="C12" s="23"/>
      <c r="D12" s="24"/>
      <c r="E12" s="179"/>
      <c r="F12" s="180"/>
      <c r="G12" s="155"/>
      <c r="H12" s="181"/>
      <c r="I12" s="199"/>
      <c r="J12" s="182"/>
    </row>
    <row r="13" spans="1:10">
      <c r="A13" s="416"/>
      <c r="B13" s="216" t="s">
        <v>763</v>
      </c>
      <c r="C13" s="217"/>
      <c r="D13" s="218"/>
      <c r="E13" s="219" t="s">
        <v>764</v>
      </c>
      <c r="F13" s="417"/>
      <c r="G13" s="30"/>
      <c r="H13" s="418"/>
      <c r="I13" s="419"/>
      <c r="J13" s="420"/>
    </row>
    <row r="14" spans="1:10" s="429" customFormat="1">
      <c r="A14" s="421"/>
      <c r="B14" s="422"/>
      <c r="C14" s="422"/>
      <c r="D14" s="422"/>
      <c r="E14" s="423"/>
      <c r="F14" s="424"/>
      <c r="G14" s="425"/>
      <c r="H14" s="426"/>
      <c r="I14" s="427"/>
      <c r="J14" s="428"/>
    </row>
    <row r="15" spans="1:10" s="224" customFormat="1">
      <c r="A15" s="25">
        <f>MAX(A$1:A13)+1</f>
        <v>2</v>
      </c>
      <c r="B15" s="430"/>
      <c r="C15" s="26" t="s">
        <v>161</v>
      </c>
      <c r="D15" s="27"/>
      <c r="E15" s="28" t="s">
        <v>162</v>
      </c>
      <c r="F15" s="29"/>
      <c r="G15" s="30" t="s">
        <v>8</v>
      </c>
      <c r="H15" s="266">
        <v>72</v>
      </c>
      <c r="I15" s="508"/>
      <c r="J15" s="431">
        <f>I15*H15</f>
        <v>0</v>
      </c>
    </row>
    <row r="16" spans="1:10" s="224" customFormat="1">
      <c r="A16" s="432"/>
      <c r="B16" s="314"/>
      <c r="C16" s="39"/>
      <c r="D16" s="33" t="s">
        <v>268</v>
      </c>
      <c r="E16" s="34" t="s">
        <v>269</v>
      </c>
      <c r="F16" s="35"/>
      <c r="G16" s="36" t="s">
        <v>8</v>
      </c>
      <c r="H16" s="433">
        <v>72</v>
      </c>
      <c r="I16" s="222"/>
      <c r="J16" s="223"/>
    </row>
    <row r="17" spans="1:11" s="429" customFormat="1" ht="27.75" customHeight="1">
      <c r="A17" s="421"/>
      <c r="B17" s="434"/>
      <c r="C17" s="422"/>
      <c r="D17" s="434"/>
      <c r="E17" s="423" t="s">
        <v>959</v>
      </c>
      <c r="F17" s="435"/>
      <c r="G17" s="425"/>
      <c r="H17" s="436"/>
      <c r="I17" s="437"/>
      <c r="J17" s="438"/>
    </row>
    <row r="18" spans="1:11" s="429" customFormat="1" ht="12.75" customHeight="1">
      <c r="A18" s="421"/>
      <c r="B18" s="434"/>
      <c r="C18" s="422"/>
      <c r="D18" s="422"/>
      <c r="E18" s="423" t="s">
        <v>960</v>
      </c>
      <c r="F18" s="435">
        <f>2*2.4*15</f>
        <v>72</v>
      </c>
      <c r="G18" s="425"/>
      <c r="H18" s="436"/>
      <c r="I18" s="437"/>
      <c r="J18" s="438"/>
    </row>
    <row r="19" spans="1:11" s="429" customFormat="1" ht="13.5" customHeight="1">
      <c r="A19" s="421"/>
      <c r="B19" s="434"/>
      <c r="C19" s="422"/>
      <c r="D19" s="422"/>
      <c r="E19" s="423"/>
      <c r="F19" s="435"/>
      <c r="G19" s="425"/>
      <c r="H19" s="436"/>
      <c r="I19" s="437"/>
      <c r="J19" s="438"/>
    </row>
    <row r="20" spans="1:11" s="224" customFormat="1">
      <c r="A20" s="25">
        <f>MAX(A$1:A18)+1</f>
        <v>3</v>
      </c>
      <c r="B20" s="430"/>
      <c r="C20" s="26" t="s">
        <v>253</v>
      </c>
      <c r="D20" s="27"/>
      <c r="E20" s="28" t="s">
        <v>254</v>
      </c>
      <c r="F20" s="29"/>
      <c r="G20" s="30" t="s">
        <v>8</v>
      </c>
      <c r="H20" s="266">
        <v>49.44</v>
      </c>
      <c r="I20" s="508"/>
      <c r="J20" s="431">
        <f>I20*H20</f>
        <v>0</v>
      </c>
    </row>
    <row r="21" spans="1:11" s="224" customFormat="1">
      <c r="A21" s="432"/>
      <c r="B21" s="314"/>
      <c r="C21" s="39"/>
      <c r="D21" s="33" t="s">
        <v>255</v>
      </c>
      <c r="E21" s="34" t="s">
        <v>256</v>
      </c>
      <c r="F21" s="439"/>
      <c r="G21" s="440" t="s">
        <v>8</v>
      </c>
      <c r="H21" s="433">
        <v>49.44</v>
      </c>
      <c r="I21" s="222"/>
      <c r="J21" s="223"/>
    </row>
    <row r="22" spans="1:11" s="447" customFormat="1" ht="12" customHeight="1">
      <c r="A22" s="441"/>
      <c r="B22" s="37"/>
      <c r="C22" s="39"/>
      <c r="D22" s="442"/>
      <c r="E22" s="387" t="s">
        <v>118</v>
      </c>
      <c r="F22" s="443"/>
      <c r="G22" s="440"/>
      <c r="H22" s="444"/>
      <c r="I22" s="445"/>
      <c r="J22" s="446"/>
    </row>
    <row r="23" spans="1:11" s="447" customFormat="1" ht="12" customHeight="1">
      <c r="A23" s="441"/>
      <c r="B23" s="37"/>
      <c r="C23" s="39"/>
      <c r="D23" s="442"/>
      <c r="E23" s="387" t="s">
        <v>961</v>
      </c>
      <c r="F23" s="443"/>
      <c r="G23" s="36"/>
      <c r="H23" s="444"/>
      <c r="I23" s="445"/>
      <c r="J23" s="446"/>
    </row>
    <row r="24" spans="1:11" s="447" customFormat="1" ht="12" customHeight="1">
      <c r="A24" s="441"/>
      <c r="B24" s="37"/>
      <c r="C24" s="39"/>
      <c r="D24" s="442"/>
      <c r="E24" s="387" t="s">
        <v>962</v>
      </c>
      <c r="F24" s="443">
        <f>2*2.4*10.3</f>
        <v>49.440000000000005</v>
      </c>
      <c r="G24" s="36"/>
      <c r="H24" s="444"/>
      <c r="I24" s="445"/>
      <c r="J24" s="446"/>
    </row>
    <row r="25" spans="1:11" s="447" customFormat="1" ht="12" customHeight="1">
      <c r="A25" s="441"/>
      <c r="B25" s="37"/>
      <c r="C25" s="39"/>
      <c r="D25" s="442"/>
      <c r="E25" s="387"/>
      <c r="F25" s="448"/>
      <c r="G25" s="36"/>
      <c r="H25" s="444"/>
      <c r="I25" s="445"/>
      <c r="J25" s="446"/>
    </row>
    <row r="26" spans="1:11" s="224" customFormat="1">
      <c r="A26" s="25">
        <f>MAX(A$1:A21)+1</f>
        <v>4</v>
      </c>
      <c r="B26" s="430"/>
      <c r="C26" s="26" t="s">
        <v>123</v>
      </c>
      <c r="D26" s="449"/>
      <c r="E26" s="28" t="s">
        <v>124</v>
      </c>
      <c r="F26" s="29"/>
      <c r="G26" s="30" t="s">
        <v>8</v>
      </c>
      <c r="H26" s="266">
        <v>14.4</v>
      </c>
      <c r="I26" s="508"/>
      <c r="J26" s="431">
        <f>H26*I26</f>
        <v>0</v>
      </c>
    </row>
    <row r="27" spans="1:11" s="224" customFormat="1">
      <c r="A27" s="432"/>
      <c r="B27" s="314"/>
      <c r="C27" s="39"/>
      <c r="D27" s="33" t="s">
        <v>807</v>
      </c>
      <c r="E27" s="34" t="s">
        <v>808</v>
      </c>
      <c r="F27" s="35"/>
      <c r="G27" s="36" t="s">
        <v>8</v>
      </c>
      <c r="H27" s="433">
        <v>10.08</v>
      </c>
      <c r="I27" s="222"/>
      <c r="J27" s="223"/>
      <c r="K27" s="450"/>
    </row>
    <row r="28" spans="1:11" s="429" customFormat="1" ht="24" customHeight="1">
      <c r="A28" s="25"/>
      <c r="B28" s="434"/>
      <c r="C28" s="451"/>
      <c r="D28" s="422"/>
      <c r="E28" s="423" t="s">
        <v>963</v>
      </c>
      <c r="F28" s="452"/>
      <c r="G28" s="453"/>
      <c r="H28" s="454"/>
      <c r="I28" s="437"/>
      <c r="J28" s="438"/>
    </row>
    <row r="29" spans="1:11" s="429" customFormat="1" ht="13.5" customHeight="1">
      <c r="A29" s="25"/>
      <c r="B29" s="434"/>
      <c r="C29" s="451"/>
      <c r="D29" s="422"/>
      <c r="E29" s="423" t="s">
        <v>964</v>
      </c>
      <c r="F29" s="452">
        <f>0.7*(72-(2.4*1.6*15))</f>
        <v>10.080000000000004</v>
      </c>
      <c r="G29" s="453"/>
      <c r="H29" s="454"/>
      <c r="I29" s="437"/>
      <c r="J29" s="438"/>
    </row>
    <row r="30" spans="1:11" s="429" customFormat="1" ht="13.5" customHeight="1">
      <c r="A30" s="25"/>
      <c r="B30" s="434"/>
      <c r="C30" s="451"/>
      <c r="D30" s="422"/>
      <c r="E30" s="455"/>
      <c r="F30" s="452"/>
      <c r="G30" s="453"/>
      <c r="H30" s="454"/>
      <c r="I30" s="437"/>
      <c r="J30" s="438"/>
    </row>
    <row r="31" spans="1:11" s="429" customFormat="1" ht="19.5" customHeight="1">
      <c r="A31" s="421"/>
      <c r="B31" s="434"/>
      <c r="C31" s="422"/>
      <c r="D31" s="422" t="s">
        <v>125</v>
      </c>
      <c r="E31" s="456" t="s">
        <v>126</v>
      </c>
      <c r="F31" s="452"/>
      <c r="G31" s="425" t="s">
        <v>812</v>
      </c>
      <c r="H31" s="436">
        <v>4.32</v>
      </c>
      <c r="I31" s="437"/>
      <c r="J31" s="223"/>
    </row>
    <row r="32" spans="1:11" s="429" customFormat="1" ht="32.25" customHeight="1">
      <c r="A32" s="421"/>
      <c r="B32" s="434"/>
      <c r="C32" s="422"/>
      <c r="D32" s="434"/>
      <c r="E32" s="387" t="s">
        <v>965</v>
      </c>
      <c r="F32" s="452"/>
      <c r="G32" s="425"/>
      <c r="H32" s="436"/>
      <c r="I32" s="437"/>
      <c r="J32" s="438"/>
    </row>
    <row r="33" spans="1:10" s="429" customFormat="1" ht="13.5" customHeight="1">
      <c r="A33" s="421"/>
      <c r="B33" s="434"/>
      <c r="C33" s="422"/>
      <c r="D33" s="434"/>
      <c r="E33" s="423" t="s">
        <v>966</v>
      </c>
      <c r="F33" s="452">
        <f>0.3*(72-(2.4*1.6*15))</f>
        <v>4.3200000000000012</v>
      </c>
      <c r="G33" s="425"/>
      <c r="H33" s="436"/>
      <c r="I33" s="437"/>
      <c r="J33" s="438"/>
    </row>
    <row r="34" spans="1:10" s="429" customFormat="1" ht="14.25" customHeight="1">
      <c r="A34" s="421"/>
      <c r="B34" s="422"/>
      <c r="C34" s="434"/>
      <c r="D34" s="434"/>
      <c r="E34" s="423"/>
      <c r="F34" s="435"/>
      <c r="G34" s="425"/>
      <c r="H34" s="436"/>
      <c r="I34" s="437"/>
      <c r="J34" s="438"/>
    </row>
    <row r="35" spans="1:10" s="429" customFormat="1">
      <c r="A35" s="421"/>
      <c r="B35" s="422"/>
      <c r="C35" s="434"/>
      <c r="D35" s="434"/>
      <c r="E35" s="423"/>
      <c r="F35" s="424"/>
      <c r="G35" s="425"/>
      <c r="H35" s="436"/>
      <c r="I35" s="437"/>
      <c r="J35" s="438"/>
    </row>
    <row r="36" spans="1:10" s="447" customFormat="1">
      <c r="A36" s="25">
        <f>MAX(A$1:A33)+1</f>
        <v>5</v>
      </c>
      <c r="B36" s="457"/>
      <c r="C36" s="26" t="s">
        <v>819</v>
      </c>
      <c r="D36" s="27"/>
      <c r="E36" s="458" t="s">
        <v>820</v>
      </c>
      <c r="F36" s="459"/>
      <c r="G36" s="30" t="s">
        <v>8</v>
      </c>
      <c r="H36" s="266">
        <v>37.04</v>
      </c>
      <c r="I36" s="508"/>
      <c r="J36" s="431">
        <f>I36*H36</f>
        <v>0</v>
      </c>
    </row>
    <row r="37" spans="1:10" s="447" customFormat="1">
      <c r="A37" s="460"/>
      <c r="B37" s="37"/>
      <c r="C37" s="461"/>
      <c r="D37" s="33" t="s">
        <v>821</v>
      </c>
      <c r="E37" s="462" t="s">
        <v>822</v>
      </c>
      <c r="F37" s="463"/>
      <c r="G37" s="440" t="s">
        <v>8</v>
      </c>
      <c r="H37" s="433">
        <v>37.04</v>
      </c>
      <c r="I37" s="445"/>
      <c r="J37" s="223"/>
    </row>
    <row r="38" spans="1:10" s="447" customFormat="1">
      <c r="A38" s="460"/>
      <c r="B38" s="37"/>
      <c r="C38" s="461"/>
      <c r="D38" s="33"/>
      <c r="E38" s="387" t="s">
        <v>823</v>
      </c>
      <c r="F38" s="464"/>
      <c r="G38" s="36"/>
      <c r="H38" s="444"/>
      <c r="I38" s="445"/>
      <c r="J38" s="446"/>
    </row>
    <row r="39" spans="1:10" s="447" customFormat="1">
      <c r="A39" s="460"/>
      <c r="B39" s="37"/>
      <c r="C39" s="461"/>
      <c r="D39" s="442"/>
      <c r="E39" s="387" t="s">
        <v>967</v>
      </c>
      <c r="F39" s="448">
        <f>15*(2.4*1.5-3.14*0.6*0.6)</f>
        <v>37.043999999999997</v>
      </c>
      <c r="G39" s="36"/>
      <c r="H39" s="444"/>
      <c r="I39" s="445"/>
      <c r="J39" s="446"/>
    </row>
    <row r="40" spans="1:10" s="429" customFormat="1">
      <c r="A40" s="421"/>
      <c r="B40" s="434"/>
      <c r="C40" s="434"/>
      <c r="D40" s="422"/>
      <c r="E40" s="423"/>
      <c r="F40" s="424"/>
      <c r="G40" s="465"/>
      <c r="H40" s="436"/>
      <c r="I40" s="437"/>
      <c r="J40" s="438"/>
    </row>
    <row r="41" spans="1:10" s="447" customFormat="1">
      <c r="A41" s="25">
        <f>MAX(A$1:A40)+1</f>
        <v>6</v>
      </c>
      <c r="B41" s="457"/>
      <c r="C41" s="26" t="s">
        <v>829</v>
      </c>
      <c r="D41" s="27"/>
      <c r="E41" s="28" t="s">
        <v>830</v>
      </c>
      <c r="F41" s="466"/>
      <c r="G41" s="30" t="s">
        <v>8</v>
      </c>
      <c r="H41" s="266">
        <v>4.32</v>
      </c>
      <c r="I41" s="508"/>
      <c r="J41" s="431">
        <f>I41*H41</f>
        <v>0</v>
      </c>
    </row>
    <row r="42" spans="1:10" s="447" customFormat="1" ht="25.5">
      <c r="A42" s="460"/>
      <c r="B42" s="467"/>
      <c r="C42" s="39"/>
      <c r="D42" s="442" t="s">
        <v>831</v>
      </c>
      <c r="E42" s="34" t="s">
        <v>832</v>
      </c>
      <c r="F42" s="468"/>
      <c r="G42" s="36" t="s">
        <v>8</v>
      </c>
      <c r="H42" s="433">
        <v>4.32</v>
      </c>
      <c r="I42" s="445"/>
      <c r="J42" s="223"/>
    </row>
    <row r="43" spans="1:10" s="447" customFormat="1" ht="25.5">
      <c r="A43" s="460"/>
      <c r="B43" s="467"/>
      <c r="C43" s="39"/>
      <c r="D43" s="442"/>
      <c r="E43" s="469" t="s">
        <v>833</v>
      </c>
      <c r="F43" s="468"/>
      <c r="G43" s="36"/>
      <c r="H43" s="444"/>
      <c r="I43" s="445"/>
      <c r="J43" s="446"/>
    </row>
    <row r="44" spans="1:10" s="429" customFormat="1">
      <c r="A44" s="421"/>
      <c r="B44" s="422"/>
      <c r="C44" s="434"/>
      <c r="D44" s="422"/>
      <c r="E44" s="469" t="s">
        <v>834</v>
      </c>
      <c r="F44" s="424">
        <f>F33</f>
        <v>4.3200000000000012</v>
      </c>
      <c r="G44" s="465"/>
      <c r="H44" s="436"/>
      <c r="I44" s="437"/>
      <c r="J44" s="438"/>
    </row>
    <row r="45" spans="1:10" s="429" customFormat="1" ht="15.75" customHeight="1">
      <c r="A45" s="421"/>
      <c r="B45" s="422"/>
      <c r="C45" s="470"/>
      <c r="D45" s="471"/>
      <c r="E45" s="469"/>
      <c r="F45" s="435"/>
      <c r="G45" s="472"/>
      <c r="H45" s="436"/>
      <c r="I45" s="437"/>
      <c r="J45" s="438"/>
    </row>
    <row r="46" spans="1:10" s="429" customFormat="1">
      <c r="A46" s="25">
        <f>MAX(A$1:A45)+1</f>
        <v>7</v>
      </c>
      <c r="B46" s="422"/>
      <c r="C46" s="26" t="s">
        <v>835</v>
      </c>
      <c r="D46" s="27"/>
      <c r="E46" s="28" t="s">
        <v>836</v>
      </c>
      <c r="F46" s="28"/>
      <c r="G46" s="30" t="s">
        <v>8</v>
      </c>
      <c r="H46" s="454">
        <v>49.44</v>
      </c>
      <c r="I46" s="509"/>
      <c r="J46" s="431">
        <f>I46*H46</f>
        <v>0</v>
      </c>
    </row>
    <row r="47" spans="1:10" s="429" customFormat="1" ht="25.5">
      <c r="A47" s="473"/>
      <c r="B47" s="474"/>
      <c r="C47" s="39"/>
      <c r="D47" s="33" t="s">
        <v>837</v>
      </c>
      <c r="E47" s="34" t="s">
        <v>838</v>
      </c>
      <c r="F47" s="34"/>
      <c r="G47" s="36" t="s">
        <v>8</v>
      </c>
      <c r="H47" s="436">
        <v>49.44</v>
      </c>
      <c r="I47" s="437"/>
      <c r="J47" s="223"/>
    </row>
    <row r="48" spans="1:10" s="429" customFormat="1">
      <c r="A48" s="473"/>
      <c r="B48" s="474"/>
      <c r="C48" s="474"/>
      <c r="D48" s="474"/>
      <c r="E48" s="387" t="s">
        <v>118</v>
      </c>
      <c r="F48" s="475">
        <f>F24</f>
        <v>49.440000000000005</v>
      </c>
      <c r="G48" s="476"/>
      <c r="H48" s="436"/>
      <c r="I48" s="437"/>
      <c r="J48" s="438"/>
    </row>
    <row r="49" spans="1:11" s="429" customFormat="1" ht="15.75" customHeight="1">
      <c r="A49" s="473"/>
      <c r="B49" s="474"/>
      <c r="C49" s="474"/>
      <c r="D49" s="474"/>
      <c r="E49" s="387"/>
      <c r="F49" s="448"/>
      <c r="G49" s="476"/>
      <c r="H49" s="436"/>
      <c r="I49" s="437"/>
      <c r="J49" s="438"/>
    </row>
    <row r="50" spans="1:11" s="429" customFormat="1">
      <c r="A50" s="473"/>
      <c r="B50" s="474"/>
      <c r="C50" s="474"/>
      <c r="D50" s="474"/>
      <c r="E50" s="477"/>
      <c r="F50" s="475"/>
      <c r="G50" s="478"/>
      <c r="H50" s="436"/>
      <c r="I50" s="437"/>
      <c r="J50" s="438"/>
    </row>
    <row r="51" spans="1:11" s="429" customFormat="1">
      <c r="A51" s="25">
        <f>MAX(A$1:A50)+1</f>
        <v>8</v>
      </c>
      <c r="B51" s="474"/>
      <c r="C51" s="26" t="s">
        <v>127</v>
      </c>
      <c r="D51" s="27"/>
      <c r="E51" s="28" t="s">
        <v>839</v>
      </c>
      <c r="F51" s="479"/>
      <c r="G51" s="480" t="s">
        <v>8</v>
      </c>
      <c r="H51" s="454">
        <v>53.76</v>
      </c>
      <c r="I51" s="509"/>
      <c r="J51" s="431">
        <f>I51*H51</f>
        <v>0</v>
      </c>
    </row>
    <row r="52" spans="1:11" s="429" customFormat="1" ht="25.5">
      <c r="A52" s="473"/>
      <c r="B52" s="474"/>
      <c r="C52" s="39"/>
      <c r="D52" s="33" t="s">
        <v>129</v>
      </c>
      <c r="E52" s="34" t="s">
        <v>130</v>
      </c>
      <c r="F52" s="481"/>
      <c r="G52" s="440" t="s">
        <v>8</v>
      </c>
      <c r="H52" s="436">
        <v>53.76</v>
      </c>
      <c r="I52" s="437"/>
      <c r="J52" s="223"/>
    </row>
    <row r="53" spans="1:11" s="429" customFormat="1">
      <c r="A53" s="473"/>
      <c r="B53" s="474"/>
      <c r="C53" s="474"/>
      <c r="D53" s="474"/>
      <c r="E53" s="477"/>
      <c r="F53" s="435">
        <f>F44+F48</f>
        <v>53.760000000000005</v>
      </c>
      <c r="G53" s="472"/>
      <c r="H53" s="436"/>
      <c r="I53" s="437"/>
      <c r="J53" s="438"/>
    </row>
    <row r="54" spans="1:11" s="429" customFormat="1">
      <c r="A54" s="473"/>
      <c r="B54" s="474"/>
      <c r="C54" s="474"/>
      <c r="D54" s="474"/>
      <c r="E54" s="477"/>
      <c r="F54" s="424"/>
      <c r="G54" s="472"/>
      <c r="H54" s="436"/>
      <c r="I54" s="437"/>
      <c r="J54" s="438"/>
    </row>
    <row r="55" spans="1:11" s="429" customFormat="1" ht="25.5">
      <c r="A55" s="25">
        <f>MAX(A$1:A54)+1</f>
        <v>9</v>
      </c>
      <c r="B55" s="474"/>
      <c r="C55" s="482" t="s">
        <v>840</v>
      </c>
      <c r="D55" s="471"/>
      <c r="E55" s="483" t="s">
        <v>841</v>
      </c>
      <c r="F55" s="452"/>
      <c r="G55" s="484" t="s">
        <v>842</v>
      </c>
      <c r="H55" s="454">
        <v>60</v>
      </c>
      <c r="I55" s="509"/>
      <c r="J55" s="485">
        <f>I55*H55</f>
        <v>0</v>
      </c>
    </row>
    <row r="56" spans="1:11" s="429" customFormat="1" ht="25.5">
      <c r="A56" s="421"/>
      <c r="B56" s="470"/>
      <c r="C56" s="474"/>
      <c r="D56" s="471" t="s">
        <v>843</v>
      </c>
      <c r="E56" s="486" t="s">
        <v>844</v>
      </c>
      <c r="F56" s="424"/>
      <c r="G56" s="472" t="s">
        <v>842</v>
      </c>
      <c r="H56" s="436">
        <v>60</v>
      </c>
      <c r="I56" s="437"/>
      <c r="J56" s="223"/>
    </row>
    <row r="57" spans="1:11" s="429" customFormat="1">
      <c r="A57" s="421"/>
      <c r="B57" s="470"/>
      <c r="C57" s="474"/>
      <c r="D57" s="471"/>
      <c r="E57" s="423" t="s">
        <v>968</v>
      </c>
      <c r="F57" s="424">
        <f>2*2*15</f>
        <v>60</v>
      </c>
      <c r="G57" s="472"/>
      <c r="H57" s="436"/>
      <c r="I57" s="437"/>
      <c r="J57" s="438"/>
    </row>
    <row r="58" spans="1:11" s="429" customFormat="1">
      <c r="A58" s="421"/>
      <c r="B58" s="434"/>
      <c r="C58" s="434"/>
      <c r="D58" s="434"/>
      <c r="E58" s="469"/>
      <c r="F58" s="424"/>
      <c r="G58" s="465"/>
      <c r="H58" s="436"/>
      <c r="I58" s="437"/>
      <c r="J58" s="438"/>
    </row>
    <row r="59" spans="1:11" ht="25.5">
      <c r="A59" s="416"/>
      <c r="B59" s="216" t="s">
        <v>315</v>
      </c>
      <c r="C59" s="217"/>
      <c r="D59" s="218"/>
      <c r="E59" s="219" t="s">
        <v>316</v>
      </c>
      <c r="F59" s="417"/>
      <c r="G59" s="36"/>
      <c r="H59" s="433"/>
      <c r="I59" s="222"/>
      <c r="J59" s="223"/>
    </row>
    <row r="60" spans="1:11">
      <c r="A60" s="416"/>
      <c r="B60" s="216"/>
      <c r="C60" s="217"/>
      <c r="D60" s="218"/>
      <c r="E60" s="219"/>
      <c r="F60" s="417"/>
      <c r="G60" s="36"/>
      <c r="H60" s="433"/>
      <c r="I60" s="222"/>
      <c r="J60" s="223"/>
    </row>
    <row r="61" spans="1:11" s="3" customFormat="1">
      <c r="A61" s="25">
        <f>MAX(A$1:A59)+1</f>
        <v>10</v>
      </c>
      <c r="B61" s="430"/>
      <c r="C61" s="27" t="s">
        <v>969</v>
      </c>
      <c r="D61" s="26"/>
      <c r="E61" s="28" t="s">
        <v>970</v>
      </c>
      <c r="F61" s="29"/>
      <c r="G61" s="30" t="s">
        <v>7</v>
      </c>
      <c r="H61" s="266">
        <v>15</v>
      </c>
      <c r="I61" s="509"/>
      <c r="J61" s="485">
        <f>I61*H61</f>
        <v>0</v>
      </c>
      <c r="K61" s="224"/>
    </row>
    <row r="62" spans="1:11" s="3" customFormat="1">
      <c r="A62" s="487"/>
      <c r="B62" s="430"/>
      <c r="C62" s="27"/>
      <c r="D62" s="39" t="s">
        <v>971</v>
      </c>
      <c r="E62" s="34" t="s">
        <v>972</v>
      </c>
      <c r="F62" s="29"/>
      <c r="G62" s="36" t="s">
        <v>7</v>
      </c>
      <c r="H62" s="433">
        <v>15</v>
      </c>
      <c r="I62" s="488"/>
      <c r="J62" s="223"/>
      <c r="K62" s="224"/>
    </row>
    <row r="63" spans="1:11" s="3" customFormat="1" ht="25.5">
      <c r="A63" s="487"/>
      <c r="B63" s="489"/>
      <c r="C63" s="27"/>
      <c r="D63" s="461"/>
      <c r="E63" s="34" t="s">
        <v>973</v>
      </c>
      <c r="F63" s="424">
        <v>15</v>
      </c>
      <c r="G63" s="36"/>
      <c r="H63" s="266"/>
      <c r="I63" s="488"/>
      <c r="J63" s="490"/>
      <c r="K63" s="224"/>
    </row>
    <row r="64" spans="1:11" s="3" customFormat="1">
      <c r="A64" s="487"/>
      <c r="B64" s="489"/>
      <c r="C64" s="27"/>
      <c r="D64" s="461"/>
      <c r="E64" s="34"/>
      <c r="F64" s="29"/>
      <c r="G64" s="36"/>
      <c r="H64" s="266"/>
      <c r="I64" s="488"/>
      <c r="J64" s="490"/>
      <c r="K64" s="224"/>
    </row>
    <row r="65" spans="1:14" s="447" customFormat="1">
      <c r="A65" s="25"/>
      <c r="B65" s="467"/>
      <c r="C65" s="26"/>
      <c r="D65" s="461"/>
      <c r="E65" s="387"/>
      <c r="F65" s="448"/>
      <c r="G65" s="30"/>
      <c r="H65" s="491"/>
      <c r="I65" s="445"/>
      <c r="J65" s="446"/>
    </row>
    <row r="66" spans="1:14" s="447" customFormat="1" ht="25.5">
      <c r="A66" s="25">
        <f>MAX(A$1:A65)+1</f>
        <v>11</v>
      </c>
      <c r="B66" s="383"/>
      <c r="C66" s="26" t="s">
        <v>932</v>
      </c>
      <c r="D66" s="27"/>
      <c r="E66" s="28" t="s">
        <v>933</v>
      </c>
      <c r="F66" s="459"/>
      <c r="G66" s="30" t="s">
        <v>8</v>
      </c>
      <c r="H66" s="266">
        <v>3.6</v>
      </c>
      <c r="I66" s="509"/>
      <c r="J66" s="485">
        <f>I66*H66</f>
        <v>0</v>
      </c>
    </row>
    <row r="67" spans="1:14" s="447" customFormat="1">
      <c r="A67" s="25"/>
      <c r="B67" s="383"/>
      <c r="C67" s="26"/>
      <c r="D67" s="27"/>
      <c r="E67" s="387" t="s">
        <v>974</v>
      </c>
      <c r="F67" s="424">
        <f>2.4*0.1*15</f>
        <v>3.5999999999999996</v>
      </c>
      <c r="G67" s="30"/>
      <c r="H67" s="492"/>
      <c r="I67" s="445"/>
      <c r="J67" s="446"/>
    </row>
    <row r="68" spans="1:14" s="447" customFormat="1">
      <c r="A68" s="25"/>
      <c r="B68" s="383"/>
      <c r="C68" s="26"/>
      <c r="D68" s="27"/>
      <c r="E68" s="34"/>
      <c r="F68" s="424"/>
      <c r="G68" s="30"/>
      <c r="H68" s="492"/>
      <c r="I68" s="445"/>
      <c r="J68" s="446"/>
    </row>
    <row r="69" spans="1:14">
      <c r="A69" s="416"/>
      <c r="B69" s="216" t="s">
        <v>9</v>
      </c>
      <c r="C69" s="217"/>
      <c r="D69" s="218"/>
      <c r="E69" s="219" t="s">
        <v>10</v>
      </c>
      <c r="F69" s="417"/>
      <c r="G69" s="36"/>
      <c r="H69" s="433"/>
      <c r="I69" s="222"/>
      <c r="J69" s="223"/>
    </row>
    <row r="70" spans="1:14" s="159" customFormat="1">
      <c r="A70" s="142"/>
      <c r="B70" s="158"/>
      <c r="C70" s="115"/>
      <c r="D70" s="115"/>
      <c r="E70" s="116"/>
      <c r="F70" s="144"/>
      <c r="G70" s="145"/>
      <c r="H70" s="491"/>
      <c r="I70" s="493"/>
      <c r="J70" s="494"/>
    </row>
    <row r="71" spans="1:14" s="3" customFormat="1" ht="25.5">
      <c r="A71" s="25">
        <f>MAX(A$1:A70)+1</f>
        <v>12</v>
      </c>
      <c r="B71" s="430"/>
      <c r="C71" s="27" t="s">
        <v>949</v>
      </c>
      <c r="D71" s="26"/>
      <c r="E71" s="28" t="s">
        <v>950</v>
      </c>
      <c r="F71" s="29"/>
      <c r="G71" s="30" t="s">
        <v>7</v>
      </c>
      <c r="H71" s="495">
        <v>15</v>
      </c>
      <c r="I71" s="510"/>
      <c r="J71" s="496">
        <f>I71*H71</f>
        <v>0</v>
      </c>
      <c r="K71" s="224"/>
    </row>
    <row r="72" spans="1:14" s="159" customFormat="1" ht="25.5">
      <c r="A72" s="139"/>
      <c r="B72" s="160"/>
      <c r="C72" s="150"/>
      <c r="D72" s="161" t="s">
        <v>951</v>
      </c>
      <c r="E72" s="126" t="s">
        <v>952</v>
      </c>
      <c r="F72" s="162"/>
      <c r="G72" s="153" t="s">
        <v>7</v>
      </c>
      <c r="H72" s="433">
        <v>15</v>
      </c>
      <c r="I72" s="497"/>
      <c r="J72" s="498"/>
    </row>
    <row r="73" spans="1:14" s="159" customFormat="1" ht="16.5" customHeight="1">
      <c r="A73" s="142"/>
      <c r="B73" s="143"/>
      <c r="C73" s="115"/>
      <c r="D73" s="115"/>
      <c r="E73" s="194" t="s">
        <v>975</v>
      </c>
      <c r="F73" s="152">
        <v>15</v>
      </c>
      <c r="G73" s="145"/>
      <c r="H73" s="491"/>
      <c r="I73" s="493"/>
      <c r="J73" s="494"/>
      <c r="L73" s="163"/>
      <c r="N73" s="163"/>
    </row>
    <row r="74" spans="1:14" s="506" customFormat="1">
      <c r="A74" s="499"/>
      <c r="B74" s="500"/>
      <c r="C74" s="500"/>
      <c r="D74" s="501"/>
      <c r="E74" s="387"/>
      <c r="F74" s="502"/>
      <c r="G74" s="503"/>
      <c r="H74" s="504"/>
      <c r="I74" s="419"/>
      <c r="J74" s="505"/>
      <c r="K74" s="224"/>
      <c r="L74" s="224"/>
    </row>
    <row r="75" spans="1:14">
      <c r="A75" s="40"/>
      <c r="B75" s="41"/>
      <c r="C75" s="42"/>
      <c r="D75" s="33"/>
      <c r="E75" s="195"/>
      <c r="F75" s="32"/>
      <c r="G75" s="36"/>
      <c r="H75" s="58"/>
      <c r="I75" s="200"/>
      <c r="J75" s="58"/>
    </row>
    <row r="76" spans="1:14" ht="13.5" thickBot="1">
      <c r="A76" s="45"/>
      <c r="B76" s="46"/>
      <c r="C76" s="47"/>
      <c r="D76" s="48"/>
      <c r="E76" s="49"/>
      <c r="F76" s="50"/>
      <c r="G76" s="51"/>
      <c r="H76" s="60"/>
      <c r="I76" s="201"/>
      <c r="J76" s="60"/>
    </row>
    <row r="77" spans="1:14" ht="13.5" thickBot="1">
      <c r="A77" s="66"/>
      <c r="B77" s="67"/>
      <c r="C77" s="67"/>
      <c r="D77" s="67"/>
      <c r="E77" s="67" t="s">
        <v>958</v>
      </c>
      <c r="F77" s="68"/>
      <c r="G77" s="67"/>
      <c r="H77" s="68"/>
      <c r="I77" s="68"/>
      <c r="J77" s="380">
        <f>SUM(J5:J76)</f>
        <v>0</v>
      </c>
    </row>
  </sheetData>
  <sheetProtection algorithmName="SHA-512" hashValue="Ky4GEzMCgYtsDBuNX3EZgMz/dMVxX5FM89t3pF7kwU+arumq+eTfDvW6e1aDdTTKRAb5+lkZkoimYQVtjDaszg==" saltValue="9fwQNsbvIRs9gxFln9mVk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- KRUHOVÝ OBJAZD NA KRIŽOVATKE ULICE J. KOLLÁRA A CESTY 2460&amp;RO. Výkaz výmer a rozpočet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C37BA-379B-4BC0-9D31-E3C2880A463C}">
  <dimension ref="A1:J77"/>
  <sheetViews>
    <sheetView zoomScaleNormal="100" workbookViewId="0"/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4" customWidth="1"/>
    <col min="10" max="10" width="14.85546875" style="4" customWidth="1"/>
    <col min="11" max="16384" width="9.140625" style="7"/>
  </cols>
  <sheetData>
    <row r="1" spans="1:10">
      <c r="A1" s="1" t="s">
        <v>13</v>
      </c>
      <c r="B1" s="1"/>
      <c r="C1" s="2"/>
      <c r="D1" s="3"/>
      <c r="E1" s="54" t="s">
        <v>976</v>
      </c>
      <c r="G1" s="5"/>
      <c r="H1" s="55"/>
      <c r="I1" s="55"/>
      <c r="J1" s="55"/>
    </row>
    <row r="2" spans="1:10" ht="13.5" thickBot="1">
      <c r="A2" s="8" t="s">
        <v>14</v>
      </c>
      <c r="B2" s="1"/>
      <c r="C2" s="2"/>
      <c r="D2" s="3"/>
      <c r="E2" s="9">
        <v>2223</v>
      </c>
      <c r="G2" s="10"/>
      <c r="H2" s="56"/>
      <c r="I2" s="56"/>
      <c r="J2" s="56"/>
    </row>
    <row r="3" spans="1:10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36" t="s">
        <v>18</v>
      </c>
      <c r="I3" s="840" t="s">
        <v>163</v>
      </c>
      <c r="J3" s="840" t="s">
        <v>164</v>
      </c>
    </row>
    <row r="4" spans="1:10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37"/>
      <c r="I4" s="841"/>
      <c r="J4" s="841"/>
    </row>
    <row r="5" spans="1:10">
      <c r="A5" s="164"/>
      <c r="B5" s="165"/>
      <c r="C5" s="165"/>
      <c r="D5" s="166"/>
      <c r="E5" s="167"/>
      <c r="F5" s="168"/>
      <c r="G5" s="169"/>
      <c r="H5" s="170"/>
      <c r="I5" s="203"/>
      <c r="J5" s="170"/>
    </row>
    <row r="6" spans="1:10">
      <c r="A6" s="183"/>
      <c r="B6" s="184"/>
      <c r="C6" s="184"/>
      <c r="D6" s="185"/>
      <c r="E6" s="186"/>
      <c r="F6" s="187"/>
      <c r="G6" s="188"/>
      <c r="H6" s="189"/>
      <c r="I6" s="204"/>
      <c r="J6" s="190"/>
    </row>
    <row r="7" spans="1:10" s="399" customFormat="1">
      <c r="A7" s="392"/>
      <c r="B7" s="393" t="s">
        <v>107</v>
      </c>
      <c r="C7" s="217"/>
      <c r="D7" s="218"/>
      <c r="E7" s="219" t="s">
        <v>108</v>
      </c>
      <c r="F7" s="394"/>
      <c r="G7" s="395"/>
      <c r="H7" s="396"/>
      <c r="I7" s="397"/>
      <c r="J7" s="398"/>
    </row>
    <row r="8" spans="1:10" s="399" customFormat="1">
      <c r="A8" s="392"/>
      <c r="B8" s="400"/>
      <c r="C8" s="401"/>
      <c r="D8" s="402"/>
      <c r="E8" s="403"/>
      <c r="F8" s="404"/>
      <c r="G8" s="405"/>
      <c r="H8" s="396"/>
      <c r="I8" s="397"/>
      <c r="J8" s="398"/>
    </row>
    <row r="9" spans="1:10" s="399" customFormat="1">
      <c r="A9" s="392"/>
      <c r="B9" s="400"/>
      <c r="C9" s="401"/>
      <c r="D9" s="402"/>
      <c r="E9" s="403"/>
      <c r="F9" s="404"/>
      <c r="G9" s="405"/>
      <c r="H9" s="396"/>
      <c r="I9" s="397"/>
      <c r="J9" s="398"/>
    </row>
    <row r="10" spans="1:10" s="399" customFormat="1">
      <c r="A10" s="406">
        <f>MAX(A$1:A9)+1</f>
        <v>1</v>
      </c>
      <c r="B10" s="407"/>
      <c r="C10" s="239" t="s">
        <v>111</v>
      </c>
      <c r="D10" s="240"/>
      <c r="E10" s="241" t="s">
        <v>112</v>
      </c>
      <c r="F10" s="242"/>
      <c r="G10" s="243" t="s">
        <v>8</v>
      </c>
      <c r="H10" s="408">
        <v>16.5</v>
      </c>
      <c r="I10" s="507"/>
      <c r="J10" s="410">
        <f>H10*I10</f>
        <v>0</v>
      </c>
    </row>
    <row r="11" spans="1:10" s="399" customFormat="1">
      <c r="A11" s="411"/>
      <c r="B11" s="412"/>
      <c r="C11" s="413"/>
      <c r="D11" s="414"/>
      <c r="E11" s="237" t="s">
        <v>118</v>
      </c>
      <c r="F11" s="415">
        <v>16.5</v>
      </c>
      <c r="G11" s="395"/>
      <c r="H11" s="396"/>
      <c r="I11" s="397"/>
      <c r="J11" s="398"/>
    </row>
    <row r="12" spans="1:10">
      <c r="A12" s="183"/>
      <c r="B12" s="184"/>
      <c r="C12" s="184"/>
      <c r="D12" s="185"/>
      <c r="E12" s="186"/>
      <c r="F12" s="187"/>
      <c r="G12" s="188"/>
      <c r="H12" s="189"/>
      <c r="I12" s="204"/>
      <c r="J12" s="190"/>
    </row>
    <row r="13" spans="1:10">
      <c r="A13" s="183"/>
      <c r="B13" s="184"/>
      <c r="C13" s="184"/>
      <c r="D13" s="185"/>
      <c r="E13" s="186"/>
      <c r="F13" s="187"/>
      <c r="G13" s="188"/>
      <c r="H13" s="189"/>
      <c r="I13" s="204"/>
      <c r="J13" s="190"/>
    </row>
    <row r="14" spans="1:10">
      <c r="A14" s="416"/>
      <c r="B14" s="280" t="s">
        <v>763</v>
      </c>
      <c r="C14" s="280"/>
      <c r="D14" s="282"/>
      <c r="E14" s="251" t="s">
        <v>764</v>
      </c>
      <c r="F14" s="417"/>
      <c r="G14" s="30"/>
      <c r="H14" s="418"/>
      <c r="I14" s="419"/>
      <c r="J14" s="511"/>
    </row>
    <row r="15" spans="1:10">
      <c r="A15" s="421"/>
      <c r="B15" s="422"/>
      <c r="C15" s="422"/>
      <c r="D15" s="422"/>
      <c r="E15" s="423"/>
      <c r="F15" s="424"/>
      <c r="G15" s="425"/>
      <c r="H15" s="426"/>
      <c r="I15" s="512"/>
      <c r="J15" s="438"/>
    </row>
    <row r="16" spans="1:10">
      <c r="A16" s="25">
        <f>MAX(A$1:A14)+1</f>
        <v>2</v>
      </c>
      <c r="B16" s="430"/>
      <c r="C16" s="26" t="s">
        <v>161</v>
      </c>
      <c r="D16" s="27"/>
      <c r="E16" s="28" t="s">
        <v>162</v>
      </c>
      <c r="F16" s="29"/>
      <c r="G16" s="30" t="s">
        <v>8</v>
      </c>
      <c r="H16" s="266">
        <v>21</v>
      </c>
      <c r="I16" s="507"/>
      <c r="J16" s="431">
        <f>I16*H16</f>
        <v>0</v>
      </c>
    </row>
    <row r="17" spans="1:10">
      <c r="A17" s="432"/>
      <c r="B17" s="314"/>
      <c r="C17" s="39"/>
      <c r="D17" s="33" t="s">
        <v>268</v>
      </c>
      <c r="E17" s="34" t="s">
        <v>269</v>
      </c>
      <c r="F17" s="35"/>
      <c r="G17" s="36" t="s">
        <v>8</v>
      </c>
      <c r="H17" s="433">
        <v>21</v>
      </c>
      <c r="I17" s="419"/>
      <c r="J17" s="223"/>
    </row>
    <row r="18" spans="1:10" ht="25.5">
      <c r="A18" s="421"/>
      <c r="B18" s="434"/>
      <c r="C18" s="422"/>
      <c r="D18" s="434"/>
      <c r="E18" s="423" t="s">
        <v>959</v>
      </c>
      <c r="F18" s="435"/>
      <c r="G18" s="425"/>
      <c r="H18" s="436"/>
      <c r="I18" s="512"/>
      <c r="J18" s="438"/>
    </row>
    <row r="19" spans="1:10">
      <c r="A19" s="421"/>
      <c r="B19" s="434"/>
      <c r="C19" s="422"/>
      <c r="D19" s="422"/>
      <c r="E19" s="423" t="s">
        <v>977</v>
      </c>
      <c r="F19" s="435">
        <f>2*1.5*7</f>
        <v>21</v>
      </c>
      <c r="G19" s="425"/>
      <c r="H19" s="436"/>
      <c r="I19" s="512"/>
      <c r="J19" s="438"/>
    </row>
    <row r="20" spans="1:10">
      <c r="A20" s="421"/>
      <c r="B20" s="434"/>
      <c r="C20" s="422"/>
      <c r="D20" s="422"/>
      <c r="E20" s="423"/>
      <c r="F20" s="435"/>
      <c r="G20" s="425"/>
      <c r="H20" s="436"/>
      <c r="I20" s="512"/>
      <c r="J20" s="438"/>
    </row>
    <row r="21" spans="1:10">
      <c r="A21" s="25">
        <f>MAX(A$1:A19)+1</f>
        <v>3</v>
      </c>
      <c r="B21" s="430"/>
      <c r="C21" s="26" t="s">
        <v>253</v>
      </c>
      <c r="D21" s="27"/>
      <c r="E21" s="28" t="s">
        <v>254</v>
      </c>
      <c r="F21" s="29"/>
      <c r="G21" s="30" t="s">
        <v>8</v>
      </c>
      <c r="H21" s="266">
        <v>16.5</v>
      </c>
      <c r="I21" s="507"/>
      <c r="J21" s="431">
        <f>I21*H21</f>
        <v>0</v>
      </c>
    </row>
    <row r="22" spans="1:10">
      <c r="A22" s="432"/>
      <c r="B22" s="314"/>
      <c r="C22" s="39"/>
      <c r="D22" s="33" t="s">
        <v>255</v>
      </c>
      <c r="E22" s="34" t="s">
        <v>256</v>
      </c>
      <c r="F22" s="439"/>
      <c r="G22" s="440" t="s">
        <v>8</v>
      </c>
      <c r="H22" s="433">
        <v>16.5</v>
      </c>
      <c r="I22" s="419"/>
      <c r="J22" s="223"/>
    </row>
    <row r="23" spans="1:10">
      <c r="A23" s="441"/>
      <c r="B23" s="37"/>
      <c r="C23" s="39"/>
      <c r="D23" s="442"/>
      <c r="E23" s="387" t="s">
        <v>118</v>
      </c>
      <c r="F23" s="443"/>
      <c r="G23" s="440"/>
      <c r="H23" s="444"/>
      <c r="I23" s="513"/>
      <c r="J23" s="446"/>
    </row>
    <row r="24" spans="1:10">
      <c r="A24" s="441"/>
      <c r="B24" s="37"/>
      <c r="C24" s="39"/>
      <c r="D24" s="442"/>
      <c r="E24" s="387" t="s">
        <v>961</v>
      </c>
      <c r="F24" s="443"/>
      <c r="G24" s="36"/>
      <c r="H24" s="444"/>
      <c r="I24" s="513"/>
      <c r="J24" s="446"/>
    </row>
    <row r="25" spans="1:10">
      <c r="A25" s="441"/>
      <c r="B25" s="37"/>
      <c r="C25" s="39"/>
      <c r="D25" s="442"/>
      <c r="E25" s="387" t="s">
        <v>978</v>
      </c>
      <c r="F25" s="443">
        <f>2*1.5*5.5</f>
        <v>16.5</v>
      </c>
      <c r="G25" s="36"/>
      <c r="H25" s="444"/>
      <c r="I25" s="513"/>
      <c r="J25" s="446"/>
    </row>
    <row r="26" spans="1:10">
      <c r="A26" s="441"/>
      <c r="B26" s="37"/>
      <c r="C26" s="39"/>
      <c r="D26" s="442"/>
      <c r="E26" s="387"/>
      <c r="F26" s="448"/>
      <c r="G26" s="36"/>
      <c r="H26" s="444"/>
      <c r="I26" s="513"/>
      <c r="J26" s="446"/>
    </row>
    <row r="27" spans="1:10">
      <c r="A27" s="25">
        <f>MAX(A$1:A22)+1</f>
        <v>4</v>
      </c>
      <c r="B27" s="430"/>
      <c r="C27" s="26" t="s">
        <v>123</v>
      </c>
      <c r="D27" s="449"/>
      <c r="E27" s="28" t="s">
        <v>124</v>
      </c>
      <c r="F27" s="29"/>
      <c r="G27" s="30" t="s">
        <v>8</v>
      </c>
      <c r="H27" s="514">
        <f>H28+H32</f>
        <v>13.65</v>
      </c>
      <c r="I27" s="507"/>
      <c r="J27" s="431">
        <f>I27*H27</f>
        <v>0</v>
      </c>
    </row>
    <row r="28" spans="1:10">
      <c r="A28" s="432"/>
      <c r="B28" s="314"/>
      <c r="C28" s="39"/>
      <c r="D28" s="33" t="s">
        <v>807</v>
      </c>
      <c r="E28" s="34" t="s">
        <v>808</v>
      </c>
      <c r="F28" s="35"/>
      <c r="G28" s="36" t="s">
        <v>8</v>
      </c>
      <c r="H28" s="433">
        <v>10.92</v>
      </c>
      <c r="I28" s="419"/>
      <c r="J28" s="223"/>
    </row>
    <row r="29" spans="1:10" ht="25.5">
      <c r="A29" s="25"/>
      <c r="B29" s="434"/>
      <c r="C29" s="451"/>
      <c r="D29" s="422"/>
      <c r="E29" s="423" t="s">
        <v>979</v>
      </c>
      <c r="F29" s="452"/>
      <c r="G29" s="453"/>
      <c r="H29" s="454"/>
      <c r="I29" s="512"/>
      <c r="J29" s="438"/>
    </row>
    <row r="30" spans="1:10">
      <c r="A30" s="25"/>
      <c r="B30" s="434"/>
      <c r="C30" s="451"/>
      <c r="D30" s="422"/>
      <c r="E30" s="423" t="s">
        <v>980</v>
      </c>
      <c r="F30" s="452">
        <f>0.8*(21-(1.5*0.7*7))</f>
        <v>10.920000000000002</v>
      </c>
      <c r="G30" s="453"/>
      <c r="H30" s="454"/>
      <c r="I30" s="512"/>
      <c r="J30" s="438"/>
    </row>
    <row r="31" spans="1:10">
      <c r="A31" s="25"/>
      <c r="B31" s="434"/>
      <c r="C31" s="451"/>
      <c r="D31" s="422"/>
      <c r="E31" s="455"/>
      <c r="F31" s="452"/>
      <c r="G31" s="453"/>
      <c r="H31" s="454"/>
      <c r="I31" s="512"/>
      <c r="J31" s="438"/>
    </row>
    <row r="32" spans="1:10" ht="25.5">
      <c r="A32" s="421"/>
      <c r="B32" s="434"/>
      <c r="C32" s="422"/>
      <c r="D32" s="422" t="s">
        <v>125</v>
      </c>
      <c r="E32" s="456" t="s">
        <v>126</v>
      </c>
      <c r="F32" s="452"/>
      <c r="G32" s="425" t="s">
        <v>812</v>
      </c>
      <c r="H32" s="436">
        <v>2.73</v>
      </c>
      <c r="I32" s="427"/>
      <c r="J32" s="223"/>
    </row>
    <row r="33" spans="1:10" ht="25.5">
      <c r="A33" s="421"/>
      <c r="B33" s="434"/>
      <c r="C33" s="422"/>
      <c r="D33" s="434"/>
      <c r="E33" s="387" t="s">
        <v>981</v>
      </c>
      <c r="F33" s="452"/>
      <c r="G33" s="425"/>
      <c r="H33" s="436"/>
      <c r="I33" s="512"/>
      <c r="J33" s="438"/>
    </row>
    <row r="34" spans="1:10">
      <c r="A34" s="421"/>
      <c r="B34" s="434"/>
      <c r="C34" s="422"/>
      <c r="D34" s="434"/>
      <c r="E34" s="423" t="s">
        <v>982</v>
      </c>
      <c r="F34" s="452">
        <f>0.2*(21-(1.5*0.7*7))</f>
        <v>2.7300000000000004</v>
      </c>
      <c r="G34" s="425"/>
      <c r="H34" s="436"/>
      <c r="I34" s="512"/>
      <c r="J34" s="438"/>
    </row>
    <row r="35" spans="1:10">
      <c r="A35" s="421"/>
      <c r="B35" s="422"/>
      <c r="C35" s="434"/>
      <c r="D35" s="434"/>
      <c r="E35" s="423"/>
      <c r="F35" s="424"/>
      <c r="G35" s="425"/>
      <c r="H35" s="436"/>
      <c r="I35" s="512"/>
      <c r="J35" s="438"/>
    </row>
    <row r="36" spans="1:10">
      <c r="A36" s="25">
        <f>MAX(A$1:A34)+1</f>
        <v>5</v>
      </c>
      <c r="B36" s="457"/>
      <c r="C36" s="26" t="s">
        <v>819</v>
      </c>
      <c r="D36" s="27"/>
      <c r="E36" s="458" t="s">
        <v>820</v>
      </c>
      <c r="F36" s="459"/>
      <c r="G36" s="30" t="s">
        <v>8</v>
      </c>
      <c r="H36" s="266">
        <v>5.81</v>
      </c>
      <c r="I36" s="507"/>
      <c r="J36" s="431">
        <f>I36*H36</f>
        <v>0</v>
      </c>
    </row>
    <row r="37" spans="1:10">
      <c r="A37" s="460"/>
      <c r="B37" s="37"/>
      <c r="C37" s="461"/>
      <c r="D37" s="33" t="s">
        <v>821</v>
      </c>
      <c r="E37" s="462" t="s">
        <v>822</v>
      </c>
      <c r="F37" s="463"/>
      <c r="G37" s="440" t="s">
        <v>8</v>
      </c>
      <c r="H37" s="436">
        <v>5.81</v>
      </c>
      <c r="I37" s="515"/>
      <c r="J37" s="223"/>
    </row>
    <row r="38" spans="1:10">
      <c r="A38" s="460"/>
      <c r="B38" s="37"/>
      <c r="C38" s="461"/>
      <c r="D38" s="33"/>
      <c r="E38" s="387" t="s">
        <v>823</v>
      </c>
      <c r="F38" s="464"/>
      <c r="G38" s="36"/>
      <c r="H38" s="444"/>
      <c r="I38" s="513"/>
      <c r="J38" s="446"/>
    </row>
    <row r="39" spans="1:10">
      <c r="A39" s="460"/>
      <c r="B39" s="37"/>
      <c r="C39" s="461"/>
      <c r="D39" s="442"/>
      <c r="E39" s="387" t="s">
        <v>983</v>
      </c>
      <c r="F39" s="448">
        <f>7*(1.5*0.6-3.14*0.15*0.15)</f>
        <v>5.8054499999999996</v>
      </c>
      <c r="G39" s="36"/>
      <c r="H39" s="444"/>
      <c r="I39" s="513"/>
      <c r="J39" s="446"/>
    </row>
    <row r="40" spans="1:10">
      <c r="A40" s="421"/>
      <c r="B40" s="434"/>
      <c r="C40" s="434"/>
      <c r="D40" s="422"/>
      <c r="E40" s="423"/>
      <c r="F40" s="424"/>
      <c r="G40" s="465"/>
      <c r="H40" s="436"/>
      <c r="I40" s="512"/>
      <c r="J40" s="438"/>
    </row>
    <row r="41" spans="1:10">
      <c r="A41" s="25">
        <f>MAX(A$1:A40)+1</f>
        <v>6</v>
      </c>
      <c r="B41" s="457"/>
      <c r="C41" s="26" t="s">
        <v>829</v>
      </c>
      <c r="D41" s="27"/>
      <c r="E41" s="28" t="s">
        <v>830</v>
      </c>
      <c r="F41" s="466"/>
      <c r="G41" s="30" t="s">
        <v>8</v>
      </c>
      <c r="H41" s="266">
        <v>2.73</v>
      </c>
      <c r="I41" s="507"/>
      <c r="J41" s="431">
        <f>I41*H41</f>
        <v>0</v>
      </c>
    </row>
    <row r="42" spans="1:10" ht="25.5">
      <c r="A42" s="460"/>
      <c r="B42" s="467"/>
      <c r="C42" s="39"/>
      <c r="D42" s="442" t="s">
        <v>831</v>
      </c>
      <c r="E42" s="34" t="s">
        <v>832</v>
      </c>
      <c r="F42" s="468"/>
      <c r="G42" s="36" t="s">
        <v>8</v>
      </c>
      <c r="H42" s="436">
        <v>2.73</v>
      </c>
      <c r="I42" s="515"/>
      <c r="J42" s="223"/>
    </row>
    <row r="43" spans="1:10" ht="25.5">
      <c r="A43" s="460"/>
      <c r="B43" s="467"/>
      <c r="C43" s="39"/>
      <c r="D43" s="442"/>
      <c r="E43" s="469" t="s">
        <v>833</v>
      </c>
      <c r="F43" s="468"/>
      <c r="G43" s="36"/>
      <c r="H43" s="444"/>
      <c r="I43" s="513"/>
      <c r="J43" s="446"/>
    </row>
    <row r="44" spans="1:10">
      <c r="A44" s="421"/>
      <c r="B44" s="422"/>
      <c r="C44" s="434"/>
      <c r="D44" s="422"/>
      <c r="E44" s="469" t="s">
        <v>834</v>
      </c>
      <c r="F44" s="424">
        <f>F34</f>
        <v>2.7300000000000004</v>
      </c>
      <c r="G44" s="465"/>
      <c r="H44" s="436"/>
      <c r="I44" s="512"/>
      <c r="J44" s="438"/>
    </row>
    <row r="45" spans="1:10">
      <c r="A45" s="421"/>
      <c r="B45" s="422"/>
      <c r="C45" s="470"/>
      <c r="D45" s="471"/>
      <c r="E45" s="469"/>
      <c r="F45" s="435"/>
      <c r="G45" s="472"/>
      <c r="H45" s="436"/>
      <c r="I45" s="512"/>
      <c r="J45" s="438"/>
    </row>
    <row r="46" spans="1:10">
      <c r="A46" s="25">
        <f>MAX(A$1:A45)+1</f>
        <v>7</v>
      </c>
      <c r="B46" s="422"/>
      <c r="C46" s="26" t="s">
        <v>835</v>
      </c>
      <c r="D46" s="27"/>
      <c r="E46" s="28" t="s">
        <v>836</v>
      </c>
      <c r="F46" s="28"/>
      <c r="G46" s="30" t="s">
        <v>8</v>
      </c>
      <c r="H46" s="454">
        <v>16.5</v>
      </c>
      <c r="I46" s="507"/>
      <c r="J46" s="485">
        <f>I46*H46</f>
        <v>0</v>
      </c>
    </row>
    <row r="47" spans="1:10" ht="25.5">
      <c r="A47" s="473"/>
      <c r="B47" s="474"/>
      <c r="C47" s="39"/>
      <c r="D47" s="33" t="s">
        <v>837</v>
      </c>
      <c r="E47" s="34" t="s">
        <v>838</v>
      </c>
      <c r="F47" s="34"/>
      <c r="G47" s="36" t="s">
        <v>8</v>
      </c>
      <c r="H47" s="436">
        <v>16.5</v>
      </c>
      <c r="I47" s="427"/>
      <c r="J47" s="223"/>
    </row>
    <row r="48" spans="1:10">
      <c r="A48" s="473"/>
      <c r="B48" s="474"/>
      <c r="C48" s="474"/>
      <c r="D48" s="474"/>
      <c r="E48" s="387" t="s">
        <v>118</v>
      </c>
      <c r="F48" s="475">
        <f>F25</f>
        <v>16.5</v>
      </c>
      <c r="G48" s="476"/>
      <c r="H48" s="436"/>
      <c r="I48" s="512"/>
      <c r="J48" s="438"/>
    </row>
    <row r="49" spans="1:10">
      <c r="A49" s="473"/>
      <c r="B49" s="474"/>
      <c r="C49" s="474"/>
      <c r="D49" s="474"/>
      <c r="E49" s="387"/>
      <c r="F49" s="448"/>
      <c r="G49" s="476"/>
      <c r="H49" s="436"/>
      <c r="I49" s="512"/>
      <c r="J49" s="438"/>
    </row>
    <row r="50" spans="1:10">
      <c r="A50" s="473"/>
      <c r="B50" s="474"/>
      <c r="C50" s="474"/>
      <c r="D50" s="474"/>
      <c r="E50" s="477"/>
      <c r="F50" s="475"/>
      <c r="G50" s="478"/>
      <c r="H50" s="436"/>
      <c r="I50" s="512"/>
      <c r="J50" s="438"/>
    </row>
    <row r="51" spans="1:10">
      <c r="A51" s="25">
        <f>MAX(A$1:A50)+1</f>
        <v>8</v>
      </c>
      <c r="B51" s="474"/>
      <c r="C51" s="26" t="s">
        <v>127</v>
      </c>
      <c r="D51" s="27"/>
      <c r="E51" s="28" t="s">
        <v>839</v>
      </c>
      <c r="F51" s="479"/>
      <c r="G51" s="480" t="s">
        <v>8</v>
      </c>
      <c r="H51" s="454">
        <v>19.23</v>
      </c>
      <c r="I51" s="507"/>
      <c r="J51" s="485">
        <f>I51*H51</f>
        <v>0</v>
      </c>
    </row>
    <row r="52" spans="1:10" ht="25.5">
      <c r="A52" s="473"/>
      <c r="B52" s="474"/>
      <c r="C52" s="39"/>
      <c r="D52" s="33" t="s">
        <v>129</v>
      </c>
      <c r="E52" s="34" t="s">
        <v>130</v>
      </c>
      <c r="F52" s="481"/>
      <c r="G52" s="440" t="s">
        <v>8</v>
      </c>
      <c r="H52" s="436">
        <v>19.23</v>
      </c>
      <c r="I52" s="427"/>
      <c r="J52" s="223"/>
    </row>
    <row r="53" spans="1:10">
      <c r="A53" s="473"/>
      <c r="B53" s="474"/>
      <c r="C53" s="474"/>
      <c r="D53" s="474"/>
      <c r="E53" s="477"/>
      <c r="F53" s="435">
        <f>F44+F48</f>
        <v>19.23</v>
      </c>
      <c r="G53" s="472"/>
      <c r="H53" s="436"/>
      <c r="I53" s="512"/>
      <c r="J53" s="438"/>
    </row>
    <row r="54" spans="1:10">
      <c r="A54" s="473"/>
      <c r="B54" s="474"/>
      <c r="C54" s="474"/>
      <c r="D54" s="474"/>
      <c r="E54" s="477"/>
      <c r="F54" s="424"/>
      <c r="G54" s="472"/>
      <c r="H54" s="436"/>
      <c r="I54" s="512"/>
      <c r="J54" s="438"/>
    </row>
    <row r="55" spans="1:10" ht="25.5">
      <c r="A55" s="25">
        <f>MAX(A$1:A54)+1</f>
        <v>9</v>
      </c>
      <c r="B55" s="474"/>
      <c r="C55" s="482" t="s">
        <v>840</v>
      </c>
      <c r="D55" s="471"/>
      <c r="E55" s="483" t="s">
        <v>841</v>
      </c>
      <c r="F55" s="452"/>
      <c r="G55" s="484" t="s">
        <v>842</v>
      </c>
      <c r="H55" s="454">
        <v>28</v>
      </c>
      <c r="I55" s="507"/>
      <c r="J55" s="485">
        <f>I55*H55</f>
        <v>0</v>
      </c>
    </row>
    <row r="56" spans="1:10" ht="25.5">
      <c r="A56" s="421"/>
      <c r="B56" s="470"/>
      <c r="C56" s="474"/>
      <c r="D56" s="471" t="s">
        <v>843</v>
      </c>
      <c r="E56" s="486" t="s">
        <v>844</v>
      </c>
      <c r="F56" s="424"/>
      <c r="G56" s="472" t="s">
        <v>842</v>
      </c>
      <c r="H56" s="436">
        <v>28</v>
      </c>
      <c r="I56" s="427"/>
      <c r="J56" s="223"/>
    </row>
    <row r="57" spans="1:10">
      <c r="A57" s="421"/>
      <c r="B57" s="470"/>
      <c r="C57" s="474"/>
      <c r="D57" s="471"/>
      <c r="E57" s="423" t="s">
        <v>984</v>
      </c>
      <c r="F57" s="424">
        <f>2*2*7</f>
        <v>28</v>
      </c>
      <c r="G57" s="472"/>
      <c r="H57" s="436"/>
      <c r="I57" s="512"/>
      <c r="J57" s="438"/>
    </row>
    <row r="58" spans="1:10">
      <c r="A58" s="421"/>
      <c r="B58" s="434"/>
      <c r="C58" s="434"/>
      <c r="D58" s="434"/>
      <c r="E58" s="469"/>
      <c r="F58" s="424"/>
      <c r="G58" s="465"/>
      <c r="H58" s="436"/>
      <c r="I58" s="427"/>
      <c r="J58" s="438"/>
    </row>
    <row r="59" spans="1:10" ht="25.5">
      <c r="A59" s="416"/>
      <c r="B59" s="280" t="s">
        <v>315</v>
      </c>
      <c r="C59" s="280"/>
      <c r="D59" s="282"/>
      <c r="E59" s="251" t="s">
        <v>316</v>
      </c>
      <c r="F59" s="417"/>
      <c r="G59" s="36"/>
      <c r="H59" s="433"/>
      <c r="I59" s="419"/>
      <c r="J59" s="223"/>
    </row>
    <row r="60" spans="1:10">
      <c r="A60" s="416"/>
      <c r="B60" s="280"/>
      <c r="C60" s="280"/>
      <c r="D60" s="282"/>
      <c r="E60" s="251"/>
      <c r="F60" s="417"/>
      <c r="G60" s="36"/>
      <c r="H60" s="433"/>
      <c r="I60" s="419"/>
      <c r="J60" s="223"/>
    </row>
    <row r="61" spans="1:10">
      <c r="A61" s="25">
        <f>MAX(A$1:A59)+1</f>
        <v>10</v>
      </c>
      <c r="B61" s="430"/>
      <c r="C61" s="27" t="s">
        <v>969</v>
      </c>
      <c r="D61" s="26"/>
      <c r="E61" s="28" t="s">
        <v>970</v>
      </c>
      <c r="F61" s="29"/>
      <c r="G61" s="30" t="s">
        <v>7</v>
      </c>
      <c r="H61" s="266">
        <v>7</v>
      </c>
      <c r="I61" s="507"/>
      <c r="J61" s="485">
        <f>I61*H61</f>
        <v>0</v>
      </c>
    </row>
    <row r="62" spans="1:10">
      <c r="A62" s="487"/>
      <c r="B62" s="430"/>
      <c r="C62" s="27"/>
      <c r="D62" s="39" t="s">
        <v>985</v>
      </c>
      <c r="E62" s="34" t="s">
        <v>986</v>
      </c>
      <c r="F62" s="29"/>
      <c r="G62" s="36" t="s">
        <v>7</v>
      </c>
      <c r="H62" s="436">
        <v>7</v>
      </c>
      <c r="I62" s="427"/>
      <c r="J62" s="223"/>
    </row>
    <row r="63" spans="1:10" ht="25.5">
      <c r="A63" s="487"/>
      <c r="B63" s="489"/>
      <c r="C63" s="27"/>
      <c r="D63" s="461"/>
      <c r="E63" s="423" t="s">
        <v>987</v>
      </c>
      <c r="F63" s="424">
        <v>7</v>
      </c>
      <c r="G63" s="36"/>
      <c r="H63" s="266"/>
      <c r="I63" s="516"/>
      <c r="J63" s="490"/>
    </row>
    <row r="64" spans="1:10">
      <c r="A64" s="487"/>
      <c r="B64" s="489"/>
      <c r="C64" s="27"/>
      <c r="D64" s="461"/>
      <c r="E64" s="34"/>
      <c r="F64" s="29"/>
      <c r="G64" s="36"/>
      <c r="H64" s="266"/>
      <c r="I64" s="516"/>
      <c r="J64" s="490"/>
    </row>
    <row r="65" spans="1:10">
      <c r="A65" s="25"/>
      <c r="B65" s="467"/>
      <c r="C65" s="26"/>
      <c r="D65" s="461"/>
      <c r="E65" s="387"/>
      <c r="F65" s="448"/>
      <c r="G65" s="30"/>
      <c r="H65" s="491"/>
      <c r="I65" s="513"/>
      <c r="J65" s="446"/>
    </row>
    <row r="66" spans="1:10" ht="25.5">
      <c r="A66" s="25">
        <f>MAX(A$1:A65)+1</f>
        <v>11</v>
      </c>
      <c r="B66" s="383"/>
      <c r="C66" s="26" t="s">
        <v>932</v>
      </c>
      <c r="D66" s="27"/>
      <c r="E66" s="28" t="s">
        <v>933</v>
      </c>
      <c r="F66" s="459"/>
      <c r="G66" s="30" t="s">
        <v>8</v>
      </c>
      <c r="H66" s="266">
        <v>1.05</v>
      </c>
      <c r="I66" s="507"/>
      <c r="J66" s="485">
        <f>I66*H66</f>
        <v>0</v>
      </c>
    </row>
    <row r="67" spans="1:10">
      <c r="A67" s="25"/>
      <c r="B67" s="383"/>
      <c r="C67" s="26"/>
      <c r="D67" s="27"/>
      <c r="E67" s="387" t="s">
        <v>988</v>
      </c>
      <c r="F67" s="424">
        <f>1.5*0.1*7</f>
        <v>1.0500000000000003</v>
      </c>
      <c r="G67" s="30"/>
      <c r="H67" s="492"/>
      <c r="I67" s="513"/>
      <c r="J67" s="446"/>
    </row>
    <row r="68" spans="1:10">
      <c r="A68" s="25"/>
      <c r="B68" s="383"/>
      <c r="C68" s="26"/>
      <c r="D68" s="27"/>
      <c r="E68" s="34"/>
      <c r="F68" s="424"/>
      <c r="G68" s="30"/>
      <c r="H68" s="492"/>
      <c r="I68" s="513"/>
      <c r="J68" s="446"/>
    </row>
    <row r="69" spans="1:10">
      <c r="A69" s="416"/>
      <c r="B69" s="280" t="s">
        <v>9</v>
      </c>
      <c r="C69" s="280"/>
      <c r="D69" s="282"/>
      <c r="E69" s="251" t="s">
        <v>10</v>
      </c>
      <c r="F69" s="417"/>
      <c r="G69" s="36"/>
      <c r="H69" s="433"/>
      <c r="I69" s="419"/>
      <c r="J69" s="223"/>
    </row>
    <row r="70" spans="1:10">
      <c r="A70" s="142"/>
      <c r="B70" s="158"/>
      <c r="C70" s="115"/>
      <c r="D70" s="115"/>
      <c r="E70" s="116"/>
      <c r="F70" s="144"/>
      <c r="G70" s="145"/>
      <c r="H70" s="491"/>
      <c r="I70" s="517"/>
      <c r="J70" s="494"/>
    </row>
    <row r="71" spans="1:10" ht="25.5">
      <c r="A71" s="518">
        <f>MAX(A$1:A70)+1</f>
        <v>12</v>
      </c>
      <c r="B71" s="430"/>
      <c r="C71" s="27" t="s">
        <v>949</v>
      </c>
      <c r="D71" s="26"/>
      <c r="E71" s="28" t="s">
        <v>950</v>
      </c>
      <c r="F71" s="29"/>
      <c r="G71" s="30" t="s">
        <v>7</v>
      </c>
      <c r="H71" s="266">
        <v>7</v>
      </c>
      <c r="I71" s="507"/>
      <c r="J71" s="485">
        <f>I71*H71</f>
        <v>0</v>
      </c>
    </row>
    <row r="72" spans="1:10" ht="25.5">
      <c r="A72" s="139"/>
      <c r="B72" s="160"/>
      <c r="C72" s="150"/>
      <c r="D72" s="161" t="s">
        <v>951</v>
      </c>
      <c r="E72" s="126" t="s">
        <v>952</v>
      </c>
      <c r="F72" s="162"/>
      <c r="G72" s="153" t="s">
        <v>7</v>
      </c>
      <c r="H72" s="436">
        <v>7</v>
      </c>
      <c r="I72" s="519"/>
      <c r="J72" s="498"/>
    </row>
    <row r="73" spans="1:10">
      <c r="A73" s="142"/>
      <c r="B73" s="143"/>
      <c r="C73" s="115"/>
      <c r="D73" s="115"/>
      <c r="E73" s="194" t="s">
        <v>975</v>
      </c>
      <c r="F73" s="152">
        <v>7</v>
      </c>
      <c r="G73" s="145"/>
      <c r="H73" s="491"/>
      <c r="I73" s="517"/>
      <c r="J73" s="520"/>
    </row>
    <row r="74" spans="1:10">
      <c r="A74" s="499"/>
      <c r="B74" s="500"/>
      <c r="C74" s="500"/>
      <c r="D74" s="501"/>
      <c r="E74" s="387"/>
      <c r="F74" s="502"/>
      <c r="G74" s="503"/>
      <c r="H74" s="521"/>
      <c r="I74" s="522"/>
      <c r="J74" s="523"/>
    </row>
    <row r="75" spans="1:10">
      <c r="A75" s="499"/>
      <c r="B75" s="500"/>
      <c r="C75" s="500"/>
      <c r="D75" s="501"/>
      <c r="E75" s="387"/>
      <c r="F75" s="502"/>
      <c r="G75" s="503"/>
      <c r="H75" s="521"/>
      <c r="I75" s="419"/>
      <c r="J75" s="505"/>
    </row>
    <row r="76" spans="1:10" ht="13.5" thickBot="1">
      <c r="A76" s="45"/>
      <c r="B76" s="46"/>
      <c r="C76" s="47"/>
      <c r="D76" s="48"/>
      <c r="E76" s="49"/>
      <c r="F76" s="50"/>
      <c r="G76" s="51"/>
      <c r="H76" s="60"/>
      <c r="I76" s="201"/>
      <c r="J76" s="60"/>
    </row>
    <row r="77" spans="1:10" ht="13.5" thickBot="1">
      <c r="A77" s="66"/>
      <c r="B77" s="67"/>
      <c r="C77" s="67"/>
      <c r="D77" s="67"/>
      <c r="E77" s="67" t="s">
        <v>989</v>
      </c>
      <c r="F77" s="68"/>
      <c r="G77" s="67"/>
      <c r="H77" s="68"/>
      <c r="I77" s="68"/>
      <c r="J77" s="380">
        <f>SUM(J5:J76)</f>
        <v>0</v>
      </c>
    </row>
  </sheetData>
  <sheetProtection algorithmName="SHA-512" hashValue="YeNME/Z1PM0MpCNArxKOzc/vXOZw8SHbWalZ7IykGwEDXXkY1c/xPguBUSOTvyj4MeSSPFs4XHVig7O+d3mS0A==" saltValue="5eIgQDctMTi86OHb0Y93VA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- KRUHOVÝ OBJAZD NA KRIŽOVATKE ULICE J.KOLLÁRA A CESTY 2460&amp;RO. Výkaz výmer a rozpočet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15FB-546F-4029-8AEF-6777D4CA97C7}">
  <dimension ref="A1:M159"/>
  <sheetViews>
    <sheetView zoomScaleNormal="100" workbookViewId="0"/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53" customWidth="1"/>
    <col min="10" max="10" width="14.85546875" style="53" customWidth="1"/>
    <col min="11" max="16384" width="9.140625" style="7"/>
  </cols>
  <sheetData>
    <row r="1" spans="1:10">
      <c r="A1" s="1" t="s">
        <v>13</v>
      </c>
      <c r="B1" s="1"/>
      <c r="C1" s="2"/>
      <c r="D1" s="3"/>
      <c r="E1" s="54" t="s">
        <v>992</v>
      </c>
      <c r="G1" s="5"/>
      <c r="H1" s="6"/>
      <c r="I1" s="6"/>
      <c r="J1" s="6"/>
    </row>
    <row r="2" spans="1:10" ht="13.5" thickBot="1">
      <c r="A2" s="8" t="s">
        <v>14</v>
      </c>
      <c r="B2" s="1"/>
      <c r="C2" s="2"/>
      <c r="D2" s="3"/>
      <c r="E2" s="9">
        <v>2224</v>
      </c>
      <c r="G2" s="10"/>
      <c r="H2" s="11"/>
      <c r="I2" s="11"/>
      <c r="J2" s="11"/>
    </row>
    <row r="3" spans="1:10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36" t="s">
        <v>18</v>
      </c>
      <c r="I3" s="826" t="s">
        <v>163</v>
      </c>
      <c r="J3" s="826" t="s">
        <v>164</v>
      </c>
    </row>
    <row r="4" spans="1:10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37"/>
      <c r="I4" s="827"/>
      <c r="J4" s="827"/>
    </row>
    <row r="5" spans="1:10" ht="13.5" customHeight="1">
      <c r="A5" s="15"/>
      <c r="B5" s="16"/>
      <c r="C5" s="16"/>
      <c r="D5" s="17"/>
      <c r="E5" s="18"/>
      <c r="F5" s="19"/>
      <c r="G5" s="20"/>
      <c r="H5" s="172"/>
      <c r="I5" s="196"/>
      <c r="J5" s="176"/>
    </row>
    <row r="6" spans="1:10" s="366" customFormat="1">
      <c r="A6" s="524"/>
      <c r="B6" s="216" t="s">
        <v>107</v>
      </c>
      <c r="C6" s="217"/>
      <c r="D6" s="218"/>
      <c r="E6" s="219" t="s">
        <v>108</v>
      </c>
      <c r="F6" s="394"/>
      <c r="G6" s="525"/>
      <c r="H6" s="526"/>
      <c r="I6" s="527"/>
      <c r="J6" s="528"/>
    </row>
    <row r="7" spans="1:10" s="366" customFormat="1">
      <c r="A7" s="524"/>
      <c r="B7" s="413"/>
      <c r="C7" s="413"/>
      <c r="D7" s="414"/>
      <c r="E7" s="529"/>
      <c r="F7" s="394"/>
      <c r="G7" s="525"/>
      <c r="H7" s="526"/>
      <c r="I7" s="527"/>
      <c r="J7" s="528"/>
    </row>
    <row r="8" spans="1:10" s="366" customFormat="1" ht="25.5">
      <c r="A8" s="25">
        <f>MAX(A$1:A6)+1</f>
        <v>1</v>
      </c>
      <c r="B8" s="530"/>
      <c r="C8" s="26" t="s">
        <v>113</v>
      </c>
      <c r="D8" s="27"/>
      <c r="E8" s="28" t="s">
        <v>114</v>
      </c>
      <c r="F8" s="29"/>
      <c r="G8" s="30" t="s">
        <v>0</v>
      </c>
      <c r="H8" s="531">
        <v>80</v>
      </c>
      <c r="I8" s="507"/>
      <c r="J8" s="532">
        <f>H8*I8</f>
        <v>0</v>
      </c>
    </row>
    <row r="9" spans="1:10" s="366" customFormat="1">
      <c r="A9" s="533"/>
      <c r="B9" s="534"/>
      <c r="C9" s="535"/>
      <c r="D9" s="536"/>
      <c r="E9" s="537" t="s">
        <v>993</v>
      </c>
      <c r="F9" s="538"/>
      <c r="G9" s="539"/>
      <c r="H9" s="540"/>
      <c r="I9" s="541"/>
      <c r="J9" s="542"/>
    </row>
    <row r="10" spans="1:10" s="366" customFormat="1">
      <c r="A10" s="524"/>
      <c r="B10" s="413"/>
      <c r="C10" s="413"/>
      <c r="D10" s="414"/>
      <c r="E10" s="537" t="s">
        <v>994</v>
      </c>
      <c r="F10" s="415">
        <v>80</v>
      </c>
      <c r="G10" s="525"/>
      <c r="H10" s="526"/>
      <c r="I10" s="409"/>
      <c r="J10" s="528"/>
    </row>
    <row r="11" spans="1:10" s="366" customFormat="1">
      <c r="A11" s="524"/>
      <c r="B11" s="413"/>
      <c r="C11" s="413"/>
      <c r="D11" s="414"/>
      <c r="E11" s="529"/>
      <c r="F11" s="394"/>
      <c r="G11" s="525"/>
      <c r="H11" s="526"/>
      <c r="I11" s="409"/>
      <c r="J11" s="528"/>
    </row>
    <row r="12" spans="1:10" s="366" customFormat="1">
      <c r="A12" s="227">
        <f>MAX(A$1:A11)+1</f>
        <v>2</v>
      </c>
      <c r="B12" s="228"/>
      <c r="C12" s="543" t="s">
        <v>111</v>
      </c>
      <c r="D12" s="544"/>
      <c r="E12" s="545" t="s">
        <v>112</v>
      </c>
      <c r="F12" s="546"/>
      <c r="G12" s="243" t="s">
        <v>8</v>
      </c>
      <c r="H12" s="531">
        <v>110</v>
      </c>
      <c r="I12" s="507"/>
      <c r="J12" s="532">
        <f>H12*I12</f>
        <v>0</v>
      </c>
    </row>
    <row r="13" spans="1:10" s="366" customFormat="1">
      <c r="A13" s="524"/>
      <c r="B13" s="413"/>
      <c r="C13" s="413"/>
      <c r="D13" s="414"/>
      <c r="E13" s="237" t="s">
        <v>118</v>
      </c>
      <c r="F13" s="394"/>
      <c r="G13" s="525"/>
      <c r="H13" s="526"/>
      <c r="I13" s="409"/>
      <c r="J13" s="528"/>
    </row>
    <row r="14" spans="1:10" s="366" customFormat="1">
      <c r="A14" s="524"/>
      <c r="B14" s="413"/>
      <c r="C14" s="413"/>
      <c r="D14" s="414"/>
      <c r="E14" s="529" t="s">
        <v>995</v>
      </c>
      <c r="F14" s="394"/>
      <c r="G14" s="525"/>
      <c r="H14" s="526"/>
      <c r="I14" s="409"/>
      <c r="J14" s="528"/>
    </row>
    <row r="15" spans="1:10" s="366" customFormat="1">
      <c r="A15" s="524"/>
      <c r="B15" s="413"/>
      <c r="C15" s="413"/>
      <c r="D15" s="414"/>
      <c r="E15" s="529"/>
      <c r="F15" s="394"/>
      <c r="G15" s="525"/>
      <c r="H15" s="526"/>
      <c r="I15" s="409"/>
      <c r="J15" s="528"/>
    </row>
    <row r="16" spans="1:10" s="366" customFormat="1">
      <c r="A16" s="524"/>
      <c r="B16" s="413"/>
      <c r="C16" s="413"/>
      <c r="D16" s="414"/>
      <c r="E16" s="529"/>
      <c r="F16" s="394"/>
      <c r="G16" s="525"/>
      <c r="H16" s="526"/>
      <c r="I16" s="409"/>
      <c r="J16" s="528"/>
    </row>
    <row r="17" spans="1:13" s="548" customFormat="1">
      <c r="A17" s="524"/>
      <c r="B17" s="216" t="s">
        <v>23</v>
      </c>
      <c r="C17" s="217"/>
      <c r="D17" s="218"/>
      <c r="E17" s="219" t="s">
        <v>24</v>
      </c>
      <c r="F17" s="394"/>
      <c r="G17" s="525"/>
      <c r="H17" s="526"/>
      <c r="I17" s="547"/>
      <c r="J17" s="410"/>
      <c r="L17" s="549"/>
      <c r="M17" s="549"/>
    </row>
    <row r="18" spans="1:13" s="554" customFormat="1">
      <c r="A18" s="421"/>
      <c r="B18" s="530"/>
      <c r="C18" s="550"/>
      <c r="D18" s="550"/>
      <c r="E18" s="551"/>
      <c r="F18" s="415"/>
      <c r="G18" s="552"/>
      <c r="H18" s="408"/>
      <c r="I18" s="547"/>
      <c r="J18" s="553"/>
      <c r="L18" s="555"/>
      <c r="M18" s="555"/>
    </row>
    <row r="19" spans="1:13" s="548" customFormat="1">
      <c r="A19" s="25">
        <f>MAX(A$1:A17)+1</f>
        <v>3</v>
      </c>
      <c r="B19" s="530"/>
      <c r="C19" s="556" t="s">
        <v>996</v>
      </c>
      <c r="D19" s="557"/>
      <c r="E19" s="548" t="s">
        <v>997</v>
      </c>
      <c r="F19" s="558"/>
      <c r="G19" s="559" t="s">
        <v>8</v>
      </c>
      <c r="H19" s="560">
        <v>32</v>
      </c>
      <c r="I19" s="507"/>
      <c r="J19" s="532">
        <f>H19*I19</f>
        <v>0</v>
      </c>
      <c r="K19" s="561"/>
      <c r="L19" s="558"/>
      <c r="M19" s="558"/>
    </row>
    <row r="20" spans="1:13" s="537" customFormat="1">
      <c r="A20" s="533"/>
      <c r="B20" s="534"/>
      <c r="C20" s="535"/>
      <c r="D20" s="536"/>
      <c r="E20" s="537" t="s">
        <v>993</v>
      </c>
      <c r="F20" s="538">
        <v>32</v>
      </c>
      <c r="G20" s="539"/>
      <c r="H20" s="540"/>
      <c r="I20" s="541"/>
      <c r="J20" s="542"/>
      <c r="L20" s="562"/>
      <c r="M20" s="562"/>
    </row>
    <row r="21" spans="1:13" s="554" customFormat="1">
      <c r="A21" s="421"/>
      <c r="B21" s="563"/>
      <c r="C21" s="550"/>
      <c r="D21" s="550"/>
      <c r="E21" s="564"/>
      <c r="F21" s="415"/>
      <c r="G21" s="552"/>
      <c r="H21" s="408"/>
      <c r="I21" s="547"/>
      <c r="J21" s="553"/>
      <c r="L21" s="555"/>
      <c r="M21" s="555"/>
    </row>
    <row r="22" spans="1:13" s="548" customFormat="1" ht="25.5">
      <c r="A22" s="25">
        <f>MAX(A$1:A21)+1</f>
        <v>4</v>
      </c>
      <c r="B22" s="563"/>
      <c r="C22" s="565" t="s">
        <v>998</v>
      </c>
      <c r="D22" s="557"/>
      <c r="E22" s="548" t="s">
        <v>999</v>
      </c>
      <c r="F22" s="566"/>
      <c r="G22" s="559" t="s">
        <v>1</v>
      </c>
      <c r="H22" s="560">
        <f>H23</f>
        <v>16</v>
      </c>
      <c r="I22" s="507"/>
      <c r="J22" s="532">
        <f>H22*I22</f>
        <v>0</v>
      </c>
      <c r="K22" s="561"/>
      <c r="L22" s="558"/>
      <c r="M22" s="558"/>
    </row>
    <row r="23" spans="1:13" s="554" customFormat="1" ht="38.25">
      <c r="A23" s="567"/>
      <c r="B23" s="564"/>
      <c r="C23" s="550"/>
      <c r="D23" s="568" t="s">
        <v>1000</v>
      </c>
      <c r="E23" s="554" t="s">
        <v>1001</v>
      </c>
      <c r="F23" s="569"/>
      <c r="G23" s="559" t="s">
        <v>1</v>
      </c>
      <c r="H23" s="570">
        <v>16</v>
      </c>
      <c r="I23" s="547"/>
      <c r="J23" s="553"/>
      <c r="L23" s="555"/>
      <c r="M23" s="555"/>
    </row>
    <row r="24" spans="1:13" s="537" customFormat="1">
      <c r="A24" s="533"/>
      <c r="B24" s="571"/>
      <c r="C24" s="572"/>
      <c r="D24" s="535"/>
      <c r="E24" s="537" t="s">
        <v>1002</v>
      </c>
      <c r="F24" s="538">
        <v>16</v>
      </c>
      <c r="G24" s="539"/>
      <c r="H24" s="573"/>
      <c r="I24" s="541"/>
      <c r="J24" s="542"/>
      <c r="L24" s="562"/>
      <c r="M24" s="562"/>
    </row>
    <row r="25" spans="1:13" s="554" customFormat="1">
      <c r="A25" s="421"/>
      <c r="B25" s="563"/>
      <c r="C25" s="550"/>
      <c r="D25" s="568"/>
      <c r="F25" s="569"/>
      <c r="G25" s="574"/>
      <c r="H25" s="408"/>
      <c r="I25" s="547"/>
      <c r="J25" s="553"/>
      <c r="L25" s="555"/>
      <c r="M25" s="555"/>
    </row>
    <row r="26" spans="1:13" s="548" customFormat="1" ht="25.5">
      <c r="A26" s="25">
        <f>MAX(A$1:A24)+1</f>
        <v>5</v>
      </c>
      <c r="B26" s="563"/>
      <c r="C26" s="565" t="s">
        <v>1003</v>
      </c>
      <c r="D26" s="557"/>
      <c r="E26" s="548" t="s">
        <v>1004</v>
      </c>
      <c r="F26" s="566"/>
      <c r="G26" s="575" t="s">
        <v>1</v>
      </c>
      <c r="H26" s="560">
        <f>H27</f>
        <v>16</v>
      </c>
      <c r="I26" s="507"/>
      <c r="J26" s="532">
        <f>H26*I26</f>
        <v>0</v>
      </c>
      <c r="K26" s="561"/>
      <c r="L26" s="558"/>
      <c r="M26" s="558"/>
    </row>
    <row r="27" spans="1:13" s="554" customFormat="1" ht="25.5">
      <c r="A27" s="567"/>
      <c r="B27" s="564"/>
      <c r="C27" s="550"/>
      <c r="D27" s="568" t="s">
        <v>1005</v>
      </c>
      <c r="E27" s="554" t="s">
        <v>1006</v>
      </c>
      <c r="F27" s="569"/>
      <c r="G27" s="574" t="s">
        <v>1</v>
      </c>
      <c r="H27" s="570">
        <v>16</v>
      </c>
      <c r="I27" s="409"/>
      <c r="J27" s="528"/>
      <c r="L27" s="555"/>
      <c r="M27" s="555"/>
    </row>
    <row r="28" spans="1:13" s="537" customFormat="1">
      <c r="A28" s="533"/>
      <c r="B28" s="571"/>
      <c r="C28" s="572"/>
      <c r="D28" s="535"/>
      <c r="E28" s="537" t="s">
        <v>1007</v>
      </c>
      <c r="F28" s="538">
        <v>16</v>
      </c>
      <c r="G28" s="539"/>
      <c r="H28" s="573"/>
      <c r="I28" s="541"/>
      <c r="J28" s="542"/>
      <c r="L28" s="562"/>
      <c r="M28" s="562"/>
    </row>
    <row r="29" spans="1:13" s="554" customFormat="1">
      <c r="A29" s="421"/>
      <c r="B29" s="563"/>
      <c r="C29" s="550"/>
      <c r="D29" s="568"/>
      <c r="F29" s="569"/>
      <c r="G29" s="574"/>
      <c r="H29" s="408"/>
      <c r="I29" s="547"/>
      <c r="J29" s="553"/>
      <c r="L29" s="555"/>
      <c r="M29" s="555"/>
    </row>
    <row r="30" spans="1:13" s="548" customFormat="1">
      <c r="A30" s="25">
        <f>MAX(A$1:A28)+1</f>
        <v>6</v>
      </c>
      <c r="B30" s="563"/>
      <c r="C30" s="565" t="s">
        <v>27</v>
      </c>
      <c r="D30" s="565"/>
      <c r="E30" s="548" t="s">
        <v>1008</v>
      </c>
      <c r="F30" s="566"/>
      <c r="G30" s="575" t="s">
        <v>0</v>
      </c>
      <c r="H30" s="560">
        <f>H31</f>
        <v>83.2</v>
      </c>
      <c r="I30" s="507"/>
      <c r="J30" s="532">
        <f>H30*I30</f>
        <v>0</v>
      </c>
      <c r="K30" s="561"/>
      <c r="L30" s="558"/>
      <c r="M30" s="558"/>
    </row>
    <row r="31" spans="1:13" s="554" customFormat="1" ht="25.5">
      <c r="A31" s="576"/>
      <c r="B31" s="572"/>
      <c r="C31" s="577"/>
      <c r="D31" s="550" t="s">
        <v>1009</v>
      </c>
      <c r="E31" s="554" t="s">
        <v>1010</v>
      </c>
      <c r="F31" s="415"/>
      <c r="G31" s="578" t="s">
        <v>0</v>
      </c>
      <c r="H31" s="570">
        <v>83.2</v>
      </c>
      <c r="I31" s="409"/>
      <c r="J31" s="528"/>
      <c r="L31" s="555"/>
      <c r="M31" s="555"/>
    </row>
    <row r="32" spans="1:13" s="537" customFormat="1">
      <c r="A32" s="579"/>
      <c r="B32" s="580"/>
      <c r="C32" s="536"/>
      <c r="D32" s="572"/>
      <c r="E32" s="537" t="s">
        <v>1011</v>
      </c>
      <c r="F32" s="415"/>
      <c r="G32" s="525"/>
      <c r="H32" s="573"/>
      <c r="I32" s="541"/>
      <c r="J32" s="542"/>
      <c r="L32" s="562"/>
      <c r="M32" s="562"/>
    </row>
    <row r="33" spans="1:13" s="537" customFormat="1">
      <c r="A33" s="579"/>
      <c r="B33" s="580"/>
      <c r="C33" s="536"/>
      <c r="D33" s="572"/>
      <c r="E33" s="537" t="s">
        <v>994</v>
      </c>
      <c r="F33" s="415">
        <v>80</v>
      </c>
      <c r="G33" s="525"/>
      <c r="H33" s="573"/>
      <c r="I33" s="541"/>
      <c r="J33" s="542"/>
      <c r="L33" s="562"/>
      <c r="M33" s="562"/>
    </row>
    <row r="34" spans="1:13" s="537" customFormat="1" ht="13.5" customHeight="1">
      <c r="A34" s="533"/>
      <c r="B34" s="571"/>
      <c r="C34" s="572"/>
      <c r="D34" s="535"/>
      <c r="E34" s="537" t="s">
        <v>1012</v>
      </c>
      <c r="F34" s="581">
        <v>3.2</v>
      </c>
      <c r="G34" s="539"/>
      <c r="H34" s="573"/>
      <c r="I34" s="541"/>
      <c r="J34" s="542"/>
      <c r="L34" s="562"/>
      <c r="M34" s="562"/>
    </row>
    <row r="35" spans="1:13" s="537" customFormat="1" ht="13.5" customHeight="1">
      <c r="A35" s="533"/>
      <c r="B35" s="571"/>
      <c r="C35" s="572"/>
      <c r="D35" s="535"/>
      <c r="F35" s="538">
        <f>SUM(F33:F34)</f>
        <v>83.2</v>
      </c>
      <c r="G35" s="539"/>
      <c r="H35" s="573"/>
      <c r="I35" s="541"/>
      <c r="J35" s="542"/>
      <c r="L35" s="562"/>
      <c r="M35" s="562"/>
    </row>
    <row r="36" spans="1:13" s="554" customFormat="1">
      <c r="A36" s="25"/>
      <c r="B36" s="582"/>
      <c r="C36" s="577"/>
      <c r="D36" s="550"/>
      <c r="E36" s="537"/>
      <c r="F36" s="415"/>
      <c r="G36" s="578"/>
      <c r="H36" s="540"/>
      <c r="I36" s="547"/>
      <c r="J36" s="553"/>
      <c r="L36" s="555"/>
      <c r="M36" s="555"/>
    </row>
    <row r="37" spans="1:13" s="583" customFormat="1">
      <c r="A37" s="524"/>
      <c r="B37" s="216" t="s">
        <v>763</v>
      </c>
      <c r="C37" s="217"/>
      <c r="D37" s="218"/>
      <c r="E37" s="219" t="s">
        <v>764</v>
      </c>
      <c r="F37" s="394"/>
      <c r="G37" s="525"/>
      <c r="H37" s="526"/>
      <c r="I37" s="409"/>
      <c r="J37" s="528"/>
      <c r="L37" s="584"/>
      <c r="M37" s="584"/>
    </row>
    <row r="38" spans="1:13" s="583" customFormat="1">
      <c r="A38" s="421"/>
      <c r="B38" s="585"/>
      <c r="C38" s="586"/>
      <c r="D38" s="585"/>
      <c r="E38" s="587"/>
      <c r="F38" s="588"/>
      <c r="G38" s="575"/>
      <c r="H38" s="560"/>
      <c r="I38" s="409"/>
      <c r="J38" s="528"/>
      <c r="L38" s="584"/>
      <c r="M38" s="584"/>
    </row>
    <row r="39" spans="1:13" s="589" customFormat="1">
      <c r="A39" s="524">
        <f>MAX(A$1:A38)+1</f>
        <v>7</v>
      </c>
      <c r="B39" s="585"/>
      <c r="C39" s="586" t="s">
        <v>119</v>
      </c>
      <c r="D39" s="585"/>
      <c r="E39" s="587" t="s">
        <v>1013</v>
      </c>
      <c r="F39" s="588"/>
      <c r="G39" s="575" t="s">
        <v>8</v>
      </c>
      <c r="H39" s="560">
        <f>H40</f>
        <v>74.5</v>
      </c>
      <c r="I39" s="507"/>
      <c r="J39" s="532">
        <f>H39*I39</f>
        <v>0</v>
      </c>
      <c r="K39" s="561"/>
      <c r="L39" s="558"/>
      <c r="M39" s="558"/>
    </row>
    <row r="40" spans="1:13" s="583" customFormat="1" ht="25.5">
      <c r="A40" s="590"/>
      <c r="B40" s="591"/>
      <c r="C40" s="591"/>
      <c r="D40" s="592" t="s">
        <v>121</v>
      </c>
      <c r="E40" s="593" t="s">
        <v>1014</v>
      </c>
      <c r="F40" s="594"/>
      <c r="G40" s="578" t="s">
        <v>8</v>
      </c>
      <c r="H40" s="570">
        <v>74.5</v>
      </c>
      <c r="I40" s="409"/>
      <c r="J40" s="528"/>
      <c r="L40" s="584"/>
      <c r="M40" s="584"/>
    </row>
    <row r="41" spans="1:13" s="529" customFormat="1">
      <c r="A41" s="595"/>
      <c r="B41" s="596"/>
      <c r="C41" s="597"/>
      <c r="D41" s="596"/>
      <c r="E41" s="598" t="s">
        <v>1015</v>
      </c>
      <c r="F41" s="394">
        <v>53</v>
      </c>
      <c r="G41" s="599"/>
      <c r="H41" s="600"/>
      <c r="I41" s="601"/>
      <c r="J41" s="602"/>
      <c r="L41" s="603"/>
      <c r="M41" s="603"/>
    </row>
    <row r="42" spans="1:13" s="529" customFormat="1">
      <c r="A42" s="595"/>
      <c r="B42" s="596"/>
      <c r="C42" s="597"/>
      <c r="D42" s="596"/>
      <c r="E42" s="598" t="s">
        <v>1016</v>
      </c>
      <c r="F42" s="394">
        <v>12</v>
      </c>
      <c r="G42" s="599"/>
      <c r="H42" s="600"/>
      <c r="I42" s="601"/>
      <c r="J42" s="602"/>
      <c r="L42" s="603"/>
      <c r="M42" s="603"/>
    </row>
    <row r="43" spans="1:13" s="529" customFormat="1">
      <c r="A43" s="595"/>
      <c r="B43" s="596"/>
      <c r="C43" s="597"/>
      <c r="D43" s="596"/>
      <c r="E43" s="598" t="s">
        <v>1017</v>
      </c>
      <c r="F43" s="394">
        <v>1.5</v>
      </c>
      <c r="G43" s="599"/>
      <c r="H43" s="600"/>
      <c r="I43" s="601"/>
      <c r="J43" s="602"/>
      <c r="L43" s="603"/>
      <c r="M43" s="603"/>
    </row>
    <row r="44" spans="1:13" s="529" customFormat="1">
      <c r="A44" s="595"/>
      <c r="B44" s="596"/>
      <c r="C44" s="597"/>
      <c r="D44" s="596"/>
      <c r="E44" s="598" t="s">
        <v>1018</v>
      </c>
      <c r="F44" s="604">
        <v>8</v>
      </c>
      <c r="G44" s="599"/>
      <c r="H44" s="600"/>
      <c r="I44" s="601"/>
      <c r="J44" s="602"/>
      <c r="L44" s="603"/>
      <c r="M44" s="603"/>
    </row>
    <row r="45" spans="1:13" s="529" customFormat="1">
      <c r="A45" s="595"/>
      <c r="B45" s="596"/>
      <c r="C45" s="597"/>
      <c r="D45" s="596"/>
      <c r="E45" s="598"/>
      <c r="F45" s="394">
        <f>SUM(F41:F44)</f>
        <v>74.5</v>
      </c>
      <c r="G45" s="599"/>
      <c r="H45" s="600"/>
      <c r="I45" s="601"/>
      <c r="J45" s="602"/>
      <c r="L45" s="603"/>
      <c r="M45" s="603"/>
    </row>
    <row r="46" spans="1:13" s="583" customFormat="1">
      <c r="A46" s="590"/>
      <c r="B46" s="585"/>
      <c r="C46" s="413"/>
      <c r="D46" s="585"/>
      <c r="E46" s="587"/>
      <c r="F46" s="394"/>
      <c r="G46" s="575"/>
      <c r="H46" s="570"/>
      <c r="I46" s="409"/>
      <c r="J46" s="528"/>
      <c r="L46" s="584"/>
      <c r="M46" s="584"/>
    </row>
    <row r="47" spans="1:13" s="589" customFormat="1">
      <c r="A47" s="524">
        <f>MAX(A$1:A46)+1</f>
        <v>8</v>
      </c>
      <c r="B47" s="585"/>
      <c r="C47" s="586" t="s">
        <v>57</v>
      </c>
      <c r="D47" s="585"/>
      <c r="E47" s="587" t="s">
        <v>1019</v>
      </c>
      <c r="F47" s="588"/>
      <c r="G47" s="575" t="s">
        <v>8</v>
      </c>
      <c r="H47" s="605">
        <f>H48</f>
        <v>227</v>
      </c>
      <c r="I47" s="656"/>
      <c r="J47" s="606">
        <f>H47*I47</f>
        <v>0</v>
      </c>
      <c r="K47" s="561"/>
      <c r="L47" s="558"/>
      <c r="M47" s="558"/>
    </row>
    <row r="48" spans="1:13" s="583" customFormat="1" ht="25.5">
      <c r="A48" s="567"/>
      <c r="B48" s="591"/>
      <c r="C48" s="591"/>
      <c r="D48" s="592" t="s">
        <v>1020</v>
      </c>
      <c r="E48" s="593" t="s">
        <v>1021</v>
      </c>
      <c r="F48" s="594"/>
      <c r="G48" s="578" t="s">
        <v>8</v>
      </c>
      <c r="H48" s="570">
        <v>227</v>
      </c>
      <c r="I48" s="409"/>
      <c r="J48" s="528"/>
      <c r="L48" s="584"/>
      <c r="M48" s="584"/>
    </row>
    <row r="49" spans="1:13" s="583" customFormat="1">
      <c r="A49" s="590"/>
      <c r="B49" s="607"/>
      <c r="C49" s="585"/>
      <c r="D49" s="591"/>
      <c r="E49" s="608" t="s">
        <v>1022</v>
      </c>
      <c r="F49" s="394">
        <v>27</v>
      </c>
      <c r="G49" s="578"/>
      <c r="H49" s="570"/>
      <c r="I49" s="409"/>
      <c r="J49" s="528"/>
      <c r="L49" s="584"/>
      <c r="M49" s="584"/>
    </row>
    <row r="50" spans="1:13" s="583" customFormat="1">
      <c r="A50" s="590"/>
      <c r="B50" s="607"/>
      <c r="C50" s="585"/>
      <c r="D50" s="591"/>
      <c r="E50" s="608" t="s">
        <v>1023</v>
      </c>
      <c r="F50" s="604">
        <v>200</v>
      </c>
      <c r="G50" s="578"/>
      <c r="H50" s="570"/>
      <c r="I50" s="409"/>
      <c r="J50" s="528"/>
      <c r="L50" s="584"/>
      <c r="M50" s="584"/>
    </row>
    <row r="51" spans="1:13" s="583" customFormat="1">
      <c r="A51" s="590"/>
      <c r="B51" s="607"/>
      <c r="C51" s="585"/>
      <c r="D51" s="591"/>
      <c r="E51" s="608"/>
      <c r="F51" s="394">
        <f>SUM(F49:F50)</f>
        <v>227</v>
      </c>
      <c r="G51" s="578"/>
      <c r="H51" s="570"/>
      <c r="I51" s="409"/>
      <c r="J51" s="528"/>
      <c r="L51" s="584"/>
      <c r="M51" s="584"/>
    </row>
    <row r="52" spans="1:13" s="583" customFormat="1">
      <c r="A52" s="590"/>
      <c r="B52" s="607"/>
      <c r="C52" s="585"/>
      <c r="D52" s="591"/>
      <c r="E52" s="608"/>
      <c r="F52" s="394"/>
      <c r="G52" s="578"/>
      <c r="H52" s="570"/>
      <c r="I52" s="409"/>
      <c r="J52" s="528"/>
      <c r="L52" s="584"/>
      <c r="M52" s="584"/>
    </row>
    <row r="53" spans="1:13" s="589" customFormat="1">
      <c r="A53" s="524">
        <f>MAX(A$1:A52)+1</f>
        <v>9</v>
      </c>
      <c r="B53" s="413"/>
      <c r="C53" s="586" t="s">
        <v>1024</v>
      </c>
      <c r="D53" s="585"/>
      <c r="E53" s="587" t="s">
        <v>1025</v>
      </c>
      <c r="F53" s="588"/>
      <c r="G53" s="575" t="s">
        <v>8</v>
      </c>
      <c r="H53" s="605">
        <v>50</v>
      </c>
      <c r="I53" s="656"/>
      <c r="J53" s="606">
        <f>H53*I53</f>
        <v>0</v>
      </c>
      <c r="K53" s="561"/>
      <c r="L53" s="558"/>
      <c r="M53" s="558"/>
    </row>
    <row r="54" spans="1:13" s="583" customFormat="1" ht="25.5">
      <c r="A54" s="590"/>
      <c r="B54" s="607"/>
      <c r="C54" s="585"/>
      <c r="D54" s="592" t="s">
        <v>1026</v>
      </c>
      <c r="E54" s="593" t="s">
        <v>1027</v>
      </c>
      <c r="F54" s="594"/>
      <c r="G54" s="578" t="s">
        <v>8</v>
      </c>
      <c r="H54" s="570">
        <v>50</v>
      </c>
      <c r="I54" s="409"/>
      <c r="J54" s="528"/>
      <c r="L54" s="584"/>
      <c r="M54" s="584"/>
    </row>
    <row r="55" spans="1:13" s="583" customFormat="1">
      <c r="A55" s="590"/>
      <c r="B55" s="607"/>
      <c r="C55" s="585"/>
      <c r="D55" s="591"/>
      <c r="E55" s="608" t="s">
        <v>1028</v>
      </c>
      <c r="F55" s="394">
        <v>50</v>
      </c>
      <c r="G55" s="578"/>
      <c r="H55" s="570"/>
      <c r="I55" s="409"/>
      <c r="J55" s="528"/>
      <c r="L55" s="584"/>
      <c r="M55" s="584"/>
    </row>
    <row r="56" spans="1:13" s="583" customFormat="1">
      <c r="A56" s="590"/>
      <c r="B56" s="607"/>
      <c r="C56" s="585"/>
      <c r="D56" s="591"/>
      <c r="E56" s="608" t="s">
        <v>1029</v>
      </c>
      <c r="F56" s="604"/>
      <c r="G56" s="578"/>
      <c r="H56" s="570"/>
      <c r="I56" s="409"/>
      <c r="J56" s="528"/>
      <c r="L56" s="584"/>
      <c r="M56" s="584"/>
    </row>
    <row r="57" spans="1:13" s="583" customFormat="1">
      <c r="A57" s="590"/>
      <c r="B57" s="607"/>
      <c r="C57" s="585"/>
      <c r="D57" s="591"/>
      <c r="E57" s="608"/>
      <c r="F57" s="394"/>
      <c r="G57" s="578"/>
      <c r="H57" s="570"/>
      <c r="I57" s="409"/>
      <c r="J57" s="528"/>
      <c r="L57" s="584"/>
      <c r="M57" s="584"/>
    </row>
    <row r="58" spans="1:13" s="583" customFormat="1">
      <c r="A58" s="590"/>
      <c r="B58" s="607"/>
      <c r="C58" s="585"/>
      <c r="D58" s="591"/>
      <c r="E58" s="608"/>
      <c r="F58" s="394"/>
      <c r="G58" s="578"/>
      <c r="H58" s="570"/>
      <c r="I58" s="409"/>
      <c r="J58" s="528"/>
      <c r="L58" s="584"/>
      <c r="M58" s="584"/>
    </row>
    <row r="59" spans="1:13" s="589" customFormat="1">
      <c r="A59" s="524">
        <f>MAX(A$1:A58)+1</f>
        <v>10</v>
      </c>
      <c r="B59" s="413"/>
      <c r="C59" s="586" t="s">
        <v>123</v>
      </c>
      <c r="D59" s="585"/>
      <c r="E59" s="587" t="s">
        <v>124</v>
      </c>
      <c r="F59" s="588"/>
      <c r="G59" s="575" t="s">
        <v>8</v>
      </c>
      <c r="H59" s="605">
        <f>H60</f>
        <v>192</v>
      </c>
      <c r="I59" s="656"/>
      <c r="J59" s="606">
        <f>H59*I59</f>
        <v>0</v>
      </c>
      <c r="K59" s="561"/>
      <c r="L59" s="558"/>
      <c r="M59" s="558"/>
    </row>
    <row r="60" spans="1:13" s="583" customFormat="1" ht="25.5">
      <c r="A60" s="590"/>
      <c r="B60" s="607"/>
      <c r="C60" s="585"/>
      <c r="D60" s="592" t="s">
        <v>125</v>
      </c>
      <c r="E60" s="593" t="s">
        <v>1030</v>
      </c>
      <c r="F60" s="594"/>
      <c r="G60" s="578" t="s">
        <v>8</v>
      </c>
      <c r="H60" s="570">
        <v>192</v>
      </c>
      <c r="I60" s="409"/>
      <c r="J60" s="528"/>
      <c r="L60" s="584"/>
      <c r="M60" s="584"/>
    </row>
    <row r="61" spans="1:13" s="583" customFormat="1" ht="25.5">
      <c r="A61" s="590"/>
      <c r="B61" s="607"/>
      <c r="C61" s="585"/>
      <c r="D61" s="592"/>
      <c r="E61" s="608" t="s">
        <v>1031</v>
      </c>
      <c r="F61" s="394">
        <v>192</v>
      </c>
      <c r="G61" s="578"/>
      <c r="H61" s="570"/>
      <c r="I61" s="409"/>
      <c r="J61" s="528"/>
      <c r="L61" s="584"/>
      <c r="M61" s="584"/>
    </row>
    <row r="62" spans="1:13" s="583" customFormat="1">
      <c r="A62" s="590"/>
      <c r="B62" s="607"/>
      <c r="C62" s="585"/>
      <c r="D62" s="591"/>
      <c r="E62" s="593"/>
      <c r="F62" s="594"/>
      <c r="G62" s="578"/>
      <c r="H62" s="570"/>
      <c r="I62" s="409"/>
      <c r="J62" s="528"/>
      <c r="L62" s="584"/>
      <c r="M62" s="584"/>
    </row>
    <row r="63" spans="1:13" s="548" customFormat="1">
      <c r="A63" s="524">
        <f>MAX(A$1:A62)+1</f>
        <v>11</v>
      </c>
      <c r="B63" s="609"/>
      <c r="C63" s="610" t="s">
        <v>835</v>
      </c>
      <c r="D63" s="565"/>
      <c r="E63" s="551" t="s">
        <v>1032</v>
      </c>
      <c r="F63" s="611"/>
      <c r="G63" s="575" t="s">
        <v>8</v>
      </c>
      <c r="H63" s="560">
        <f>H64</f>
        <v>110</v>
      </c>
      <c r="I63" s="507"/>
      <c r="J63" s="532">
        <f>H63*I63</f>
        <v>0</v>
      </c>
      <c r="K63" s="561"/>
      <c r="L63" s="558"/>
      <c r="M63" s="558"/>
    </row>
    <row r="64" spans="1:13" s="583" customFormat="1" ht="25.5">
      <c r="A64" s="590"/>
      <c r="B64" s="607"/>
      <c r="C64" s="591"/>
      <c r="D64" s="592" t="s">
        <v>837</v>
      </c>
      <c r="E64" s="593" t="s">
        <v>1033</v>
      </c>
      <c r="F64" s="594"/>
      <c r="G64" s="578" t="s">
        <v>8</v>
      </c>
      <c r="H64" s="570">
        <v>110</v>
      </c>
      <c r="I64" s="409"/>
      <c r="J64" s="528"/>
      <c r="L64" s="584"/>
      <c r="M64" s="584"/>
    </row>
    <row r="65" spans="1:13" s="583" customFormat="1" ht="25.5">
      <c r="A65" s="590"/>
      <c r="B65" s="607"/>
      <c r="C65" s="585"/>
      <c r="D65" s="591"/>
      <c r="E65" s="608" t="s">
        <v>1034</v>
      </c>
      <c r="F65" s="394">
        <v>110</v>
      </c>
      <c r="G65" s="578"/>
      <c r="H65" s="570"/>
      <c r="I65" s="409"/>
      <c r="J65" s="528"/>
      <c r="L65" s="584"/>
      <c r="M65" s="584"/>
    </row>
    <row r="66" spans="1:13" s="583" customFormat="1">
      <c r="A66" s="590"/>
      <c r="B66" s="607"/>
      <c r="C66" s="585"/>
      <c r="D66" s="591"/>
      <c r="E66" s="593"/>
      <c r="F66" s="594"/>
      <c r="G66" s="578"/>
      <c r="H66" s="570"/>
      <c r="I66" s="409"/>
      <c r="J66" s="528"/>
      <c r="L66" s="584"/>
      <c r="M66" s="584"/>
    </row>
    <row r="67" spans="1:13" s="613" customFormat="1">
      <c r="A67" s="524">
        <f>MAX(A$1:A66)+1</f>
        <v>12</v>
      </c>
      <c r="B67" s="413"/>
      <c r="C67" s="586" t="s">
        <v>1035</v>
      </c>
      <c r="D67" s="585"/>
      <c r="E67" s="587" t="s">
        <v>1036</v>
      </c>
      <c r="F67" s="588"/>
      <c r="G67" s="575" t="s">
        <v>7</v>
      </c>
      <c r="H67" s="605">
        <f>H68</f>
        <v>95</v>
      </c>
      <c r="I67" s="657"/>
      <c r="J67" s="606">
        <f>H67*I67</f>
        <v>0</v>
      </c>
      <c r="K67" s="561"/>
      <c r="L67" s="558"/>
      <c r="M67" s="558"/>
    </row>
    <row r="68" spans="1:13" s="429" customFormat="1" ht="25.5">
      <c r="A68" s="567"/>
      <c r="B68" s="413"/>
      <c r="C68" s="591"/>
      <c r="D68" s="592" t="s">
        <v>1037</v>
      </c>
      <c r="E68" s="593" t="s">
        <v>1038</v>
      </c>
      <c r="F68" s="594"/>
      <c r="G68" s="578" t="s">
        <v>7</v>
      </c>
      <c r="H68" s="570">
        <v>95</v>
      </c>
      <c r="I68" s="614"/>
      <c r="J68" s="494"/>
      <c r="L68" s="615"/>
      <c r="M68" s="615"/>
    </row>
    <row r="69" spans="1:13" s="619" customFormat="1" ht="25.5">
      <c r="A69" s="533"/>
      <c r="B69" s="597"/>
      <c r="C69" s="414"/>
      <c r="D69" s="616"/>
      <c r="E69" s="608" t="s">
        <v>1039</v>
      </c>
      <c r="F69" s="394">
        <v>95</v>
      </c>
      <c r="G69" s="525"/>
      <c r="H69" s="600"/>
      <c r="I69" s="617"/>
      <c r="J69" s="618"/>
      <c r="L69" s="620"/>
      <c r="M69" s="620"/>
    </row>
    <row r="70" spans="1:13" s="429" customFormat="1">
      <c r="A70" s="567"/>
      <c r="B70" s="591"/>
      <c r="C70" s="591"/>
      <c r="D70" s="607"/>
      <c r="E70" s="608"/>
      <c r="F70" s="594"/>
      <c r="G70" s="578"/>
      <c r="H70" s="570"/>
      <c r="I70" s="614"/>
      <c r="J70" s="494"/>
      <c r="L70" s="615"/>
      <c r="M70" s="615"/>
    </row>
    <row r="71" spans="1:13" s="529" customFormat="1" ht="25.5">
      <c r="A71" s="524"/>
      <c r="B71" s="216" t="s">
        <v>95</v>
      </c>
      <c r="C71" s="217"/>
      <c r="D71" s="218"/>
      <c r="E71" s="219" t="s">
        <v>100</v>
      </c>
      <c r="F71" s="394"/>
      <c r="G71" s="525"/>
      <c r="H71" s="526"/>
      <c r="I71" s="601"/>
      <c r="J71" s="602"/>
      <c r="L71" s="603"/>
      <c r="M71" s="603"/>
    </row>
    <row r="72" spans="1:13" s="583" customFormat="1">
      <c r="A72" s="421"/>
      <c r="B72" s="413"/>
      <c r="C72" s="585"/>
      <c r="D72" s="585"/>
      <c r="E72" s="587"/>
      <c r="F72" s="588"/>
      <c r="G72" s="575"/>
      <c r="H72" s="560"/>
      <c r="I72" s="409"/>
      <c r="J72" s="528"/>
      <c r="L72" s="584"/>
      <c r="M72" s="584"/>
    </row>
    <row r="73" spans="1:13" s="589" customFormat="1">
      <c r="A73" s="524">
        <f>MAX(A$1:A72)+1</f>
        <v>13</v>
      </c>
      <c r="B73" s="585"/>
      <c r="C73" s="586" t="s">
        <v>1040</v>
      </c>
      <c r="D73" s="585"/>
      <c r="E73" s="587" t="s">
        <v>1041</v>
      </c>
      <c r="F73" s="588"/>
      <c r="G73" s="575" t="s">
        <v>7</v>
      </c>
      <c r="H73" s="560">
        <f>H74</f>
        <v>1275</v>
      </c>
      <c r="I73" s="507"/>
      <c r="J73" s="532">
        <f>H73*I73</f>
        <v>0</v>
      </c>
      <c r="K73" s="561"/>
      <c r="L73" s="558"/>
      <c r="M73" s="558"/>
    </row>
    <row r="74" spans="1:13" s="583" customFormat="1" ht="25.5">
      <c r="A74" s="421"/>
      <c r="B74" s="591"/>
      <c r="C74" s="591"/>
      <c r="D74" s="592" t="s">
        <v>1042</v>
      </c>
      <c r="E74" s="593" t="s">
        <v>1043</v>
      </c>
      <c r="F74" s="594"/>
      <c r="G74" s="578" t="s">
        <v>7</v>
      </c>
      <c r="H74" s="570">
        <v>1275</v>
      </c>
      <c r="I74" s="409"/>
      <c r="J74" s="528"/>
      <c r="L74" s="584"/>
      <c r="M74" s="584"/>
    </row>
    <row r="75" spans="1:13" s="529" customFormat="1">
      <c r="A75" s="595"/>
      <c r="B75" s="621"/>
      <c r="C75" s="414"/>
      <c r="D75" s="414"/>
      <c r="E75" s="608" t="s">
        <v>1044</v>
      </c>
      <c r="F75" s="394">
        <v>90</v>
      </c>
      <c r="G75" s="525"/>
      <c r="H75" s="600"/>
      <c r="I75" s="601"/>
      <c r="J75" s="602"/>
      <c r="L75" s="603"/>
      <c r="M75" s="603"/>
    </row>
    <row r="76" spans="1:13" s="529" customFormat="1">
      <c r="A76" s="595"/>
      <c r="B76" s="621"/>
      <c r="C76" s="414"/>
      <c r="D76" s="414"/>
      <c r="E76" s="608" t="s">
        <v>1045</v>
      </c>
      <c r="F76" s="394">
        <v>1090</v>
      </c>
      <c r="G76" s="525"/>
      <c r="H76" s="600"/>
      <c r="I76" s="601"/>
      <c r="J76" s="602"/>
      <c r="L76" s="603"/>
      <c r="M76" s="603"/>
    </row>
    <row r="77" spans="1:13" s="529" customFormat="1">
      <c r="A77" s="595"/>
      <c r="B77" s="621"/>
      <c r="C77" s="414"/>
      <c r="D77" s="414"/>
      <c r="E77" s="608" t="s">
        <v>1046</v>
      </c>
      <c r="F77" s="604">
        <v>95</v>
      </c>
      <c r="G77" s="525"/>
      <c r="H77" s="600"/>
      <c r="I77" s="601"/>
      <c r="J77" s="602"/>
      <c r="L77" s="603"/>
      <c r="M77" s="603"/>
    </row>
    <row r="78" spans="1:13" s="529" customFormat="1">
      <c r="A78" s="595"/>
      <c r="B78" s="621"/>
      <c r="C78" s="414"/>
      <c r="D78" s="414"/>
      <c r="E78" s="608"/>
      <c r="F78" s="394">
        <f>SUM(F75:F77)</f>
        <v>1275</v>
      </c>
      <c r="G78" s="525"/>
      <c r="H78" s="600"/>
      <c r="I78" s="601"/>
      <c r="J78" s="602"/>
      <c r="L78" s="603"/>
      <c r="M78" s="603"/>
    </row>
    <row r="79" spans="1:13" s="583" customFormat="1">
      <c r="A79" s="524"/>
      <c r="B79" s="413"/>
      <c r="C79" s="585"/>
      <c r="D79" s="585"/>
      <c r="E79" s="587"/>
      <c r="F79" s="588"/>
      <c r="G79" s="575"/>
      <c r="H79" s="560"/>
      <c r="I79" s="409"/>
      <c r="J79" s="528"/>
      <c r="L79" s="584"/>
      <c r="M79" s="584"/>
    </row>
    <row r="80" spans="1:13" s="529" customFormat="1">
      <c r="A80" s="524"/>
      <c r="B80" s="216" t="s">
        <v>11</v>
      </c>
      <c r="C80" s="217"/>
      <c r="D80" s="218"/>
      <c r="E80" s="219" t="s">
        <v>12</v>
      </c>
      <c r="F80" s="394"/>
      <c r="G80" s="525"/>
      <c r="H80" s="526"/>
      <c r="I80" s="601"/>
      <c r="J80" s="602"/>
      <c r="L80" s="603"/>
      <c r="M80" s="603"/>
    </row>
    <row r="81" spans="1:13" s="583" customFormat="1">
      <c r="A81" s="524"/>
      <c r="B81" s="413"/>
      <c r="C81" s="586"/>
      <c r="D81" s="585"/>
      <c r="E81" s="587"/>
      <c r="F81" s="588"/>
      <c r="G81" s="575"/>
      <c r="H81" s="560"/>
      <c r="I81" s="409"/>
      <c r="J81" s="528"/>
      <c r="L81" s="584"/>
      <c r="M81" s="584"/>
    </row>
    <row r="82" spans="1:13" s="613" customFormat="1">
      <c r="A82" s="524">
        <f>MAX(A$1:A81)+1</f>
        <v>14</v>
      </c>
      <c r="B82" s="565"/>
      <c r="C82" s="610" t="s">
        <v>1047</v>
      </c>
      <c r="D82" s="565"/>
      <c r="E82" s="551" t="s">
        <v>1048</v>
      </c>
      <c r="F82" s="611"/>
      <c r="G82" s="559" t="s">
        <v>8</v>
      </c>
      <c r="H82" s="560">
        <f>H83</f>
        <v>44</v>
      </c>
      <c r="I82" s="658"/>
      <c r="J82" s="532">
        <f>H82*I82</f>
        <v>0</v>
      </c>
      <c r="K82" s="561"/>
      <c r="L82" s="558"/>
      <c r="M82" s="558"/>
    </row>
    <row r="83" spans="1:13" s="429" customFormat="1" ht="25.5">
      <c r="A83" s="590"/>
      <c r="B83" s="565"/>
      <c r="C83" s="550"/>
      <c r="D83" s="622" t="s">
        <v>1049</v>
      </c>
      <c r="E83" s="623" t="s">
        <v>1050</v>
      </c>
      <c r="F83" s="624"/>
      <c r="G83" s="574" t="s">
        <v>8</v>
      </c>
      <c r="H83" s="570">
        <v>44</v>
      </c>
      <c r="I83" s="614"/>
      <c r="J83" s="494"/>
      <c r="L83" s="615"/>
      <c r="M83" s="615"/>
    </row>
    <row r="84" spans="1:13" s="429" customFormat="1">
      <c r="A84" s="524"/>
      <c r="B84" s="609"/>
      <c r="C84" s="565"/>
      <c r="D84" s="622"/>
      <c r="E84" s="625" t="s">
        <v>1051</v>
      </c>
      <c r="F84" s="415">
        <v>44</v>
      </c>
      <c r="G84" s="578"/>
      <c r="H84" s="408"/>
      <c r="I84" s="614"/>
      <c r="J84" s="494"/>
      <c r="L84" s="615"/>
      <c r="M84" s="615"/>
    </row>
    <row r="85" spans="1:13" s="429" customFormat="1">
      <c r="A85" s="524"/>
      <c r="B85" s="609"/>
      <c r="C85" s="610"/>
      <c r="D85" s="565"/>
      <c r="E85" s="551"/>
      <c r="F85" s="611"/>
      <c r="G85" s="575"/>
      <c r="H85" s="408"/>
      <c r="I85" s="614"/>
      <c r="J85" s="494"/>
      <c r="L85" s="615"/>
      <c r="M85" s="615"/>
    </row>
    <row r="86" spans="1:13" s="548" customFormat="1" ht="25.5">
      <c r="A86" s="524">
        <f>MAX(A$1:A85)+1</f>
        <v>15</v>
      </c>
      <c r="B86" s="609"/>
      <c r="C86" s="610" t="s">
        <v>1052</v>
      </c>
      <c r="D86" s="565"/>
      <c r="E86" s="551" t="s">
        <v>1053</v>
      </c>
      <c r="F86" s="611"/>
      <c r="G86" s="575" t="s">
        <v>8</v>
      </c>
      <c r="H86" s="560">
        <f>H87</f>
        <v>16</v>
      </c>
      <c r="I86" s="507"/>
      <c r="J86" s="532">
        <f>H86*I86</f>
        <v>0</v>
      </c>
      <c r="K86" s="561"/>
      <c r="L86" s="558"/>
      <c r="M86" s="558"/>
    </row>
    <row r="87" spans="1:13" s="583" customFormat="1" ht="25.5">
      <c r="A87" s="524"/>
      <c r="B87" s="413"/>
      <c r="C87" s="586"/>
      <c r="D87" s="592" t="s">
        <v>1054</v>
      </c>
      <c r="E87" s="593" t="s">
        <v>1055</v>
      </c>
      <c r="F87" s="594"/>
      <c r="G87" s="578" t="s">
        <v>8</v>
      </c>
      <c r="H87" s="570">
        <v>16</v>
      </c>
      <c r="I87" s="409"/>
      <c r="J87" s="528"/>
      <c r="L87" s="584"/>
      <c r="M87" s="584"/>
    </row>
    <row r="88" spans="1:13" s="583" customFormat="1">
      <c r="A88" s="524"/>
      <c r="B88" s="413"/>
      <c r="C88" s="585"/>
      <c r="D88" s="592"/>
      <c r="E88" s="608" t="s">
        <v>1056</v>
      </c>
      <c r="F88" s="394">
        <v>16</v>
      </c>
      <c r="G88" s="578"/>
      <c r="H88" s="560"/>
      <c r="I88" s="409"/>
      <c r="J88" s="528"/>
      <c r="L88" s="584"/>
      <c r="M88" s="584"/>
    </row>
    <row r="89" spans="1:13" s="583" customFormat="1">
      <c r="A89" s="524"/>
      <c r="B89" s="413"/>
      <c r="C89" s="585"/>
      <c r="D89" s="592"/>
      <c r="E89" s="608"/>
      <c r="F89" s="394"/>
      <c r="G89" s="578"/>
      <c r="H89" s="560"/>
      <c r="I89" s="409"/>
      <c r="J89" s="528"/>
      <c r="L89" s="584"/>
      <c r="M89" s="584"/>
    </row>
    <row r="90" spans="1:13" s="429" customFormat="1" ht="25.5">
      <c r="A90" s="524"/>
      <c r="B90" s="216" t="s">
        <v>1057</v>
      </c>
      <c r="C90" s="217"/>
      <c r="D90" s="218"/>
      <c r="E90" s="219" t="s">
        <v>1058</v>
      </c>
      <c r="F90" s="394"/>
      <c r="G90" s="525"/>
      <c r="H90" s="526"/>
      <c r="I90" s="614"/>
      <c r="J90" s="494"/>
      <c r="L90" s="615"/>
      <c r="M90" s="615"/>
    </row>
    <row r="91" spans="1:13" s="429" customFormat="1">
      <c r="A91" s="524"/>
      <c r="B91" s="609"/>
      <c r="C91" s="565"/>
      <c r="D91" s="565"/>
      <c r="E91" s="551"/>
      <c r="F91" s="611"/>
      <c r="G91" s="575"/>
      <c r="H91" s="540"/>
      <c r="I91" s="614"/>
      <c r="J91" s="494"/>
      <c r="L91" s="615"/>
      <c r="M91" s="615"/>
    </row>
    <row r="92" spans="1:13" s="613" customFormat="1">
      <c r="A92" s="524">
        <f>MAX(A$1:A91)+1</f>
        <v>16</v>
      </c>
      <c r="B92" s="609"/>
      <c r="C92" s="626">
        <v>91080101</v>
      </c>
      <c r="D92" s="627"/>
      <c r="E92" s="551" t="s">
        <v>1059</v>
      </c>
      <c r="F92" s="611"/>
      <c r="G92" s="575" t="s">
        <v>7</v>
      </c>
      <c r="H92" s="560">
        <f>SUM(H93:H97)</f>
        <v>1785</v>
      </c>
      <c r="I92" s="658"/>
      <c r="J92" s="532">
        <f>H92*I92</f>
        <v>0</v>
      </c>
      <c r="K92" s="561"/>
      <c r="L92" s="558"/>
      <c r="M92" s="558"/>
    </row>
    <row r="93" spans="1:13" s="429" customFormat="1">
      <c r="A93" s="421"/>
      <c r="B93" s="628"/>
      <c r="C93" s="629"/>
      <c r="D93" s="630">
        <v>9108010101</v>
      </c>
      <c r="E93" s="623" t="s">
        <v>1060</v>
      </c>
      <c r="F93" s="624"/>
      <c r="G93" s="578" t="s">
        <v>7</v>
      </c>
      <c r="H93" s="570">
        <v>1785</v>
      </c>
      <c r="I93" s="614"/>
      <c r="J93" s="494"/>
      <c r="L93" s="615"/>
      <c r="M93" s="615"/>
    </row>
    <row r="94" spans="1:13" s="429" customFormat="1">
      <c r="A94" s="421"/>
      <c r="B94" s="550"/>
      <c r="C94" s="629"/>
      <c r="D94" s="630"/>
      <c r="E94" s="625" t="s">
        <v>1061</v>
      </c>
      <c r="F94" s="415">
        <v>1230</v>
      </c>
      <c r="G94" s="578"/>
      <c r="H94" s="540"/>
      <c r="I94" s="614"/>
      <c r="J94" s="494"/>
      <c r="L94" s="615"/>
      <c r="M94" s="615"/>
    </row>
    <row r="95" spans="1:13" s="429" customFormat="1">
      <c r="A95" s="421"/>
      <c r="B95" s="550"/>
      <c r="C95" s="629"/>
      <c r="D95" s="630"/>
      <c r="E95" s="625" t="s">
        <v>1062</v>
      </c>
      <c r="F95" s="631">
        <v>555</v>
      </c>
      <c r="G95" s="578"/>
      <c r="H95" s="540"/>
      <c r="I95" s="614"/>
      <c r="J95" s="494"/>
      <c r="L95" s="615"/>
      <c r="M95" s="615"/>
    </row>
    <row r="96" spans="1:13" s="429" customFormat="1">
      <c r="A96" s="421"/>
      <c r="B96" s="550"/>
      <c r="C96" s="629"/>
      <c r="D96" s="630"/>
      <c r="E96" s="625"/>
      <c r="F96" s="415">
        <f>SUM(F94:F95)</f>
        <v>1785</v>
      </c>
      <c r="G96" s="578"/>
      <c r="H96" s="540"/>
      <c r="I96" s="614"/>
      <c r="J96" s="494"/>
      <c r="L96" s="615"/>
      <c r="M96" s="615"/>
    </row>
    <row r="97" spans="1:13" s="429" customFormat="1">
      <c r="A97" s="421"/>
      <c r="B97" s="550"/>
      <c r="C97" s="629"/>
      <c r="D97" s="630"/>
      <c r="E97" s="625"/>
      <c r="F97" s="415"/>
      <c r="G97" s="578"/>
      <c r="H97" s="540"/>
      <c r="I97" s="614"/>
      <c r="J97" s="494"/>
      <c r="L97" s="615"/>
      <c r="M97" s="615"/>
    </row>
    <row r="98" spans="1:13" s="548" customFormat="1">
      <c r="A98" s="524">
        <f>MAX(A$1:A97)+1</f>
        <v>17</v>
      </c>
      <c r="B98" s="609"/>
      <c r="C98" s="626">
        <v>91090101</v>
      </c>
      <c r="D98" s="627"/>
      <c r="E98" s="551" t="s">
        <v>1063</v>
      </c>
      <c r="F98" s="611"/>
      <c r="G98" s="575" t="s">
        <v>7</v>
      </c>
      <c r="H98" s="560">
        <f>H99</f>
        <v>53</v>
      </c>
      <c r="I98" s="507"/>
      <c r="J98" s="532">
        <f>H98*I98</f>
        <v>0</v>
      </c>
      <c r="K98" s="561"/>
      <c r="L98" s="558"/>
      <c r="M98" s="558"/>
    </row>
    <row r="99" spans="1:13" s="632" customFormat="1">
      <c r="A99" s="421"/>
      <c r="B99" s="550"/>
      <c r="C99" s="626"/>
      <c r="D99" s="630">
        <v>9109010108</v>
      </c>
      <c r="E99" s="623" t="s">
        <v>1064</v>
      </c>
      <c r="F99" s="624"/>
      <c r="G99" s="578" t="s">
        <v>7</v>
      </c>
      <c r="H99" s="570">
        <v>53</v>
      </c>
      <c r="I99" s="614"/>
      <c r="J99" s="494"/>
      <c r="L99" s="633"/>
      <c r="M99" s="633"/>
    </row>
    <row r="100" spans="1:13" s="632" customFormat="1">
      <c r="A100" s="421"/>
      <c r="B100" s="550"/>
      <c r="C100" s="629"/>
      <c r="D100" s="630"/>
      <c r="E100" s="625" t="s">
        <v>1065</v>
      </c>
      <c r="F100" s="415">
        <v>53</v>
      </c>
      <c r="G100" s="578"/>
      <c r="H100" s="540"/>
      <c r="I100" s="634"/>
      <c r="J100" s="635"/>
      <c r="L100" s="633"/>
      <c r="M100" s="633"/>
    </row>
    <row r="101" spans="1:13" s="429" customFormat="1">
      <c r="A101" s="421"/>
      <c r="B101" s="550"/>
      <c r="C101" s="629"/>
      <c r="D101" s="630"/>
      <c r="E101" s="625"/>
      <c r="F101" s="415"/>
      <c r="G101" s="578"/>
      <c r="H101" s="540"/>
      <c r="I101" s="614"/>
      <c r="J101" s="494"/>
      <c r="L101" s="615"/>
      <c r="M101" s="615"/>
    </row>
    <row r="102" spans="1:13" s="639" customFormat="1" ht="25.5">
      <c r="A102" s="524">
        <f>MAX(A$1:A101)+1</f>
        <v>18</v>
      </c>
      <c r="B102" s="609"/>
      <c r="C102" s="636">
        <v>91100103</v>
      </c>
      <c r="D102" s="637"/>
      <c r="E102" s="548" t="s">
        <v>1066</v>
      </c>
      <c r="F102" s="638"/>
      <c r="G102" s="559" t="s">
        <v>1</v>
      </c>
      <c r="H102" s="560">
        <f>H103</f>
        <v>3</v>
      </c>
      <c r="I102" s="658"/>
      <c r="J102" s="532">
        <f>H102*I102</f>
        <v>0</v>
      </c>
      <c r="K102" s="561"/>
      <c r="L102" s="558"/>
      <c r="M102" s="558"/>
    </row>
    <row r="103" spans="1:13" s="632" customFormat="1" ht="25.5">
      <c r="A103" s="567"/>
      <c r="B103" s="628"/>
      <c r="C103" s="640"/>
      <c r="D103" s="641">
        <v>9110010302</v>
      </c>
      <c r="E103" s="554" t="s">
        <v>1067</v>
      </c>
      <c r="F103" s="561"/>
      <c r="G103" s="574" t="s">
        <v>1</v>
      </c>
      <c r="H103" s="570">
        <v>3</v>
      </c>
      <c r="I103" s="614"/>
      <c r="J103" s="494"/>
      <c r="L103" s="633"/>
      <c r="M103" s="633"/>
    </row>
    <row r="104" spans="1:13" s="648" customFormat="1">
      <c r="A104" s="533"/>
      <c r="B104" s="642"/>
      <c r="C104" s="643"/>
      <c r="D104" s="644"/>
      <c r="E104" s="537" t="s">
        <v>1068</v>
      </c>
      <c r="F104" s="415">
        <v>3</v>
      </c>
      <c r="G104" s="539"/>
      <c r="H104" s="645"/>
      <c r="I104" s="646"/>
      <c r="J104" s="647"/>
      <c r="L104" s="649"/>
      <c r="M104" s="649"/>
    </row>
    <row r="105" spans="1:13" s="429" customFormat="1">
      <c r="A105" s="421"/>
      <c r="B105" s="550"/>
      <c r="C105" s="629"/>
      <c r="D105" s="630"/>
      <c r="E105" s="625"/>
      <c r="F105" s="415"/>
      <c r="G105" s="578"/>
      <c r="H105" s="540"/>
      <c r="I105" s="614"/>
      <c r="J105" s="494"/>
      <c r="L105" s="615"/>
      <c r="M105" s="615"/>
    </row>
    <row r="106" spans="1:13" s="650" customFormat="1" ht="25.5">
      <c r="A106" s="524">
        <f>MAX(A$1:A105)+1</f>
        <v>19</v>
      </c>
      <c r="B106" s="565"/>
      <c r="C106" s="626">
        <v>91200101</v>
      </c>
      <c r="D106" s="627"/>
      <c r="E106" s="551" t="s">
        <v>1069</v>
      </c>
      <c r="F106" s="566"/>
      <c r="G106" s="575" t="s">
        <v>1</v>
      </c>
      <c r="H106" s="560">
        <f>H107</f>
        <v>36</v>
      </c>
      <c r="I106" s="658"/>
      <c r="J106" s="532">
        <f>H106*I106</f>
        <v>0</v>
      </c>
      <c r="K106" s="561"/>
      <c r="L106" s="558"/>
      <c r="M106" s="558"/>
    </row>
    <row r="107" spans="1:13" s="429" customFormat="1" ht="25.5">
      <c r="A107" s="590"/>
      <c r="B107" s="565"/>
      <c r="C107" s="629"/>
      <c r="D107" s="630">
        <v>9120010101</v>
      </c>
      <c r="E107" s="623" t="s">
        <v>1070</v>
      </c>
      <c r="F107" s="415"/>
      <c r="G107" s="578" t="s">
        <v>1</v>
      </c>
      <c r="H107" s="570">
        <v>36</v>
      </c>
      <c r="I107" s="614"/>
      <c r="J107" s="494"/>
      <c r="L107" s="615"/>
      <c r="M107" s="615"/>
    </row>
    <row r="108" spans="1:13" s="429" customFormat="1">
      <c r="A108" s="590"/>
      <c r="B108" s="565"/>
      <c r="C108" s="629"/>
      <c r="D108" s="630"/>
      <c r="E108" s="571" t="s">
        <v>1071</v>
      </c>
      <c r="F108" s="415">
        <v>4</v>
      </c>
      <c r="G108" s="578"/>
      <c r="H108" s="540"/>
      <c r="I108" s="614"/>
      <c r="J108" s="494"/>
      <c r="L108" s="615"/>
      <c r="M108" s="615"/>
    </row>
    <row r="109" spans="1:13" s="429" customFormat="1">
      <c r="A109" s="590"/>
      <c r="B109" s="565"/>
      <c r="C109" s="629"/>
      <c r="D109" s="630"/>
      <c r="E109" s="571" t="s">
        <v>1072</v>
      </c>
      <c r="F109" s="415">
        <v>25</v>
      </c>
      <c r="G109" s="578"/>
      <c r="H109" s="540"/>
      <c r="I109" s="614"/>
      <c r="J109" s="494"/>
      <c r="L109" s="615"/>
      <c r="M109" s="615"/>
    </row>
    <row r="110" spans="1:13" s="429" customFormat="1">
      <c r="A110" s="590"/>
      <c r="B110" s="565"/>
      <c r="C110" s="629"/>
      <c r="D110" s="630"/>
      <c r="E110" s="571" t="s">
        <v>1073</v>
      </c>
      <c r="F110" s="415">
        <v>3</v>
      </c>
      <c r="G110" s="578"/>
      <c r="H110" s="540"/>
      <c r="I110" s="614"/>
      <c r="J110" s="494"/>
      <c r="L110" s="615"/>
      <c r="M110" s="615"/>
    </row>
    <row r="111" spans="1:13" s="429" customFormat="1" ht="25.5">
      <c r="A111" s="590"/>
      <c r="B111" s="565"/>
      <c r="C111" s="629"/>
      <c r="D111" s="630"/>
      <c r="E111" s="571" t="s">
        <v>1074</v>
      </c>
      <c r="F111" s="631">
        <v>4</v>
      </c>
      <c r="G111" s="578"/>
      <c r="H111" s="540"/>
      <c r="I111" s="614"/>
      <c r="J111" s="494"/>
      <c r="L111" s="615"/>
      <c r="M111" s="615"/>
    </row>
    <row r="112" spans="1:13" s="429" customFormat="1">
      <c r="A112" s="590"/>
      <c r="B112" s="565"/>
      <c r="C112" s="629"/>
      <c r="D112" s="630"/>
      <c r="E112" s="571"/>
      <c r="F112" s="415">
        <f>SUM(F108:F111)</f>
        <v>36</v>
      </c>
      <c r="G112" s="578"/>
      <c r="H112" s="540"/>
      <c r="I112" s="614"/>
      <c r="J112" s="494"/>
      <c r="L112" s="615"/>
      <c r="M112" s="615"/>
    </row>
    <row r="113" spans="1:13" s="429" customFormat="1">
      <c r="A113" s="590"/>
      <c r="B113" s="565"/>
      <c r="C113" s="629"/>
      <c r="D113" s="630"/>
      <c r="E113" s="571"/>
      <c r="F113" s="631"/>
      <c r="G113" s="578"/>
      <c r="H113" s="540"/>
      <c r="I113" s="614"/>
      <c r="J113" s="494"/>
      <c r="L113" s="615"/>
      <c r="M113" s="615"/>
    </row>
    <row r="114" spans="1:13" s="650" customFormat="1" ht="25.5">
      <c r="A114" s="524">
        <f>MAX(A$1:A113)+1</f>
        <v>20</v>
      </c>
      <c r="B114" s="565"/>
      <c r="C114" s="626">
        <v>91200202</v>
      </c>
      <c r="D114" s="627"/>
      <c r="E114" s="551" t="s">
        <v>1075</v>
      </c>
      <c r="F114" s="566"/>
      <c r="G114" s="575" t="s">
        <v>1</v>
      </c>
      <c r="H114" s="560">
        <f>H115</f>
        <v>37</v>
      </c>
      <c r="I114" s="658"/>
      <c r="J114" s="532">
        <f>H114*I114</f>
        <v>0</v>
      </c>
      <c r="K114" s="561"/>
      <c r="L114" s="558"/>
      <c r="M114" s="558"/>
    </row>
    <row r="115" spans="1:13" s="429" customFormat="1" ht="25.5">
      <c r="A115" s="590"/>
      <c r="B115" s="565"/>
      <c r="C115" s="629"/>
      <c r="D115" s="630">
        <v>9120020202</v>
      </c>
      <c r="E115" s="623" t="s">
        <v>1076</v>
      </c>
      <c r="F115" s="415"/>
      <c r="G115" s="578" t="s">
        <v>1</v>
      </c>
      <c r="H115" s="570">
        <v>37</v>
      </c>
      <c r="I115" s="614"/>
      <c r="J115" s="494"/>
      <c r="L115" s="615"/>
      <c r="M115" s="615"/>
    </row>
    <row r="116" spans="1:13" s="429" customFormat="1" ht="25.5">
      <c r="A116" s="590"/>
      <c r="B116" s="565"/>
      <c r="C116" s="629"/>
      <c r="D116" s="630"/>
      <c r="E116" s="571" t="s">
        <v>1077</v>
      </c>
      <c r="F116" s="415">
        <v>30</v>
      </c>
      <c r="G116" s="578"/>
      <c r="H116" s="540"/>
      <c r="I116" s="614"/>
      <c r="J116" s="494"/>
      <c r="L116" s="615"/>
      <c r="M116" s="615"/>
    </row>
    <row r="117" spans="1:13" s="429" customFormat="1" ht="38.25">
      <c r="A117" s="590"/>
      <c r="B117" s="565"/>
      <c r="C117" s="629"/>
      <c r="D117" s="630"/>
      <c r="E117" s="571" t="s">
        <v>1078</v>
      </c>
      <c r="F117" s="415">
        <v>4</v>
      </c>
      <c r="G117" s="578"/>
      <c r="H117" s="540"/>
      <c r="I117" s="614"/>
      <c r="J117" s="494"/>
      <c r="L117" s="615"/>
      <c r="M117" s="615"/>
    </row>
    <row r="118" spans="1:13" s="429" customFormat="1" ht="25.5">
      <c r="A118" s="590"/>
      <c r="B118" s="565"/>
      <c r="C118" s="629"/>
      <c r="D118" s="630"/>
      <c r="E118" s="571" t="s">
        <v>1079</v>
      </c>
      <c r="F118" s="631">
        <v>3</v>
      </c>
      <c r="G118" s="578"/>
      <c r="H118" s="540"/>
      <c r="I118" s="614"/>
      <c r="J118" s="494"/>
      <c r="L118" s="615"/>
      <c r="M118" s="615"/>
    </row>
    <row r="119" spans="1:13" s="429" customFormat="1">
      <c r="A119" s="590"/>
      <c r="B119" s="565"/>
      <c r="C119" s="629"/>
      <c r="D119" s="630"/>
      <c r="E119" s="571"/>
      <c r="F119" s="415">
        <f>SUM(F116:F118)</f>
        <v>37</v>
      </c>
      <c r="G119" s="578"/>
      <c r="H119" s="540"/>
      <c r="I119" s="614"/>
      <c r="J119" s="494"/>
      <c r="L119" s="615"/>
      <c r="M119" s="615"/>
    </row>
    <row r="120" spans="1:13" s="429" customFormat="1">
      <c r="A120" s="590"/>
      <c r="B120" s="565"/>
      <c r="C120" s="629"/>
      <c r="D120" s="630"/>
      <c r="E120" s="571"/>
      <c r="F120" s="415"/>
      <c r="G120" s="578"/>
      <c r="H120" s="540"/>
      <c r="I120" s="614"/>
      <c r="J120" s="494"/>
      <c r="L120" s="615"/>
      <c r="M120" s="615"/>
    </row>
    <row r="121" spans="1:13" s="639" customFormat="1" ht="25.5">
      <c r="A121" s="524">
        <f>MAX(A$1:A120)+1</f>
        <v>21</v>
      </c>
      <c r="B121" s="557"/>
      <c r="C121" s="636">
        <v>91200401</v>
      </c>
      <c r="D121" s="637"/>
      <c r="E121" s="548" t="s">
        <v>1080</v>
      </c>
      <c r="F121" s="651"/>
      <c r="G121" s="559" t="s">
        <v>116</v>
      </c>
      <c r="H121" s="560">
        <f>H122</f>
        <v>4</v>
      </c>
      <c r="I121" s="658"/>
      <c r="J121" s="532">
        <f>H121*I121</f>
        <v>0</v>
      </c>
      <c r="K121" s="561"/>
      <c r="L121" s="558"/>
      <c r="M121" s="558"/>
    </row>
    <row r="122" spans="1:13" s="632" customFormat="1" ht="25.5">
      <c r="A122" s="590"/>
      <c r="B122" s="557"/>
      <c r="C122" s="640"/>
      <c r="D122" s="641">
        <v>9120040101</v>
      </c>
      <c r="E122" s="554" t="s">
        <v>1081</v>
      </c>
      <c r="F122" s="538"/>
      <c r="G122" s="574" t="s">
        <v>116</v>
      </c>
      <c r="H122" s="652">
        <v>4</v>
      </c>
      <c r="I122" s="614"/>
      <c r="J122" s="494"/>
      <c r="L122" s="633"/>
      <c r="M122" s="633"/>
    </row>
    <row r="123" spans="1:13" s="632" customFormat="1" ht="63.75">
      <c r="A123" s="524"/>
      <c r="B123" s="557"/>
      <c r="C123" s="636"/>
      <c r="D123" s="637"/>
      <c r="E123" s="537" t="s">
        <v>1082</v>
      </c>
      <c r="F123" s="538">
        <v>4</v>
      </c>
      <c r="G123" s="559"/>
      <c r="H123" s="653"/>
      <c r="I123" s="634"/>
      <c r="J123" s="635"/>
      <c r="L123" s="633"/>
      <c r="M123" s="633"/>
    </row>
    <row r="124" spans="1:13" s="632" customFormat="1">
      <c r="A124" s="524"/>
      <c r="B124" s="565"/>
      <c r="C124" s="626"/>
      <c r="D124" s="627"/>
      <c r="E124" s="551"/>
      <c r="F124" s="415"/>
      <c r="G124" s="575"/>
      <c r="H124" s="408"/>
      <c r="I124" s="634"/>
      <c r="J124" s="635"/>
      <c r="L124" s="633"/>
      <c r="M124" s="633"/>
    </row>
    <row r="125" spans="1:13" s="650" customFormat="1" ht="25.5">
      <c r="A125" s="524">
        <f>MAX(A$1:A124)+1</f>
        <v>22</v>
      </c>
      <c r="B125" s="557"/>
      <c r="C125" s="636">
        <v>91200501</v>
      </c>
      <c r="D125" s="637"/>
      <c r="E125" s="548" t="s">
        <v>1083</v>
      </c>
      <c r="F125" s="651"/>
      <c r="G125" s="559" t="s">
        <v>1</v>
      </c>
      <c r="H125" s="560">
        <f>H126</f>
        <v>24</v>
      </c>
      <c r="I125" s="658"/>
      <c r="J125" s="532">
        <f>H125*I125</f>
        <v>0</v>
      </c>
      <c r="K125" s="561"/>
      <c r="L125" s="558"/>
      <c r="M125" s="558"/>
    </row>
    <row r="126" spans="1:13" s="429" customFormat="1" ht="25.5">
      <c r="A126" s="524"/>
      <c r="B126" s="557"/>
      <c r="C126" s="640"/>
      <c r="D126" s="641">
        <v>9120050102</v>
      </c>
      <c r="E126" s="554" t="s">
        <v>1084</v>
      </c>
      <c r="F126" s="538"/>
      <c r="G126" s="574" t="s">
        <v>1</v>
      </c>
      <c r="H126" s="652">
        <v>24</v>
      </c>
      <c r="I126" s="614"/>
      <c r="J126" s="494"/>
      <c r="L126" s="615"/>
      <c r="M126" s="615"/>
    </row>
    <row r="127" spans="1:13" s="429" customFormat="1">
      <c r="A127" s="590"/>
      <c r="B127" s="557"/>
      <c r="C127" s="640"/>
      <c r="D127" s="641"/>
      <c r="E127" s="537" t="s">
        <v>1085</v>
      </c>
      <c r="F127" s="538">
        <v>19</v>
      </c>
      <c r="G127" s="574"/>
      <c r="H127" s="654"/>
      <c r="I127" s="614"/>
      <c r="J127" s="494"/>
      <c r="L127" s="615"/>
      <c r="M127" s="615"/>
    </row>
    <row r="128" spans="1:13" s="429" customFormat="1">
      <c r="A128" s="590"/>
      <c r="B128" s="557"/>
      <c r="C128" s="640"/>
      <c r="D128" s="641"/>
      <c r="E128" s="537" t="s">
        <v>1086</v>
      </c>
      <c r="F128" s="538">
        <v>1</v>
      </c>
      <c r="G128" s="574"/>
      <c r="H128" s="654"/>
      <c r="I128" s="614"/>
      <c r="J128" s="494"/>
      <c r="L128" s="615"/>
      <c r="M128" s="615"/>
    </row>
    <row r="129" spans="1:13" s="429" customFormat="1">
      <c r="A129" s="590"/>
      <c r="B129" s="557"/>
      <c r="C129" s="640"/>
      <c r="D129" s="641"/>
      <c r="E129" s="537" t="s">
        <v>1087</v>
      </c>
      <c r="F129" s="581">
        <v>4</v>
      </c>
      <c r="G129" s="574"/>
      <c r="H129" s="654"/>
      <c r="I129" s="614"/>
      <c r="J129" s="494"/>
      <c r="L129" s="615"/>
      <c r="M129" s="615"/>
    </row>
    <row r="130" spans="1:13" s="429" customFormat="1">
      <c r="A130" s="590"/>
      <c r="B130" s="557"/>
      <c r="C130" s="640"/>
      <c r="D130" s="641"/>
      <c r="E130" s="537"/>
      <c r="F130" s="538">
        <f>SUM(F127:F129)</f>
        <v>24</v>
      </c>
      <c r="G130" s="574"/>
      <c r="H130" s="654"/>
      <c r="I130" s="614"/>
      <c r="J130" s="494"/>
      <c r="L130" s="615"/>
      <c r="M130" s="615"/>
    </row>
    <row r="131" spans="1:13" s="429" customFormat="1">
      <c r="A131" s="590"/>
      <c r="B131" s="557"/>
      <c r="C131" s="640"/>
      <c r="D131" s="641"/>
      <c r="E131" s="537"/>
      <c r="F131" s="538"/>
      <c r="G131" s="574"/>
      <c r="H131" s="654"/>
      <c r="I131" s="614"/>
      <c r="J131" s="494"/>
      <c r="L131" s="615"/>
      <c r="M131" s="615"/>
    </row>
    <row r="132" spans="1:13" s="650" customFormat="1" ht="25.5">
      <c r="A132" s="524">
        <f>MAX(A$1:A131)+1</f>
        <v>23</v>
      </c>
      <c r="B132" s="557"/>
      <c r="C132" s="636">
        <v>91200502</v>
      </c>
      <c r="D132" s="637"/>
      <c r="E132" s="548" t="s">
        <v>1088</v>
      </c>
      <c r="F132" s="651"/>
      <c r="G132" s="559" t="s">
        <v>1</v>
      </c>
      <c r="H132" s="560">
        <f>H133</f>
        <v>36</v>
      </c>
      <c r="I132" s="658"/>
      <c r="J132" s="532">
        <f>H132*I132</f>
        <v>0</v>
      </c>
      <c r="K132" s="561"/>
      <c r="L132" s="558"/>
      <c r="M132" s="558"/>
    </row>
    <row r="133" spans="1:13" s="429" customFormat="1" ht="25.5">
      <c r="A133" s="590"/>
      <c r="B133" s="557"/>
      <c r="C133" s="640"/>
      <c r="D133" s="641">
        <v>9120050201</v>
      </c>
      <c r="E133" s="554" t="s">
        <v>1089</v>
      </c>
      <c r="F133" s="538"/>
      <c r="G133" s="574" t="s">
        <v>1</v>
      </c>
      <c r="H133" s="652">
        <v>36</v>
      </c>
      <c r="I133" s="614"/>
      <c r="J133" s="494"/>
      <c r="L133" s="615"/>
      <c r="M133" s="615"/>
    </row>
    <row r="134" spans="1:13" s="429" customFormat="1" ht="25.5">
      <c r="A134" s="524"/>
      <c r="B134" s="557"/>
      <c r="C134" s="636"/>
      <c r="D134" s="637"/>
      <c r="E134" s="537" t="s">
        <v>1090</v>
      </c>
      <c r="F134" s="538">
        <v>36</v>
      </c>
      <c r="G134" s="559"/>
      <c r="H134" s="653"/>
      <c r="I134" s="614"/>
      <c r="J134" s="494"/>
      <c r="L134" s="615"/>
      <c r="M134" s="615"/>
    </row>
    <row r="135" spans="1:13" s="429" customFormat="1">
      <c r="A135" s="524"/>
      <c r="B135" s="565"/>
      <c r="C135" s="626"/>
      <c r="D135" s="627"/>
      <c r="E135" s="551"/>
      <c r="F135" s="415"/>
      <c r="G135" s="575"/>
      <c r="H135" s="408"/>
      <c r="I135" s="614"/>
      <c r="J135" s="494"/>
      <c r="L135" s="615"/>
      <c r="M135" s="615"/>
    </row>
    <row r="136" spans="1:13" s="650" customFormat="1" ht="25.5">
      <c r="A136" s="524">
        <f>MAX(A$1:A135)+1</f>
        <v>24</v>
      </c>
      <c r="B136" s="565"/>
      <c r="C136" s="636">
        <v>91220702</v>
      </c>
      <c r="D136" s="637"/>
      <c r="E136" s="551" t="s">
        <v>1091</v>
      </c>
      <c r="F136" s="611"/>
      <c r="G136" s="559" t="s">
        <v>1</v>
      </c>
      <c r="H136" s="560">
        <f>H137</f>
        <v>108</v>
      </c>
      <c r="I136" s="658"/>
      <c r="J136" s="532">
        <f>H136*I136</f>
        <v>0</v>
      </c>
      <c r="K136" s="561"/>
      <c r="L136" s="558"/>
      <c r="M136" s="558"/>
    </row>
    <row r="137" spans="1:13" s="429" customFormat="1" ht="25.5">
      <c r="A137" s="421"/>
      <c r="B137" s="550"/>
      <c r="C137" s="636"/>
      <c r="D137" s="641">
        <v>9122070201</v>
      </c>
      <c r="E137" s="623" t="s">
        <v>1092</v>
      </c>
      <c r="F137" s="624"/>
      <c r="G137" s="574" t="s">
        <v>1</v>
      </c>
      <c r="H137" s="570">
        <v>108</v>
      </c>
      <c r="I137" s="614"/>
      <c r="J137" s="494"/>
      <c r="L137" s="615"/>
      <c r="M137" s="615"/>
    </row>
    <row r="138" spans="1:13" s="429" customFormat="1">
      <c r="A138" s="421"/>
      <c r="B138" s="550"/>
      <c r="C138" s="550"/>
      <c r="D138" s="641"/>
      <c r="E138" s="625" t="s">
        <v>1093</v>
      </c>
      <c r="F138" s="415">
        <v>108</v>
      </c>
      <c r="G138" s="574"/>
      <c r="H138" s="408"/>
      <c r="I138" s="614"/>
      <c r="J138" s="494"/>
      <c r="L138" s="615"/>
      <c r="M138" s="615"/>
    </row>
    <row r="139" spans="1:13" s="429" customFormat="1">
      <c r="A139" s="590"/>
      <c r="B139" s="565"/>
      <c r="C139" s="626"/>
      <c r="D139" s="627"/>
      <c r="E139" s="625"/>
      <c r="F139" s="415"/>
      <c r="G139" s="575"/>
      <c r="H139" s="408"/>
      <c r="I139" s="614"/>
      <c r="J139" s="494"/>
      <c r="L139" s="615"/>
      <c r="M139" s="615"/>
    </row>
    <row r="140" spans="1:13" s="650" customFormat="1" ht="25.5">
      <c r="A140" s="524">
        <f>MAX(A$1:A139)+1</f>
        <v>25</v>
      </c>
      <c r="B140" s="565"/>
      <c r="C140" s="636">
        <v>91221001</v>
      </c>
      <c r="D140" s="637"/>
      <c r="E140" s="551" t="s">
        <v>1094</v>
      </c>
      <c r="F140" s="611"/>
      <c r="G140" s="559" t="s">
        <v>7</v>
      </c>
      <c r="H140" s="560">
        <f>H141+H143</f>
        <v>1104</v>
      </c>
      <c r="I140" s="658"/>
      <c r="J140" s="532">
        <f>H140*I140</f>
        <v>0</v>
      </c>
      <c r="K140" s="561"/>
      <c r="L140" s="558"/>
      <c r="M140" s="558"/>
    </row>
    <row r="141" spans="1:13" s="429" customFormat="1" ht="25.5">
      <c r="A141" s="421"/>
      <c r="B141" s="550"/>
      <c r="C141" s="636"/>
      <c r="D141" s="641">
        <v>9122100102</v>
      </c>
      <c r="E141" s="623" t="s">
        <v>1095</v>
      </c>
      <c r="F141" s="624"/>
      <c r="G141" s="574" t="s">
        <v>7</v>
      </c>
      <c r="H141" s="570">
        <v>54</v>
      </c>
      <c r="I141" s="614"/>
      <c r="J141" s="494"/>
      <c r="L141" s="615"/>
      <c r="M141" s="615"/>
    </row>
    <row r="142" spans="1:13" s="429" customFormat="1">
      <c r="A142" s="421"/>
      <c r="B142" s="550"/>
      <c r="C142" s="550"/>
      <c r="D142" s="641"/>
      <c r="E142" s="625" t="s">
        <v>1096</v>
      </c>
      <c r="F142" s="415">
        <v>54</v>
      </c>
      <c r="G142" s="574"/>
      <c r="H142" s="408"/>
      <c r="I142" s="614"/>
      <c r="J142" s="494"/>
      <c r="L142" s="615"/>
      <c r="M142" s="615"/>
    </row>
    <row r="143" spans="1:13" s="429" customFormat="1" ht="25.5">
      <c r="A143" s="421"/>
      <c r="B143" s="550"/>
      <c r="C143" s="636"/>
      <c r="D143" s="641">
        <v>9122100103</v>
      </c>
      <c r="E143" s="623" t="s">
        <v>1097</v>
      </c>
      <c r="F143" s="624"/>
      <c r="G143" s="574" t="s">
        <v>7</v>
      </c>
      <c r="H143" s="570">
        <v>1050</v>
      </c>
      <c r="I143" s="614"/>
      <c r="J143" s="494"/>
      <c r="L143" s="615"/>
      <c r="M143" s="615"/>
    </row>
    <row r="144" spans="1:13" s="429" customFormat="1">
      <c r="A144" s="421"/>
      <c r="B144" s="550"/>
      <c r="C144" s="550"/>
      <c r="D144" s="641"/>
      <c r="E144" s="625" t="s">
        <v>1098</v>
      </c>
      <c r="F144" s="415">
        <v>1050</v>
      </c>
      <c r="G144" s="574"/>
      <c r="H144" s="408"/>
      <c r="I144" s="614"/>
      <c r="J144" s="494"/>
      <c r="L144" s="615"/>
      <c r="M144" s="615"/>
    </row>
    <row r="145" spans="1:13" s="429" customFormat="1">
      <c r="A145" s="524"/>
      <c r="B145" s="550"/>
      <c r="C145" s="636"/>
      <c r="D145" s="637"/>
      <c r="E145" s="551"/>
      <c r="F145" s="611"/>
      <c r="G145" s="559"/>
      <c r="H145" s="408"/>
      <c r="I145" s="614"/>
      <c r="J145" s="494"/>
      <c r="L145" s="615"/>
      <c r="M145" s="615"/>
    </row>
    <row r="146" spans="1:13" s="650" customFormat="1" ht="25.5">
      <c r="A146" s="524">
        <f>MAX(A$1:A145)+1</f>
        <v>26</v>
      </c>
      <c r="B146" s="565"/>
      <c r="C146" s="636">
        <v>91221201</v>
      </c>
      <c r="D146" s="637"/>
      <c r="E146" s="551" t="s">
        <v>1099</v>
      </c>
      <c r="F146" s="611"/>
      <c r="G146" s="559" t="s">
        <v>7</v>
      </c>
      <c r="H146" s="560">
        <f>H147</f>
        <v>18</v>
      </c>
      <c r="I146" s="658"/>
      <c r="J146" s="532">
        <f>H146*I146</f>
        <v>0</v>
      </c>
      <c r="K146" s="561"/>
      <c r="L146" s="558"/>
      <c r="M146" s="558"/>
    </row>
    <row r="147" spans="1:13" s="429" customFormat="1" ht="25.5">
      <c r="A147" s="421"/>
      <c r="B147" s="550"/>
      <c r="C147" s="636"/>
      <c r="D147" s="641">
        <v>9122120101</v>
      </c>
      <c r="E147" s="623" t="s">
        <v>1100</v>
      </c>
      <c r="F147" s="624"/>
      <c r="G147" s="574" t="s">
        <v>7</v>
      </c>
      <c r="H147" s="570">
        <v>18</v>
      </c>
      <c r="I147" s="614"/>
      <c r="J147" s="494"/>
      <c r="L147" s="615"/>
      <c r="M147" s="615"/>
    </row>
    <row r="148" spans="1:13" s="429" customFormat="1">
      <c r="A148" s="421"/>
      <c r="B148" s="550"/>
      <c r="C148" s="550"/>
      <c r="D148" s="641"/>
      <c r="E148" s="625" t="s">
        <v>1101</v>
      </c>
      <c r="F148" s="415">
        <v>18</v>
      </c>
      <c r="G148" s="574"/>
      <c r="H148" s="408"/>
      <c r="I148" s="614"/>
      <c r="J148" s="494"/>
      <c r="L148" s="615"/>
      <c r="M148" s="615"/>
    </row>
    <row r="149" spans="1:13" s="429" customFormat="1">
      <c r="A149" s="421"/>
      <c r="B149" s="550"/>
      <c r="C149" s="636"/>
      <c r="D149" s="641"/>
      <c r="E149" s="623"/>
      <c r="F149" s="624"/>
      <c r="G149" s="574"/>
      <c r="H149" s="540"/>
      <c r="I149" s="614"/>
      <c r="J149" s="494"/>
      <c r="L149" s="615"/>
      <c r="M149" s="615"/>
    </row>
    <row r="150" spans="1:13" s="650" customFormat="1" ht="25.5">
      <c r="A150" s="524">
        <f>MAX(A$1:A149)+1</f>
        <v>27</v>
      </c>
      <c r="B150" s="565"/>
      <c r="C150" s="636">
        <v>91221401</v>
      </c>
      <c r="D150" s="637"/>
      <c r="E150" s="551" t="s">
        <v>1102</v>
      </c>
      <c r="F150" s="611"/>
      <c r="G150" s="559" t="s">
        <v>1</v>
      </c>
      <c r="H150" s="560">
        <f>H151</f>
        <v>36</v>
      </c>
      <c r="I150" s="658"/>
      <c r="J150" s="532">
        <f>H150*I150</f>
        <v>0</v>
      </c>
      <c r="K150" s="561"/>
      <c r="L150" s="558"/>
      <c r="M150" s="558"/>
    </row>
    <row r="151" spans="1:13" s="429" customFormat="1" ht="25.5">
      <c r="A151" s="421"/>
      <c r="B151" s="550"/>
      <c r="C151" s="636"/>
      <c r="D151" s="641">
        <v>9122140101</v>
      </c>
      <c r="E151" s="623" t="s">
        <v>1103</v>
      </c>
      <c r="F151" s="624"/>
      <c r="G151" s="574" t="s">
        <v>1</v>
      </c>
      <c r="H151" s="570">
        <v>36</v>
      </c>
      <c r="I151" s="614"/>
      <c r="J151" s="494"/>
      <c r="L151" s="615"/>
      <c r="M151" s="615"/>
    </row>
    <row r="152" spans="1:13" s="429" customFormat="1">
      <c r="A152" s="421"/>
      <c r="B152" s="550"/>
      <c r="C152" s="550"/>
      <c r="D152" s="641"/>
      <c r="E152" s="625" t="s">
        <v>1104</v>
      </c>
      <c r="F152" s="415">
        <v>36</v>
      </c>
      <c r="G152" s="574"/>
      <c r="H152" s="408"/>
      <c r="I152" s="614"/>
      <c r="J152" s="494"/>
      <c r="L152" s="615"/>
      <c r="M152" s="615"/>
    </row>
    <row r="153" spans="1:13" s="429" customFormat="1">
      <c r="A153" s="421"/>
      <c r="B153" s="550"/>
      <c r="C153" s="550"/>
      <c r="D153" s="641"/>
      <c r="E153" s="625"/>
      <c r="F153" s="415"/>
      <c r="G153" s="574"/>
      <c r="H153" s="408"/>
      <c r="I153" s="614"/>
      <c r="J153" s="494"/>
      <c r="L153" s="615"/>
      <c r="M153" s="615"/>
    </row>
    <row r="154" spans="1:13" s="650" customFormat="1" ht="25.5">
      <c r="A154" s="524">
        <f>MAX(A$1:A153)+1</f>
        <v>28</v>
      </c>
      <c r="B154" s="565"/>
      <c r="C154" s="636">
        <v>91221501</v>
      </c>
      <c r="D154" s="637"/>
      <c r="E154" s="551" t="s">
        <v>1105</v>
      </c>
      <c r="F154" s="611"/>
      <c r="G154" s="559" t="s">
        <v>116</v>
      </c>
      <c r="H154" s="560">
        <f>H155</f>
        <v>1</v>
      </c>
      <c r="I154" s="658"/>
      <c r="J154" s="532">
        <f>H154*I154</f>
        <v>0</v>
      </c>
      <c r="K154" s="561"/>
      <c r="L154" s="558"/>
      <c r="M154" s="558"/>
    </row>
    <row r="155" spans="1:13" s="429" customFormat="1" ht="25.5">
      <c r="A155" s="567"/>
      <c r="B155" s="550"/>
      <c r="C155" s="640"/>
      <c r="D155" s="641">
        <v>9122150101</v>
      </c>
      <c r="E155" s="623" t="s">
        <v>1106</v>
      </c>
      <c r="F155" s="624"/>
      <c r="G155" s="574" t="s">
        <v>116</v>
      </c>
      <c r="H155" s="570">
        <v>1</v>
      </c>
      <c r="I155" s="614"/>
      <c r="J155" s="494"/>
      <c r="L155" s="615"/>
      <c r="M155" s="615"/>
    </row>
    <row r="156" spans="1:13" s="429" customFormat="1">
      <c r="A156" s="655"/>
      <c r="B156" s="550"/>
      <c r="C156" s="550"/>
      <c r="D156" s="641"/>
      <c r="E156" s="625" t="s">
        <v>1107</v>
      </c>
      <c r="F156" s="415">
        <v>1</v>
      </c>
      <c r="G156" s="574"/>
      <c r="H156" s="408"/>
      <c r="I156" s="493"/>
      <c r="J156" s="494"/>
      <c r="L156" s="615"/>
      <c r="M156" s="615"/>
    </row>
    <row r="157" spans="1:13" s="224" customFormat="1">
      <c r="A157" s="25"/>
      <c r="B157" s="41"/>
      <c r="C157" s="308"/>
      <c r="D157" s="296"/>
      <c r="E157" s="195"/>
      <c r="F157" s="270"/>
      <c r="G157" s="24"/>
      <c r="H157" s="192"/>
      <c r="I157" s="225"/>
      <c r="J157" s="226"/>
    </row>
    <row r="158" spans="1:13" ht="13.5" thickBot="1">
      <c r="A158" s="45"/>
      <c r="B158" s="46"/>
      <c r="C158" s="47"/>
      <c r="D158" s="48"/>
      <c r="E158" s="49"/>
      <c r="F158" s="50"/>
      <c r="G158" s="51"/>
      <c r="H158" s="173"/>
      <c r="I158" s="198"/>
      <c r="J158" s="177"/>
    </row>
    <row r="159" spans="1:13" ht="13.5" thickBot="1">
      <c r="A159" s="66"/>
      <c r="B159" s="67"/>
      <c r="C159" s="67"/>
      <c r="D159" s="67"/>
      <c r="E159" s="67" t="s">
        <v>1108</v>
      </c>
      <c r="F159" s="68"/>
      <c r="G159" s="67"/>
      <c r="H159" s="68"/>
      <c r="I159" s="68"/>
      <c r="J159" s="380">
        <f>SUM(J5:J158)</f>
        <v>0</v>
      </c>
    </row>
  </sheetData>
  <sheetProtection algorithmName="SHA-512" hashValue="f3+JGBhZ3BO2PmZ4UBZc8xLtDWKWsfaTeuXblasJblTfLuwipJPnJXNz3S8HaGnphA+gGRjeEn/2KVBWBShTKQ==" saltValue="HKYtWGOdJ46mNfq8sK1rl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OBJAZD NA KRIŽOVATKE ULICE J. KOLLÁRA A CESTY 2460&amp;RO. Výkaz výmer a  rozpočet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6CCB-6B67-4E72-BD57-53BE2FFA22CF}">
  <dimension ref="A1:IS83"/>
  <sheetViews>
    <sheetView zoomScaleNormal="100" workbookViewId="0"/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53" customWidth="1"/>
    <col min="10" max="10" width="14.85546875" style="53" customWidth="1"/>
    <col min="11" max="16384" width="9.140625" style="7"/>
  </cols>
  <sheetData>
    <row r="1" spans="1:253">
      <c r="A1" s="1" t="s">
        <v>13</v>
      </c>
      <c r="B1" s="1"/>
      <c r="C1" s="2"/>
      <c r="D1" s="3"/>
      <c r="E1" s="54" t="s">
        <v>1109</v>
      </c>
      <c r="G1" s="5"/>
      <c r="H1" s="6"/>
      <c r="I1" s="6"/>
      <c r="J1" s="6"/>
    </row>
    <row r="2" spans="1:253" ht="13.5" thickBot="1">
      <c r="A2" s="8" t="s">
        <v>14</v>
      </c>
      <c r="B2" s="1"/>
      <c r="C2" s="2"/>
      <c r="D2" s="3"/>
      <c r="E2" s="9">
        <v>2224</v>
      </c>
      <c r="G2" s="10"/>
      <c r="H2" s="11"/>
      <c r="I2" s="11"/>
      <c r="J2" s="11"/>
    </row>
    <row r="3" spans="1:253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44" t="s">
        <v>18</v>
      </c>
      <c r="I3" s="826" t="s">
        <v>163</v>
      </c>
      <c r="J3" s="842" t="s">
        <v>164</v>
      </c>
    </row>
    <row r="4" spans="1:253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45"/>
      <c r="I4" s="827"/>
      <c r="J4" s="843"/>
    </row>
    <row r="5" spans="1:253" ht="13.5" customHeight="1">
      <c r="A5" s="15"/>
      <c r="B5" s="16"/>
      <c r="C5" s="16"/>
      <c r="D5" s="17"/>
      <c r="E5" s="18"/>
      <c r="F5" s="19"/>
      <c r="G5" s="174"/>
      <c r="H5" s="172"/>
      <c r="I5" s="206"/>
      <c r="J5" s="178"/>
    </row>
    <row r="6" spans="1:253" s="399" customFormat="1">
      <c r="A6" s="392"/>
      <c r="B6" s="216" t="s">
        <v>107</v>
      </c>
      <c r="C6" s="217"/>
      <c r="D6" s="218"/>
      <c r="E6" s="219" t="s">
        <v>108</v>
      </c>
      <c r="F6" s="394"/>
      <c r="G6" s="659"/>
      <c r="H6" s="396"/>
      <c r="I6" s="612"/>
      <c r="J6" s="660"/>
      <c r="K6" s="366"/>
      <c r="L6" s="366"/>
      <c r="M6" s="366"/>
    </row>
    <row r="7" spans="1:253" s="399" customFormat="1">
      <c r="A7" s="392"/>
      <c r="B7" s="661"/>
      <c r="C7" s="401"/>
      <c r="D7" s="402"/>
      <c r="E7" s="403"/>
      <c r="F7" s="404"/>
      <c r="G7" s="662"/>
      <c r="H7" s="396"/>
      <c r="I7" s="612"/>
      <c r="J7" s="660"/>
      <c r="K7" s="366"/>
      <c r="L7" s="366"/>
      <c r="M7" s="366"/>
    </row>
    <row r="8" spans="1:253" s="399" customFormat="1">
      <c r="A8" s="392"/>
      <c r="B8" s="661"/>
      <c r="C8" s="401"/>
      <c r="D8" s="402"/>
      <c r="E8" s="403"/>
      <c r="F8" s="404"/>
      <c r="G8" s="662"/>
      <c r="H8" s="396"/>
      <c r="I8" s="612"/>
      <c r="J8" s="660"/>
      <c r="K8" s="366"/>
      <c r="L8" s="366"/>
      <c r="M8" s="366"/>
    </row>
    <row r="9" spans="1:253" s="399" customFormat="1">
      <c r="A9" s="227">
        <f>MAX(A$1:A8)+1</f>
        <v>1</v>
      </c>
      <c r="B9" s="228"/>
      <c r="C9" s="239" t="s">
        <v>111</v>
      </c>
      <c r="D9" s="240"/>
      <c r="E9" s="241" t="s">
        <v>112</v>
      </c>
      <c r="F9" s="242"/>
      <c r="G9" s="243" t="s">
        <v>8</v>
      </c>
      <c r="H9" s="560">
        <v>12</v>
      </c>
      <c r="I9" s="507"/>
      <c r="J9" s="454">
        <f>H9*I9</f>
        <v>0</v>
      </c>
      <c r="K9" s="366"/>
      <c r="L9" s="366"/>
      <c r="M9" s="366"/>
    </row>
    <row r="10" spans="1:253" s="399" customFormat="1">
      <c r="A10" s="524"/>
      <c r="B10" s="413"/>
      <c r="C10" s="413"/>
      <c r="D10" s="414"/>
      <c r="E10" s="237" t="s">
        <v>118</v>
      </c>
      <c r="F10" s="415">
        <v>12</v>
      </c>
      <c r="G10" s="525"/>
      <c r="H10" s="396"/>
      <c r="I10" s="612"/>
      <c r="J10" s="660"/>
      <c r="K10" s="366"/>
      <c r="L10" s="366"/>
      <c r="M10" s="366"/>
    </row>
    <row r="11" spans="1:253" s="399" customFormat="1">
      <c r="A11" s="25"/>
      <c r="B11" s="661"/>
      <c r="C11" s="401"/>
      <c r="D11" s="402"/>
      <c r="E11" s="403"/>
      <c r="F11" s="404"/>
      <c r="G11" s="539"/>
      <c r="H11" s="396"/>
      <c r="I11" s="612"/>
      <c r="J11" s="660"/>
      <c r="K11" s="366"/>
      <c r="L11" s="366"/>
      <c r="M11" s="366"/>
    </row>
    <row r="12" spans="1:253" s="632" customFormat="1">
      <c r="A12" s="25"/>
      <c r="B12" s="216" t="s">
        <v>763</v>
      </c>
      <c r="C12" s="217"/>
      <c r="D12" s="218"/>
      <c r="E12" s="219" t="s">
        <v>764</v>
      </c>
      <c r="F12" s="394"/>
      <c r="G12" s="525"/>
      <c r="H12" s="396"/>
      <c r="I12" s="547"/>
      <c r="J12" s="663"/>
      <c r="K12" s="548"/>
      <c r="L12" s="549"/>
      <c r="M12" s="549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554"/>
      <c r="AH12" s="554"/>
      <c r="AI12" s="554"/>
      <c r="AJ12" s="554"/>
      <c r="AK12" s="554"/>
      <c r="AL12" s="554"/>
      <c r="AM12" s="554"/>
      <c r="AN12" s="554"/>
      <c r="AO12" s="554"/>
      <c r="AP12" s="554"/>
      <c r="AQ12" s="554"/>
      <c r="AR12" s="554"/>
      <c r="AS12" s="554"/>
      <c r="AT12" s="554"/>
      <c r="AU12" s="554"/>
      <c r="AV12" s="554"/>
      <c r="AW12" s="554"/>
      <c r="AX12" s="554"/>
      <c r="AY12" s="554"/>
      <c r="AZ12" s="554"/>
      <c r="BA12" s="554"/>
      <c r="BB12" s="554"/>
      <c r="BC12" s="554"/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  <c r="DJ12" s="554"/>
      <c r="DK12" s="554"/>
      <c r="DL12" s="554"/>
      <c r="DM12" s="554"/>
      <c r="DN12" s="554"/>
      <c r="DO12" s="554"/>
      <c r="DP12" s="554"/>
      <c r="DQ12" s="554"/>
      <c r="DR12" s="554"/>
      <c r="DS12" s="554"/>
      <c r="DT12" s="554"/>
      <c r="DU12" s="554"/>
      <c r="DV12" s="554"/>
      <c r="DW12" s="554"/>
      <c r="DX12" s="554"/>
      <c r="DY12" s="554"/>
      <c r="DZ12" s="554"/>
      <c r="EA12" s="554"/>
      <c r="EB12" s="554"/>
      <c r="EC12" s="554"/>
      <c r="ED12" s="554"/>
      <c r="EE12" s="554"/>
      <c r="EF12" s="554"/>
      <c r="EG12" s="554"/>
      <c r="EH12" s="554"/>
      <c r="EI12" s="554"/>
      <c r="EJ12" s="554"/>
      <c r="EK12" s="554"/>
      <c r="EL12" s="554"/>
      <c r="EM12" s="554"/>
      <c r="EN12" s="554"/>
      <c r="EO12" s="554"/>
      <c r="EP12" s="554"/>
      <c r="EQ12" s="554"/>
      <c r="ER12" s="554"/>
      <c r="ES12" s="554"/>
      <c r="ET12" s="554"/>
      <c r="EU12" s="554"/>
      <c r="EV12" s="554"/>
      <c r="EW12" s="554"/>
      <c r="EX12" s="554"/>
      <c r="EY12" s="554"/>
      <c r="EZ12" s="554"/>
      <c r="FA12" s="554"/>
      <c r="FB12" s="554"/>
      <c r="FC12" s="554"/>
      <c r="FD12" s="554"/>
      <c r="FE12" s="554"/>
      <c r="FF12" s="554"/>
      <c r="FG12" s="554"/>
      <c r="FH12" s="554"/>
      <c r="FI12" s="554"/>
      <c r="FJ12" s="554"/>
      <c r="FK12" s="554"/>
      <c r="FL12" s="554"/>
      <c r="FM12" s="554"/>
      <c r="FN12" s="554"/>
      <c r="FO12" s="554"/>
      <c r="FP12" s="554"/>
      <c r="FQ12" s="554"/>
      <c r="FR12" s="554"/>
      <c r="FS12" s="554"/>
      <c r="FT12" s="554"/>
      <c r="FU12" s="554"/>
      <c r="FV12" s="554"/>
      <c r="FW12" s="554"/>
      <c r="FX12" s="554"/>
      <c r="FY12" s="554"/>
      <c r="FZ12" s="554"/>
      <c r="GA12" s="554"/>
      <c r="GB12" s="554"/>
      <c r="GC12" s="554"/>
      <c r="GD12" s="554"/>
      <c r="GE12" s="554"/>
      <c r="GF12" s="554"/>
      <c r="GG12" s="554"/>
      <c r="GH12" s="554"/>
      <c r="GI12" s="554"/>
      <c r="GJ12" s="554"/>
      <c r="GK12" s="554"/>
      <c r="GL12" s="554"/>
      <c r="GM12" s="554"/>
      <c r="GN12" s="554"/>
      <c r="GO12" s="554"/>
      <c r="GP12" s="554"/>
      <c r="GQ12" s="554"/>
      <c r="GR12" s="554"/>
      <c r="GS12" s="554"/>
      <c r="GT12" s="554"/>
      <c r="GU12" s="554"/>
      <c r="GV12" s="554"/>
      <c r="GW12" s="554"/>
      <c r="GX12" s="554"/>
      <c r="GY12" s="554"/>
      <c r="GZ12" s="554"/>
      <c r="HA12" s="554"/>
      <c r="HB12" s="554"/>
      <c r="HC12" s="554"/>
      <c r="HD12" s="554"/>
      <c r="HE12" s="554"/>
      <c r="HF12" s="554"/>
      <c r="HG12" s="554"/>
      <c r="HH12" s="554"/>
      <c r="HI12" s="554"/>
      <c r="HJ12" s="554"/>
      <c r="HK12" s="554"/>
      <c r="HL12" s="554"/>
      <c r="HM12" s="554"/>
      <c r="HN12" s="554"/>
      <c r="HO12" s="554"/>
      <c r="HP12" s="554"/>
      <c r="HQ12" s="554"/>
      <c r="HR12" s="554"/>
      <c r="HS12" s="554"/>
      <c r="HT12" s="554"/>
      <c r="HU12" s="554"/>
      <c r="HV12" s="554"/>
      <c r="HW12" s="554"/>
      <c r="HX12" s="554"/>
      <c r="HY12" s="554"/>
      <c r="HZ12" s="554"/>
      <c r="IA12" s="554"/>
      <c r="IB12" s="554"/>
      <c r="IC12" s="554"/>
      <c r="ID12" s="554"/>
      <c r="IE12" s="554"/>
      <c r="IF12" s="554"/>
      <c r="IG12" s="554"/>
      <c r="IH12" s="554"/>
      <c r="II12" s="554"/>
      <c r="IJ12" s="554"/>
      <c r="IK12" s="554"/>
      <c r="IL12" s="554"/>
      <c r="IM12" s="554"/>
      <c r="IN12" s="554"/>
      <c r="IO12" s="554"/>
      <c r="IP12" s="554"/>
      <c r="IQ12" s="554"/>
      <c r="IR12" s="554"/>
      <c r="IS12" s="554"/>
    </row>
    <row r="13" spans="1:253" s="632" customFormat="1">
      <c r="A13" s="421"/>
      <c r="B13" s="565"/>
      <c r="C13" s="610"/>
      <c r="D13" s="565"/>
      <c r="E13" s="551"/>
      <c r="F13" s="611"/>
      <c r="G13" s="575"/>
      <c r="H13" s="408"/>
      <c r="I13" s="547"/>
      <c r="J13" s="664"/>
      <c r="K13" s="554"/>
      <c r="L13" s="555"/>
      <c r="M13" s="555"/>
      <c r="N13" s="554"/>
      <c r="O13" s="554"/>
      <c r="P13" s="554"/>
      <c r="Q13" s="554"/>
      <c r="R13" s="554"/>
      <c r="S13" s="554"/>
      <c r="T13" s="554"/>
      <c r="U13" s="554"/>
      <c r="V13" s="554"/>
      <c r="W13" s="554"/>
      <c r="X13" s="554"/>
      <c r="Y13" s="554"/>
      <c r="Z13" s="554"/>
      <c r="AA13" s="554"/>
      <c r="AB13" s="554"/>
      <c r="AC13" s="554"/>
      <c r="AD13" s="554"/>
      <c r="AE13" s="554"/>
      <c r="AF13" s="554"/>
      <c r="AG13" s="554"/>
      <c r="AH13" s="554"/>
      <c r="AI13" s="554"/>
      <c r="AJ13" s="554"/>
      <c r="AK13" s="554"/>
      <c r="AL13" s="554"/>
      <c r="AM13" s="554"/>
      <c r="AN13" s="554"/>
      <c r="AO13" s="554"/>
      <c r="AP13" s="554"/>
      <c r="AQ13" s="554"/>
      <c r="AR13" s="554"/>
      <c r="AS13" s="554"/>
      <c r="AT13" s="554"/>
      <c r="AU13" s="554"/>
      <c r="AV13" s="554"/>
      <c r="AW13" s="554"/>
      <c r="AX13" s="554"/>
      <c r="AY13" s="554"/>
      <c r="AZ13" s="554"/>
      <c r="BA13" s="554"/>
      <c r="BB13" s="554"/>
      <c r="BC13" s="554"/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  <c r="DJ13" s="554"/>
      <c r="DK13" s="554"/>
      <c r="DL13" s="554"/>
      <c r="DM13" s="554"/>
      <c r="DN13" s="554"/>
      <c r="DO13" s="554"/>
      <c r="DP13" s="554"/>
      <c r="DQ13" s="554"/>
      <c r="DR13" s="554"/>
      <c r="DS13" s="554"/>
      <c r="DT13" s="554"/>
      <c r="DU13" s="554"/>
      <c r="DV13" s="554"/>
      <c r="DW13" s="554"/>
      <c r="DX13" s="554"/>
      <c r="DY13" s="554"/>
      <c r="DZ13" s="554"/>
      <c r="EA13" s="554"/>
      <c r="EB13" s="554"/>
      <c r="EC13" s="554"/>
      <c r="ED13" s="554"/>
      <c r="EE13" s="554"/>
      <c r="EF13" s="554"/>
      <c r="EG13" s="554"/>
      <c r="EH13" s="554"/>
      <c r="EI13" s="554"/>
      <c r="EJ13" s="554"/>
      <c r="EK13" s="554"/>
      <c r="EL13" s="554"/>
      <c r="EM13" s="554"/>
      <c r="EN13" s="554"/>
      <c r="EO13" s="554"/>
      <c r="EP13" s="554"/>
      <c r="EQ13" s="554"/>
      <c r="ER13" s="554"/>
      <c r="ES13" s="554"/>
      <c r="ET13" s="554"/>
      <c r="EU13" s="554"/>
      <c r="EV13" s="554"/>
      <c r="EW13" s="554"/>
      <c r="EX13" s="554"/>
      <c r="EY13" s="554"/>
      <c r="EZ13" s="554"/>
      <c r="FA13" s="554"/>
      <c r="FB13" s="554"/>
      <c r="FC13" s="554"/>
      <c r="FD13" s="554"/>
      <c r="FE13" s="554"/>
      <c r="FF13" s="554"/>
      <c r="FG13" s="554"/>
      <c r="FH13" s="554"/>
      <c r="FI13" s="554"/>
      <c r="FJ13" s="554"/>
      <c r="FK13" s="554"/>
      <c r="FL13" s="554"/>
      <c r="FM13" s="554"/>
      <c r="FN13" s="554"/>
      <c r="FO13" s="554"/>
      <c r="FP13" s="554"/>
      <c r="FQ13" s="554"/>
      <c r="FR13" s="554"/>
      <c r="FS13" s="554"/>
      <c r="FT13" s="554"/>
      <c r="FU13" s="554"/>
      <c r="FV13" s="554"/>
      <c r="FW13" s="554"/>
      <c r="FX13" s="554"/>
      <c r="FY13" s="554"/>
      <c r="FZ13" s="554"/>
      <c r="GA13" s="554"/>
      <c r="GB13" s="554"/>
      <c r="GC13" s="554"/>
      <c r="GD13" s="554"/>
      <c r="GE13" s="554"/>
      <c r="GF13" s="554"/>
      <c r="GG13" s="554"/>
      <c r="GH13" s="554"/>
      <c r="GI13" s="554"/>
      <c r="GJ13" s="554"/>
      <c r="GK13" s="554"/>
      <c r="GL13" s="554"/>
      <c r="GM13" s="554"/>
      <c r="GN13" s="554"/>
      <c r="GO13" s="554"/>
      <c r="GP13" s="554"/>
      <c r="GQ13" s="554"/>
      <c r="GR13" s="554"/>
      <c r="GS13" s="554"/>
      <c r="GT13" s="554"/>
      <c r="GU13" s="554"/>
      <c r="GV13" s="554"/>
      <c r="GW13" s="554"/>
      <c r="GX13" s="554"/>
      <c r="GY13" s="554"/>
      <c r="GZ13" s="554"/>
      <c r="HA13" s="554"/>
      <c r="HB13" s="554"/>
      <c r="HC13" s="554"/>
      <c r="HD13" s="554"/>
      <c r="HE13" s="554"/>
      <c r="HF13" s="554"/>
      <c r="HG13" s="554"/>
      <c r="HH13" s="554"/>
      <c r="HI13" s="554"/>
      <c r="HJ13" s="554"/>
      <c r="HK13" s="554"/>
      <c r="HL13" s="554"/>
      <c r="HM13" s="554"/>
      <c r="HN13" s="554"/>
      <c r="HO13" s="554"/>
      <c r="HP13" s="554"/>
      <c r="HQ13" s="554"/>
      <c r="HR13" s="554"/>
      <c r="HS13" s="554"/>
      <c r="HT13" s="554"/>
      <c r="HU13" s="554"/>
      <c r="HV13" s="554"/>
      <c r="HW13" s="554"/>
      <c r="HX13" s="554"/>
      <c r="HY13" s="554"/>
      <c r="HZ13" s="554"/>
      <c r="IA13" s="554"/>
      <c r="IB13" s="554"/>
      <c r="IC13" s="554"/>
      <c r="ID13" s="554"/>
      <c r="IE13" s="554"/>
      <c r="IF13" s="554"/>
      <c r="IG13" s="554"/>
      <c r="IH13" s="554"/>
      <c r="II13" s="554"/>
      <c r="IJ13" s="554"/>
      <c r="IK13" s="554"/>
      <c r="IL13" s="554"/>
      <c r="IM13" s="554"/>
      <c r="IN13" s="554"/>
      <c r="IO13" s="554"/>
      <c r="IP13" s="554"/>
      <c r="IQ13" s="554"/>
      <c r="IR13" s="554"/>
      <c r="IS13" s="554"/>
    </row>
    <row r="14" spans="1:253" s="639" customFormat="1">
      <c r="A14" s="524">
        <f>MAX(A$1:A13)+1</f>
        <v>2</v>
      </c>
      <c r="B14" s="565"/>
      <c r="C14" s="610" t="s">
        <v>119</v>
      </c>
      <c r="D14" s="565"/>
      <c r="E14" s="551" t="s">
        <v>120</v>
      </c>
      <c r="F14" s="611"/>
      <c r="G14" s="575" t="s">
        <v>8</v>
      </c>
      <c r="H14" s="560">
        <f>H15</f>
        <v>24</v>
      </c>
      <c r="I14" s="507"/>
      <c r="J14" s="454">
        <f>H14*I14</f>
        <v>0</v>
      </c>
      <c r="K14" s="561"/>
      <c r="L14" s="558"/>
      <c r="M14" s="558"/>
      <c r="N14" s="548"/>
      <c r="O14" s="548"/>
      <c r="P14" s="548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48"/>
      <c r="AP14" s="548"/>
      <c r="AQ14" s="548"/>
      <c r="AR14" s="548"/>
      <c r="AS14" s="548"/>
      <c r="AT14" s="548"/>
      <c r="AU14" s="548"/>
      <c r="AV14" s="548"/>
      <c r="AW14" s="548"/>
      <c r="AX14" s="548"/>
      <c r="AY14" s="548"/>
      <c r="AZ14" s="548"/>
      <c r="BA14" s="548"/>
      <c r="BB14" s="548"/>
      <c r="BC14" s="548"/>
      <c r="BD14" s="548"/>
      <c r="BE14" s="548"/>
      <c r="BF14" s="548"/>
      <c r="BG14" s="548"/>
      <c r="BH14" s="548"/>
      <c r="BI14" s="548"/>
      <c r="BJ14" s="548"/>
      <c r="BK14" s="548"/>
      <c r="BL14" s="548"/>
      <c r="BM14" s="548"/>
      <c r="BN14" s="548"/>
      <c r="BO14" s="548"/>
      <c r="BP14" s="548"/>
      <c r="BQ14" s="548"/>
      <c r="BR14" s="548"/>
      <c r="BS14" s="548"/>
      <c r="BT14" s="548"/>
      <c r="BU14" s="548"/>
      <c r="BV14" s="548"/>
      <c r="BW14" s="548"/>
      <c r="BX14" s="548"/>
      <c r="BY14" s="548"/>
      <c r="BZ14" s="548"/>
      <c r="CA14" s="548"/>
      <c r="CB14" s="548"/>
      <c r="CC14" s="548"/>
      <c r="CD14" s="548"/>
      <c r="CE14" s="548"/>
      <c r="CF14" s="548"/>
      <c r="CG14" s="548"/>
      <c r="CH14" s="548"/>
      <c r="CI14" s="548"/>
      <c r="CJ14" s="548"/>
      <c r="CK14" s="548"/>
      <c r="CL14" s="548"/>
      <c r="CM14" s="548"/>
      <c r="CN14" s="548"/>
      <c r="CO14" s="548"/>
      <c r="CP14" s="548"/>
      <c r="CQ14" s="548"/>
      <c r="CR14" s="548"/>
      <c r="CS14" s="548"/>
      <c r="CT14" s="548"/>
      <c r="CU14" s="548"/>
      <c r="CV14" s="548"/>
      <c r="CW14" s="548"/>
      <c r="CX14" s="548"/>
      <c r="CY14" s="548"/>
      <c r="CZ14" s="548"/>
      <c r="DA14" s="548"/>
      <c r="DB14" s="548"/>
      <c r="DC14" s="548"/>
      <c r="DD14" s="548"/>
      <c r="DE14" s="548"/>
      <c r="DF14" s="548"/>
      <c r="DG14" s="548"/>
      <c r="DH14" s="548"/>
      <c r="DI14" s="548"/>
      <c r="DJ14" s="548"/>
      <c r="DK14" s="548"/>
      <c r="DL14" s="548"/>
      <c r="DM14" s="548"/>
      <c r="DN14" s="548"/>
      <c r="DO14" s="548"/>
      <c r="DP14" s="548"/>
      <c r="DQ14" s="548"/>
      <c r="DR14" s="548"/>
      <c r="DS14" s="548"/>
      <c r="DT14" s="548"/>
      <c r="DU14" s="548"/>
      <c r="DV14" s="548"/>
      <c r="DW14" s="548"/>
      <c r="DX14" s="548"/>
      <c r="DY14" s="548"/>
      <c r="DZ14" s="548"/>
      <c r="EA14" s="548"/>
      <c r="EB14" s="548"/>
      <c r="EC14" s="548"/>
      <c r="ED14" s="548"/>
      <c r="EE14" s="548"/>
      <c r="EF14" s="548"/>
      <c r="EG14" s="548"/>
      <c r="EH14" s="548"/>
      <c r="EI14" s="548"/>
      <c r="EJ14" s="548"/>
      <c r="EK14" s="548"/>
      <c r="EL14" s="548"/>
      <c r="EM14" s="548"/>
      <c r="EN14" s="548"/>
      <c r="EO14" s="548"/>
      <c r="EP14" s="548"/>
      <c r="EQ14" s="548"/>
      <c r="ER14" s="548"/>
      <c r="ES14" s="548"/>
      <c r="ET14" s="548"/>
      <c r="EU14" s="548"/>
      <c r="EV14" s="548"/>
      <c r="EW14" s="548"/>
      <c r="EX14" s="548"/>
      <c r="EY14" s="548"/>
      <c r="EZ14" s="548"/>
      <c r="FA14" s="548"/>
      <c r="FB14" s="548"/>
      <c r="FC14" s="548"/>
      <c r="FD14" s="548"/>
      <c r="FE14" s="548"/>
      <c r="FF14" s="548"/>
      <c r="FG14" s="548"/>
      <c r="FH14" s="548"/>
      <c r="FI14" s="548"/>
      <c r="FJ14" s="548"/>
      <c r="FK14" s="548"/>
      <c r="FL14" s="548"/>
      <c r="FM14" s="548"/>
      <c r="FN14" s="548"/>
      <c r="FO14" s="548"/>
      <c r="FP14" s="548"/>
      <c r="FQ14" s="548"/>
      <c r="FR14" s="548"/>
      <c r="FS14" s="548"/>
      <c r="FT14" s="548"/>
      <c r="FU14" s="548"/>
      <c r="FV14" s="548"/>
      <c r="FW14" s="548"/>
      <c r="FX14" s="548"/>
      <c r="FY14" s="548"/>
      <c r="FZ14" s="548"/>
      <c r="GA14" s="548"/>
      <c r="GB14" s="548"/>
      <c r="GC14" s="548"/>
      <c r="GD14" s="548"/>
      <c r="GE14" s="548"/>
      <c r="GF14" s="548"/>
      <c r="GG14" s="548"/>
      <c r="GH14" s="548"/>
      <c r="GI14" s="548"/>
      <c r="GJ14" s="548"/>
      <c r="GK14" s="548"/>
      <c r="GL14" s="548"/>
      <c r="GM14" s="548"/>
      <c r="GN14" s="548"/>
      <c r="GO14" s="548"/>
      <c r="GP14" s="548"/>
      <c r="GQ14" s="548"/>
      <c r="GR14" s="548"/>
      <c r="GS14" s="548"/>
      <c r="GT14" s="548"/>
      <c r="GU14" s="548"/>
      <c r="GV14" s="548"/>
      <c r="GW14" s="548"/>
      <c r="GX14" s="548"/>
      <c r="GY14" s="548"/>
      <c r="GZ14" s="548"/>
      <c r="HA14" s="548"/>
      <c r="HB14" s="548"/>
      <c r="HC14" s="548"/>
      <c r="HD14" s="548"/>
      <c r="HE14" s="548"/>
      <c r="HF14" s="548"/>
      <c r="HG14" s="548"/>
      <c r="HH14" s="548"/>
      <c r="HI14" s="548"/>
      <c r="HJ14" s="548"/>
      <c r="HK14" s="548"/>
      <c r="HL14" s="548"/>
      <c r="HM14" s="548"/>
      <c r="HN14" s="548"/>
      <c r="HO14" s="548"/>
      <c r="HP14" s="548"/>
      <c r="HQ14" s="548"/>
      <c r="HR14" s="548"/>
      <c r="HS14" s="548"/>
      <c r="HT14" s="548"/>
      <c r="HU14" s="548"/>
      <c r="HV14" s="548"/>
      <c r="HW14" s="548"/>
      <c r="HX14" s="548"/>
      <c r="HY14" s="548"/>
      <c r="HZ14" s="548"/>
      <c r="IA14" s="548"/>
      <c r="IB14" s="548"/>
      <c r="IC14" s="548"/>
      <c r="ID14" s="548"/>
      <c r="IE14" s="548"/>
      <c r="IF14" s="548"/>
      <c r="IG14" s="548"/>
      <c r="IH14" s="548"/>
      <c r="II14" s="548"/>
      <c r="IJ14" s="548"/>
      <c r="IK14" s="548"/>
      <c r="IL14" s="548"/>
      <c r="IM14" s="548"/>
      <c r="IN14" s="548"/>
      <c r="IO14" s="548"/>
      <c r="IP14" s="548"/>
      <c r="IQ14" s="548"/>
      <c r="IR14" s="548"/>
      <c r="IS14" s="548"/>
    </row>
    <row r="15" spans="1:253" s="632" customFormat="1" ht="25.5">
      <c r="A15" s="590"/>
      <c r="B15" s="565"/>
      <c r="C15" s="550"/>
      <c r="D15" s="622" t="s">
        <v>121</v>
      </c>
      <c r="E15" s="623" t="s">
        <v>122</v>
      </c>
      <c r="F15" s="624"/>
      <c r="G15" s="578" t="s">
        <v>8</v>
      </c>
      <c r="H15" s="570">
        <v>24</v>
      </c>
      <c r="I15" s="409"/>
      <c r="J15" s="436"/>
      <c r="K15" s="554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4"/>
      <c r="W15" s="554"/>
      <c r="X15" s="554"/>
      <c r="Y15" s="554"/>
      <c r="Z15" s="554"/>
      <c r="AA15" s="554"/>
      <c r="AB15" s="554"/>
      <c r="AC15" s="554"/>
      <c r="AD15" s="554"/>
      <c r="AE15" s="554"/>
      <c r="AF15" s="554"/>
      <c r="AG15" s="554"/>
      <c r="AH15" s="554"/>
      <c r="AI15" s="554"/>
      <c r="AJ15" s="554"/>
      <c r="AK15" s="554"/>
      <c r="AL15" s="554"/>
      <c r="AM15" s="554"/>
      <c r="AN15" s="554"/>
      <c r="AO15" s="554"/>
      <c r="AP15" s="554"/>
      <c r="AQ15" s="554"/>
      <c r="AR15" s="554"/>
      <c r="AS15" s="554"/>
      <c r="AT15" s="554"/>
      <c r="AU15" s="554"/>
      <c r="AV15" s="554"/>
      <c r="AW15" s="554"/>
      <c r="AX15" s="554"/>
      <c r="AY15" s="554"/>
      <c r="AZ15" s="554"/>
      <c r="BA15" s="554"/>
      <c r="BB15" s="554"/>
      <c r="BC15" s="554"/>
      <c r="BD15" s="554"/>
      <c r="BE15" s="554"/>
      <c r="BF15" s="554"/>
      <c r="BG15" s="554"/>
      <c r="BH15" s="554"/>
      <c r="BI15" s="554"/>
      <c r="BJ15" s="554"/>
      <c r="BK15" s="554"/>
      <c r="BL15" s="554"/>
      <c r="BM15" s="554"/>
      <c r="BN15" s="554"/>
      <c r="BO15" s="554"/>
      <c r="BP15" s="554"/>
      <c r="BQ15" s="554"/>
      <c r="BR15" s="554"/>
      <c r="BS15" s="554"/>
      <c r="BT15" s="554"/>
      <c r="BU15" s="554"/>
      <c r="BV15" s="554"/>
      <c r="BW15" s="554"/>
      <c r="BX15" s="554"/>
      <c r="BY15" s="554"/>
      <c r="BZ15" s="554"/>
      <c r="CA15" s="554"/>
      <c r="CB15" s="554"/>
      <c r="CC15" s="554"/>
      <c r="CD15" s="554"/>
      <c r="CE15" s="554"/>
      <c r="CF15" s="554"/>
      <c r="CG15" s="554"/>
      <c r="CH15" s="554"/>
      <c r="CI15" s="554"/>
      <c r="CJ15" s="554"/>
      <c r="CK15" s="554"/>
      <c r="CL15" s="554"/>
      <c r="CM15" s="554"/>
      <c r="CN15" s="554"/>
      <c r="CO15" s="554"/>
      <c r="CP15" s="554"/>
      <c r="CQ15" s="554"/>
      <c r="CR15" s="554"/>
      <c r="CS15" s="554"/>
      <c r="CT15" s="554"/>
      <c r="CU15" s="554"/>
      <c r="CV15" s="554"/>
      <c r="CW15" s="554"/>
      <c r="CX15" s="554"/>
      <c r="CY15" s="554"/>
      <c r="CZ15" s="554"/>
      <c r="DA15" s="554"/>
      <c r="DB15" s="554"/>
      <c r="DC15" s="554"/>
      <c r="DD15" s="554"/>
      <c r="DE15" s="554"/>
      <c r="DF15" s="554"/>
      <c r="DG15" s="554"/>
      <c r="DH15" s="554"/>
      <c r="DI15" s="554"/>
      <c r="DJ15" s="554"/>
      <c r="DK15" s="554"/>
      <c r="DL15" s="554"/>
      <c r="DM15" s="554"/>
      <c r="DN15" s="554"/>
      <c r="DO15" s="554"/>
      <c r="DP15" s="554"/>
      <c r="DQ15" s="554"/>
      <c r="DR15" s="554"/>
      <c r="DS15" s="554"/>
      <c r="DT15" s="554"/>
      <c r="DU15" s="554"/>
      <c r="DV15" s="554"/>
      <c r="DW15" s="554"/>
      <c r="DX15" s="554"/>
      <c r="DY15" s="554"/>
      <c r="DZ15" s="554"/>
      <c r="EA15" s="554"/>
      <c r="EB15" s="554"/>
      <c r="EC15" s="554"/>
      <c r="ED15" s="554"/>
      <c r="EE15" s="554"/>
      <c r="EF15" s="554"/>
      <c r="EG15" s="554"/>
      <c r="EH15" s="554"/>
      <c r="EI15" s="554"/>
      <c r="EJ15" s="554"/>
      <c r="EK15" s="554"/>
      <c r="EL15" s="554"/>
      <c r="EM15" s="554"/>
      <c r="EN15" s="554"/>
      <c r="EO15" s="554"/>
      <c r="EP15" s="554"/>
      <c r="EQ15" s="554"/>
      <c r="ER15" s="554"/>
      <c r="ES15" s="554"/>
      <c r="ET15" s="554"/>
      <c r="EU15" s="554"/>
      <c r="EV15" s="554"/>
      <c r="EW15" s="554"/>
      <c r="EX15" s="554"/>
      <c r="EY15" s="554"/>
      <c r="EZ15" s="554"/>
      <c r="FA15" s="554"/>
      <c r="FB15" s="554"/>
      <c r="FC15" s="554"/>
      <c r="FD15" s="554"/>
      <c r="FE15" s="554"/>
      <c r="FF15" s="554"/>
      <c r="FG15" s="554"/>
      <c r="FH15" s="554"/>
      <c r="FI15" s="554"/>
      <c r="FJ15" s="554"/>
      <c r="FK15" s="554"/>
      <c r="FL15" s="554"/>
      <c r="FM15" s="554"/>
      <c r="FN15" s="554"/>
      <c r="FO15" s="554"/>
      <c r="FP15" s="554"/>
      <c r="FQ15" s="554"/>
      <c r="FR15" s="554"/>
      <c r="FS15" s="554"/>
      <c r="FT15" s="554"/>
      <c r="FU15" s="554"/>
      <c r="FV15" s="554"/>
      <c r="FW15" s="554"/>
      <c r="FX15" s="554"/>
      <c r="FY15" s="554"/>
      <c r="FZ15" s="554"/>
      <c r="GA15" s="554"/>
      <c r="GB15" s="554"/>
      <c r="GC15" s="554"/>
      <c r="GD15" s="554"/>
      <c r="GE15" s="554"/>
      <c r="GF15" s="554"/>
      <c r="GG15" s="554"/>
      <c r="GH15" s="554"/>
      <c r="GI15" s="554"/>
      <c r="GJ15" s="554"/>
      <c r="GK15" s="554"/>
      <c r="GL15" s="554"/>
      <c r="GM15" s="554"/>
      <c r="GN15" s="554"/>
      <c r="GO15" s="554"/>
      <c r="GP15" s="554"/>
      <c r="GQ15" s="554"/>
      <c r="GR15" s="554"/>
      <c r="GS15" s="554"/>
      <c r="GT15" s="554"/>
      <c r="GU15" s="554"/>
      <c r="GV15" s="554"/>
      <c r="GW15" s="554"/>
      <c r="GX15" s="554"/>
      <c r="GY15" s="554"/>
      <c r="GZ15" s="554"/>
      <c r="HA15" s="554"/>
      <c r="HB15" s="554"/>
      <c r="HC15" s="554"/>
      <c r="HD15" s="554"/>
      <c r="HE15" s="554"/>
      <c r="HF15" s="554"/>
      <c r="HG15" s="554"/>
      <c r="HH15" s="554"/>
      <c r="HI15" s="554"/>
      <c r="HJ15" s="554"/>
      <c r="HK15" s="554"/>
      <c r="HL15" s="554"/>
      <c r="HM15" s="554"/>
      <c r="HN15" s="554"/>
      <c r="HO15" s="554"/>
      <c r="HP15" s="554"/>
      <c r="HQ15" s="554"/>
      <c r="HR15" s="554"/>
      <c r="HS15" s="554"/>
      <c r="HT15" s="554"/>
      <c r="HU15" s="554"/>
      <c r="HV15" s="554"/>
      <c r="HW15" s="554"/>
      <c r="HX15" s="554"/>
      <c r="HY15" s="554"/>
      <c r="HZ15" s="554"/>
      <c r="IA15" s="554"/>
      <c r="IB15" s="554"/>
      <c r="IC15" s="554"/>
      <c r="ID15" s="554"/>
      <c r="IE15" s="554"/>
      <c r="IF15" s="554"/>
      <c r="IG15" s="554"/>
      <c r="IH15" s="554"/>
      <c r="II15" s="554"/>
      <c r="IJ15" s="554"/>
      <c r="IK15" s="554"/>
      <c r="IL15" s="554"/>
      <c r="IM15" s="554"/>
      <c r="IN15" s="554"/>
      <c r="IO15" s="554"/>
      <c r="IP15" s="554"/>
      <c r="IQ15" s="554"/>
      <c r="IR15" s="554"/>
      <c r="IS15" s="554"/>
    </row>
    <row r="16" spans="1:253" s="632" customFormat="1">
      <c r="A16" s="590"/>
      <c r="B16" s="565"/>
      <c r="C16" s="609"/>
      <c r="D16" s="565"/>
      <c r="E16" s="571" t="s">
        <v>1110</v>
      </c>
      <c r="F16" s="415">
        <v>24</v>
      </c>
      <c r="G16" s="575"/>
      <c r="H16" s="540"/>
      <c r="I16" s="547"/>
      <c r="J16" s="66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4"/>
      <c r="AH16" s="554"/>
      <c r="AI16" s="554"/>
      <c r="AJ16" s="554"/>
      <c r="AK16" s="554"/>
      <c r="AL16" s="554"/>
      <c r="AM16" s="554"/>
      <c r="AN16" s="554"/>
      <c r="AO16" s="554"/>
      <c r="AP16" s="554"/>
      <c r="AQ16" s="554"/>
      <c r="AR16" s="554"/>
      <c r="AS16" s="554"/>
      <c r="AT16" s="554"/>
      <c r="AU16" s="554"/>
      <c r="AV16" s="554"/>
      <c r="AW16" s="554"/>
      <c r="AX16" s="554"/>
      <c r="AY16" s="554"/>
      <c r="AZ16" s="554"/>
      <c r="BA16" s="554"/>
      <c r="BB16" s="554"/>
      <c r="BC16" s="554"/>
      <c r="BD16" s="554"/>
      <c r="BE16" s="554"/>
      <c r="BF16" s="554"/>
      <c r="BG16" s="554"/>
      <c r="BH16" s="554"/>
      <c r="BI16" s="554"/>
      <c r="BJ16" s="554"/>
      <c r="BK16" s="554"/>
      <c r="BL16" s="554"/>
      <c r="BM16" s="554"/>
      <c r="BN16" s="554"/>
      <c r="BO16" s="554"/>
      <c r="BP16" s="554"/>
      <c r="BQ16" s="554"/>
      <c r="BR16" s="554"/>
      <c r="BS16" s="554"/>
      <c r="BT16" s="554"/>
      <c r="BU16" s="554"/>
      <c r="BV16" s="554"/>
      <c r="BW16" s="554"/>
      <c r="BX16" s="554"/>
      <c r="BY16" s="554"/>
      <c r="BZ16" s="554"/>
      <c r="CA16" s="554"/>
      <c r="CB16" s="554"/>
      <c r="CC16" s="554"/>
      <c r="CD16" s="554"/>
      <c r="CE16" s="554"/>
      <c r="CF16" s="554"/>
      <c r="CG16" s="554"/>
      <c r="CH16" s="554"/>
      <c r="CI16" s="554"/>
      <c r="CJ16" s="554"/>
      <c r="CK16" s="554"/>
      <c r="CL16" s="554"/>
      <c r="CM16" s="554"/>
      <c r="CN16" s="554"/>
      <c r="CO16" s="554"/>
      <c r="CP16" s="554"/>
      <c r="CQ16" s="554"/>
      <c r="CR16" s="554"/>
      <c r="CS16" s="554"/>
      <c r="CT16" s="554"/>
      <c r="CU16" s="554"/>
      <c r="CV16" s="554"/>
      <c r="CW16" s="554"/>
      <c r="CX16" s="554"/>
      <c r="CY16" s="554"/>
      <c r="CZ16" s="554"/>
      <c r="DA16" s="554"/>
      <c r="DB16" s="554"/>
      <c r="DC16" s="554"/>
      <c r="DD16" s="554"/>
      <c r="DE16" s="554"/>
      <c r="DF16" s="554"/>
      <c r="DG16" s="554"/>
      <c r="DH16" s="554"/>
      <c r="DI16" s="554"/>
      <c r="DJ16" s="554"/>
      <c r="DK16" s="554"/>
      <c r="DL16" s="554"/>
      <c r="DM16" s="554"/>
      <c r="DN16" s="554"/>
      <c r="DO16" s="554"/>
      <c r="DP16" s="554"/>
      <c r="DQ16" s="554"/>
      <c r="DR16" s="554"/>
      <c r="DS16" s="554"/>
      <c r="DT16" s="554"/>
      <c r="DU16" s="554"/>
      <c r="DV16" s="554"/>
      <c r="DW16" s="554"/>
      <c r="DX16" s="554"/>
      <c r="DY16" s="554"/>
      <c r="DZ16" s="554"/>
      <c r="EA16" s="554"/>
      <c r="EB16" s="554"/>
      <c r="EC16" s="554"/>
      <c r="ED16" s="554"/>
      <c r="EE16" s="554"/>
      <c r="EF16" s="554"/>
      <c r="EG16" s="554"/>
      <c r="EH16" s="554"/>
      <c r="EI16" s="554"/>
      <c r="EJ16" s="554"/>
      <c r="EK16" s="554"/>
      <c r="EL16" s="554"/>
      <c r="EM16" s="554"/>
      <c r="EN16" s="554"/>
      <c r="EO16" s="554"/>
      <c r="EP16" s="554"/>
      <c r="EQ16" s="554"/>
      <c r="ER16" s="554"/>
      <c r="ES16" s="554"/>
      <c r="ET16" s="554"/>
      <c r="EU16" s="554"/>
      <c r="EV16" s="554"/>
      <c r="EW16" s="554"/>
      <c r="EX16" s="554"/>
      <c r="EY16" s="554"/>
      <c r="EZ16" s="554"/>
      <c r="FA16" s="554"/>
      <c r="FB16" s="554"/>
      <c r="FC16" s="554"/>
      <c r="FD16" s="554"/>
      <c r="FE16" s="554"/>
      <c r="FF16" s="554"/>
      <c r="FG16" s="554"/>
      <c r="FH16" s="554"/>
      <c r="FI16" s="554"/>
      <c r="FJ16" s="554"/>
      <c r="FK16" s="554"/>
      <c r="FL16" s="554"/>
      <c r="FM16" s="554"/>
      <c r="FN16" s="554"/>
      <c r="FO16" s="554"/>
      <c r="FP16" s="554"/>
      <c r="FQ16" s="554"/>
      <c r="FR16" s="554"/>
      <c r="FS16" s="554"/>
      <c r="FT16" s="554"/>
      <c r="FU16" s="554"/>
      <c r="FV16" s="554"/>
      <c r="FW16" s="554"/>
      <c r="FX16" s="554"/>
      <c r="FY16" s="554"/>
      <c r="FZ16" s="554"/>
      <c r="GA16" s="554"/>
      <c r="GB16" s="554"/>
      <c r="GC16" s="554"/>
      <c r="GD16" s="554"/>
      <c r="GE16" s="554"/>
      <c r="GF16" s="554"/>
      <c r="GG16" s="554"/>
      <c r="GH16" s="554"/>
      <c r="GI16" s="554"/>
      <c r="GJ16" s="554"/>
      <c r="GK16" s="554"/>
      <c r="GL16" s="554"/>
      <c r="GM16" s="554"/>
      <c r="GN16" s="554"/>
      <c r="GO16" s="554"/>
      <c r="GP16" s="554"/>
      <c r="GQ16" s="554"/>
      <c r="GR16" s="554"/>
      <c r="GS16" s="554"/>
      <c r="GT16" s="554"/>
      <c r="GU16" s="554"/>
      <c r="GV16" s="554"/>
      <c r="GW16" s="554"/>
      <c r="GX16" s="554"/>
      <c r="GY16" s="554"/>
      <c r="GZ16" s="554"/>
      <c r="HA16" s="554"/>
      <c r="HB16" s="554"/>
      <c r="HC16" s="554"/>
      <c r="HD16" s="554"/>
      <c r="HE16" s="554"/>
      <c r="HF16" s="554"/>
      <c r="HG16" s="554"/>
      <c r="HH16" s="554"/>
      <c r="HI16" s="554"/>
      <c r="HJ16" s="554"/>
      <c r="HK16" s="554"/>
      <c r="HL16" s="554"/>
      <c r="HM16" s="554"/>
      <c r="HN16" s="554"/>
      <c r="HO16" s="554"/>
      <c r="HP16" s="554"/>
      <c r="HQ16" s="554"/>
      <c r="HR16" s="554"/>
      <c r="HS16" s="554"/>
      <c r="HT16" s="554"/>
      <c r="HU16" s="554"/>
      <c r="HV16" s="554"/>
      <c r="HW16" s="554"/>
      <c r="HX16" s="554"/>
      <c r="HY16" s="554"/>
      <c r="HZ16" s="554"/>
      <c r="IA16" s="554"/>
      <c r="IB16" s="554"/>
      <c r="IC16" s="554"/>
      <c r="ID16" s="554"/>
      <c r="IE16" s="554"/>
      <c r="IF16" s="554"/>
      <c r="IG16" s="554"/>
      <c r="IH16" s="554"/>
      <c r="II16" s="554"/>
      <c r="IJ16" s="554"/>
      <c r="IK16" s="554"/>
      <c r="IL16" s="554"/>
      <c r="IM16" s="554"/>
      <c r="IN16" s="554"/>
      <c r="IO16" s="554"/>
      <c r="IP16" s="554"/>
      <c r="IQ16" s="554"/>
      <c r="IR16" s="554"/>
      <c r="IS16" s="554"/>
    </row>
    <row r="17" spans="1:253" s="554" customFormat="1">
      <c r="A17" s="590"/>
      <c r="B17" s="565"/>
      <c r="C17" s="609"/>
      <c r="D17" s="565"/>
      <c r="E17" s="551"/>
      <c r="F17" s="415"/>
      <c r="G17" s="575"/>
      <c r="H17" s="540"/>
      <c r="I17" s="547"/>
      <c r="J17" s="664"/>
    </row>
    <row r="18" spans="1:253" s="665" customFormat="1">
      <c r="A18" s="524">
        <f>MAX(A$1:A17)+1</f>
        <v>3</v>
      </c>
      <c r="B18" s="565"/>
      <c r="C18" s="610" t="s">
        <v>57</v>
      </c>
      <c r="D18" s="565"/>
      <c r="E18" s="551" t="s">
        <v>58</v>
      </c>
      <c r="F18" s="611"/>
      <c r="G18" s="575" t="s">
        <v>8</v>
      </c>
      <c r="H18" s="560">
        <f>H19</f>
        <v>46.4</v>
      </c>
      <c r="I18" s="507"/>
      <c r="J18" s="454">
        <f>H18*I18</f>
        <v>0</v>
      </c>
      <c r="K18" s="561"/>
      <c r="L18" s="558"/>
      <c r="M18" s="55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8"/>
      <c r="AP18" s="548"/>
      <c r="AQ18" s="548"/>
      <c r="AR18" s="548"/>
      <c r="AS18" s="548"/>
      <c r="AT18" s="548"/>
      <c r="AU18" s="548"/>
      <c r="AV18" s="548"/>
      <c r="AW18" s="548"/>
      <c r="AX18" s="548"/>
      <c r="AY18" s="548"/>
      <c r="AZ18" s="548"/>
      <c r="BA18" s="548"/>
      <c r="BB18" s="548"/>
      <c r="BC18" s="548"/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  <c r="BO18" s="548"/>
      <c r="BP18" s="548"/>
      <c r="BQ18" s="548"/>
      <c r="BR18" s="548"/>
      <c r="BS18" s="548"/>
      <c r="BT18" s="548"/>
      <c r="BU18" s="548"/>
      <c r="BV18" s="548"/>
      <c r="BW18" s="548"/>
      <c r="BX18" s="548"/>
      <c r="BY18" s="548"/>
      <c r="BZ18" s="548"/>
      <c r="CA18" s="548"/>
      <c r="CB18" s="548"/>
      <c r="CC18" s="548"/>
      <c r="CD18" s="548"/>
      <c r="CE18" s="548"/>
      <c r="CF18" s="548"/>
      <c r="CG18" s="548"/>
      <c r="CH18" s="548"/>
      <c r="CI18" s="548"/>
      <c r="CJ18" s="548"/>
      <c r="CK18" s="548"/>
      <c r="CL18" s="548"/>
      <c r="CM18" s="548"/>
      <c r="CN18" s="548"/>
      <c r="CO18" s="548"/>
      <c r="CP18" s="548"/>
      <c r="CQ18" s="548"/>
      <c r="CR18" s="548"/>
      <c r="CS18" s="548"/>
      <c r="CT18" s="548"/>
      <c r="CU18" s="548"/>
      <c r="CV18" s="548"/>
      <c r="CW18" s="548"/>
      <c r="CX18" s="548"/>
      <c r="CY18" s="548"/>
      <c r="CZ18" s="548"/>
      <c r="DA18" s="548"/>
      <c r="DB18" s="548"/>
      <c r="DC18" s="548"/>
      <c r="DD18" s="548"/>
      <c r="DE18" s="548"/>
      <c r="DF18" s="548"/>
      <c r="DG18" s="548"/>
      <c r="DH18" s="548"/>
      <c r="DI18" s="548"/>
      <c r="DJ18" s="548"/>
      <c r="DK18" s="548"/>
      <c r="DL18" s="548"/>
      <c r="DM18" s="548"/>
      <c r="DN18" s="548"/>
      <c r="DO18" s="548"/>
      <c r="DP18" s="548"/>
      <c r="DQ18" s="548"/>
      <c r="DR18" s="548"/>
      <c r="DS18" s="548"/>
      <c r="DT18" s="548"/>
      <c r="DU18" s="548"/>
      <c r="DV18" s="548"/>
      <c r="DW18" s="548"/>
      <c r="DX18" s="548"/>
      <c r="DY18" s="548"/>
      <c r="DZ18" s="548"/>
      <c r="EA18" s="548"/>
      <c r="EB18" s="548"/>
      <c r="EC18" s="548"/>
      <c r="ED18" s="548"/>
      <c r="EE18" s="548"/>
      <c r="EF18" s="548"/>
      <c r="EG18" s="548"/>
      <c r="EH18" s="548"/>
      <c r="EI18" s="548"/>
      <c r="EJ18" s="548"/>
      <c r="EK18" s="548"/>
      <c r="EL18" s="548"/>
      <c r="EM18" s="548"/>
      <c r="EN18" s="548"/>
      <c r="EO18" s="548"/>
      <c r="EP18" s="548"/>
      <c r="EQ18" s="548"/>
      <c r="ER18" s="548"/>
      <c r="ES18" s="548"/>
      <c r="ET18" s="548"/>
      <c r="EU18" s="548"/>
      <c r="EV18" s="548"/>
      <c r="EW18" s="548"/>
      <c r="EX18" s="548"/>
      <c r="EY18" s="548"/>
      <c r="EZ18" s="548"/>
      <c r="FA18" s="548"/>
      <c r="FB18" s="548"/>
      <c r="FC18" s="548"/>
      <c r="FD18" s="548"/>
      <c r="FE18" s="548"/>
      <c r="FF18" s="548"/>
      <c r="FG18" s="548"/>
      <c r="FH18" s="548"/>
      <c r="FI18" s="548"/>
      <c r="FJ18" s="548"/>
      <c r="FK18" s="548"/>
      <c r="FL18" s="548"/>
      <c r="FM18" s="548"/>
      <c r="FN18" s="548"/>
      <c r="FO18" s="548"/>
      <c r="FP18" s="548"/>
      <c r="FQ18" s="548"/>
      <c r="FR18" s="548"/>
      <c r="FS18" s="548"/>
      <c r="FT18" s="548"/>
      <c r="FU18" s="548"/>
      <c r="FV18" s="548"/>
      <c r="FW18" s="548"/>
      <c r="FX18" s="548"/>
      <c r="FY18" s="548"/>
      <c r="FZ18" s="548"/>
      <c r="GA18" s="548"/>
      <c r="GB18" s="548"/>
      <c r="GC18" s="548"/>
      <c r="GD18" s="548"/>
      <c r="GE18" s="548"/>
      <c r="GF18" s="548"/>
      <c r="GG18" s="548"/>
      <c r="GH18" s="548"/>
      <c r="GI18" s="548"/>
      <c r="GJ18" s="548"/>
      <c r="GK18" s="548"/>
      <c r="GL18" s="548"/>
      <c r="GM18" s="548"/>
      <c r="GN18" s="548"/>
      <c r="GO18" s="548"/>
      <c r="GP18" s="548"/>
      <c r="GQ18" s="548"/>
      <c r="GR18" s="548"/>
      <c r="GS18" s="548"/>
      <c r="GT18" s="548"/>
      <c r="GU18" s="548"/>
      <c r="GV18" s="548"/>
      <c r="GW18" s="548"/>
      <c r="GX18" s="548"/>
      <c r="GY18" s="548"/>
      <c r="GZ18" s="548"/>
      <c r="HA18" s="548"/>
      <c r="HB18" s="548"/>
      <c r="HC18" s="548"/>
      <c r="HD18" s="548"/>
      <c r="HE18" s="548"/>
      <c r="HF18" s="548"/>
      <c r="HG18" s="548"/>
      <c r="HH18" s="548"/>
      <c r="HI18" s="548"/>
      <c r="HJ18" s="548"/>
      <c r="HK18" s="548"/>
      <c r="HL18" s="548"/>
      <c r="HM18" s="548"/>
      <c r="HN18" s="548"/>
      <c r="HO18" s="548"/>
      <c r="HP18" s="548"/>
      <c r="HQ18" s="548"/>
      <c r="HR18" s="548"/>
      <c r="HS18" s="548"/>
      <c r="HT18" s="548"/>
      <c r="HU18" s="548"/>
      <c r="HV18" s="548"/>
      <c r="HW18" s="548"/>
      <c r="HX18" s="548"/>
      <c r="HY18" s="548"/>
      <c r="HZ18" s="548"/>
      <c r="IA18" s="548"/>
      <c r="IB18" s="548"/>
      <c r="IC18" s="548"/>
      <c r="ID18" s="548"/>
      <c r="IE18" s="548"/>
      <c r="IF18" s="548"/>
      <c r="IG18" s="548"/>
      <c r="IH18" s="548"/>
      <c r="II18" s="548"/>
      <c r="IJ18" s="548"/>
      <c r="IK18" s="548"/>
      <c r="IL18" s="548"/>
      <c r="IM18" s="548"/>
      <c r="IN18" s="548"/>
      <c r="IO18" s="548"/>
      <c r="IP18" s="548"/>
      <c r="IQ18" s="548"/>
      <c r="IR18" s="548"/>
      <c r="IS18" s="548"/>
    </row>
    <row r="19" spans="1:253" s="554" customFormat="1" ht="25.5">
      <c r="A19" s="567"/>
      <c r="B19" s="550"/>
      <c r="C19" s="550"/>
      <c r="D19" s="622" t="s">
        <v>1020</v>
      </c>
      <c r="E19" s="623" t="s">
        <v>1111</v>
      </c>
      <c r="F19" s="624"/>
      <c r="G19" s="578" t="s">
        <v>8</v>
      </c>
      <c r="H19" s="570">
        <v>46.4</v>
      </c>
      <c r="I19" s="409"/>
      <c r="J19" s="436"/>
    </row>
    <row r="20" spans="1:253" s="554" customFormat="1">
      <c r="A20" s="590"/>
      <c r="B20" s="628"/>
      <c r="C20" s="565"/>
      <c r="D20" s="550"/>
      <c r="E20" s="625" t="s">
        <v>1112</v>
      </c>
      <c r="F20" s="415">
        <v>3</v>
      </c>
      <c r="G20" s="578"/>
      <c r="H20" s="540"/>
      <c r="I20" s="547"/>
      <c r="J20" s="664"/>
    </row>
    <row r="21" spans="1:253" s="554" customFormat="1">
      <c r="A21" s="590"/>
      <c r="B21" s="628"/>
      <c r="C21" s="565"/>
      <c r="D21" s="550"/>
      <c r="E21" s="625" t="s">
        <v>1113</v>
      </c>
      <c r="F21" s="631">
        <v>43.4</v>
      </c>
      <c r="G21" s="578"/>
      <c r="H21" s="540"/>
      <c r="I21" s="547"/>
      <c r="J21" s="664"/>
    </row>
    <row r="22" spans="1:253" s="537" customFormat="1">
      <c r="A22" s="590"/>
      <c r="B22" s="628"/>
      <c r="C22" s="565"/>
      <c r="D22" s="550"/>
      <c r="E22" s="625"/>
      <c r="F22" s="415">
        <f>SUM(F20:F21)</f>
        <v>46.4</v>
      </c>
      <c r="G22" s="578"/>
      <c r="H22" s="540"/>
      <c r="I22" s="541"/>
      <c r="J22" s="666"/>
    </row>
    <row r="23" spans="1:253" s="537" customFormat="1">
      <c r="A23" s="590"/>
      <c r="B23" s="628"/>
      <c r="C23" s="565"/>
      <c r="D23" s="550"/>
      <c r="E23" s="625"/>
      <c r="F23" s="415"/>
      <c r="G23" s="578"/>
      <c r="H23" s="540"/>
      <c r="I23" s="541"/>
      <c r="J23" s="666"/>
    </row>
    <row r="24" spans="1:253" s="665" customFormat="1">
      <c r="A24" s="524">
        <f>MAX(A$1:A22)+1</f>
        <v>4</v>
      </c>
      <c r="B24" s="609"/>
      <c r="C24" s="610" t="s">
        <v>1024</v>
      </c>
      <c r="D24" s="565"/>
      <c r="E24" s="551" t="s">
        <v>1025</v>
      </c>
      <c r="F24" s="611"/>
      <c r="G24" s="575" t="s">
        <v>8</v>
      </c>
      <c r="H24" s="560">
        <f>H25</f>
        <v>10.85</v>
      </c>
      <c r="I24" s="658"/>
      <c r="J24" s="454">
        <f>H24*I24</f>
        <v>0</v>
      </c>
      <c r="K24" s="561"/>
      <c r="L24" s="558"/>
      <c r="M24" s="558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  <c r="BN24" s="639"/>
      <c r="BO24" s="639"/>
      <c r="BP24" s="639"/>
      <c r="BQ24" s="639"/>
      <c r="BR24" s="639"/>
      <c r="BS24" s="639"/>
      <c r="BT24" s="639"/>
      <c r="BU24" s="639"/>
      <c r="BV24" s="639"/>
      <c r="BW24" s="639"/>
      <c r="BX24" s="639"/>
      <c r="BY24" s="639"/>
      <c r="BZ24" s="639"/>
      <c r="CA24" s="639"/>
      <c r="CB24" s="639"/>
      <c r="CC24" s="639"/>
      <c r="CD24" s="639"/>
      <c r="CE24" s="639"/>
      <c r="CF24" s="639"/>
      <c r="CG24" s="639"/>
      <c r="CH24" s="639"/>
      <c r="CI24" s="639"/>
      <c r="CJ24" s="639"/>
      <c r="CK24" s="639"/>
      <c r="CL24" s="639"/>
      <c r="CM24" s="639"/>
      <c r="CN24" s="639"/>
      <c r="CO24" s="639"/>
      <c r="CP24" s="639"/>
      <c r="CQ24" s="639"/>
      <c r="CR24" s="639"/>
      <c r="CS24" s="639"/>
      <c r="CT24" s="639"/>
      <c r="CU24" s="639"/>
      <c r="CV24" s="639"/>
      <c r="CW24" s="639"/>
      <c r="CX24" s="639"/>
      <c r="CY24" s="639"/>
      <c r="CZ24" s="639"/>
      <c r="DA24" s="639"/>
      <c r="DB24" s="639"/>
      <c r="DC24" s="639"/>
      <c r="DD24" s="639"/>
      <c r="DE24" s="639"/>
      <c r="DF24" s="639"/>
      <c r="DG24" s="639"/>
      <c r="DH24" s="639"/>
      <c r="DI24" s="639"/>
      <c r="DJ24" s="639"/>
      <c r="DK24" s="639"/>
      <c r="DL24" s="639"/>
      <c r="DM24" s="639"/>
      <c r="DN24" s="639"/>
      <c r="DO24" s="639"/>
      <c r="DP24" s="639"/>
      <c r="DQ24" s="639"/>
      <c r="DR24" s="639"/>
      <c r="DS24" s="639"/>
      <c r="DT24" s="639"/>
      <c r="DU24" s="639"/>
      <c r="DV24" s="639"/>
      <c r="DW24" s="639"/>
      <c r="DX24" s="639"/>
      <c r="DY24" s="639"/>
      <c r="DZ24" s="639"/>
      <c r="EA24" s="639"/>
      <c r="EB24" s="639"/>
      <c r="EC24" s="639"/>
      <c r="ED24" s="639"/>
      <c r="EE24" s="639"/>
      <c r="EF24" s="639"/>
      <c r="EG24" s="639"/>
      <c r="EH24" s="639"/>
      <c r="EI24" s="639"/>
      <c r="EJ24" s="639"/>
      <c r="EK24" s="639"/>
      <c r="EL24" s="639"/>
      <c r="EM24" s="639"/>
      <c r="EN24" s="639"/>
      <c r="EO24" s="639"/>
      <c r="EP24" s="639"/>
      <c r="EQ24" s="639"/>
      <c r="ER24" s="639"/>
      <c r="ES24" s="639"/>
      <c r="ET24" s="639"/>
      <c r="EU24" s="639"/>
      <c r="EV24" s="639"/>
      <c r="EW24" s="639"/>
      <c r="EX24" s="639"/>
      <c r="EY24" s="639"/>
      <c r="EZ24" s="639"/>
      <c r="FA24" s="639"/>
      <c r="FB24" s="639"/>
      <c r="FC24" s="639"/>
      <c r="FD24" s="639"/>
      <c r="FE24" s="639"/>
      <c r="FF24" s="639"/>
      <c r="FG24" s="639"/>
      <c r="FH24" s="639"/>
      <c r="FI24" s="639"/>
      <c r="FJ24" s="639"/>
      <c r="FK24" s="639"/>
      <c r="FL24" s="639"/>
      <c r="FM24" s="639"/>
      <c r="FN24" s="639"/>
      <c r="FO24" s="639"/>
      <c r="FP24" s="639"/>
      <c r="FQ24" s="639"/>
      <c r="FR24" s="639"/>
      <c r="FS24" s="639"/>
      <c r="FT24" s="639"/>
      <c r="FU24" s="639"/>
      <c r="FV24" s="639"/>
      <c r="FW24" s="639"/>
      <c r="FX24" s="639"/>
      <c r="FY24" s="639"/>
      <c r="FZ24" s="639"/>
      <c r="GA24" s="639"/>
      <c r="GB24" s="639"/>
      <c r="GC24" s="639"/>
      <c r="GD24" s="639"/>
      <c r="GE24" s="639"/>
      <c r="GF24" s="639"/>
      <c r="GG24" s="639"/>
      <c r="GH24" s="639"/>
      <c r="GI24" s="639"/>
      <c r="GJ24" s="639"/>
      <c r="GK24" s="639"/>
      <c r="GL24" s="639"/>
      <c r="GM24" s="639"/>
      <c r="GN24" s="639"/>
      <c r="GO24" s="639"/>
      <c r="GP24" s="639"/>
      <c r="GQ24" s="639"/>
      <c r="GR24" s="639"/>
      <c r="GS24" s="639"/>
      <c r="GT24" s="639"/>
      <c r="GU24" s="639"/>
      <c r="GV24" s="639"/>
      <c r="GW24" s="639"/>
      <c r="GX24" s="639"/>
      <c r="GY24" s="639"/>
      <c r="GZ24" s="639"/>
      <c r="HA24" s="639"/>
      <c r="HB24" s="639"/>
      <c r="HC24" s="639"/>
      <c r="HD24" s="639"/>
      <c r="HE24" s="639"/>
      <c r="HF24" s="639"/>
      <c r="HG24" s="639"/>
      <c r="HH24" s="639"/>
      <c r="HI24" s="639"/>
      <c r="HJ24" s="639"/>
      <c r="HK24" s="639"/>
      <c r="HL24" s="639"/>
      <c r="HM24" s="639"/>
      <c r="HN24" s="639"/>
      <c r="HO24" s="639"/>
      <c r="HP24" s="639"/>
      <c r="HQ24" s="639"/>
      <c r="HR24" s="639"/>
      <c r="HS24" s="639"/>
      <c r="HT24" s="639"/>
      <c r="HU24" s="639"/>
      <c r="HV24" s="639"/>
      <c r="HW24" s="639"/>
      <c r="HX24" s="639"/>
      <c r="HY24" s="639"/>
      <c r="HZ24" s="639"/>
      <c r="IA24" s="639"/>
      <c r="IB24" s="639"/>
      <c r="IC24" s="639"/>
      <c r="ID24" s="639"/>
      <c r="IE24" s="639"/>
      <c r="IF24" s="639"/>
      <c r="IG24" s="639"/>
      <c r="IH24" s="639"/>
      <c r="II24" s="639"/>
      <c r="IJ24" s="639"/>
      <c r="IK24" s="639"/>
      <c r="IL24" s="639"/>
      <c r="IM24" s="639"/>
      <c r="IN24" s="639"/>
      <c r="IO24" s="639"/>
      <c r="IP24" s="639"/>
      <c r="IQ24" s="639"/>
      <c r="IR24" s="639"/>
      <c r="IS24" s="639"/>
    </row>
    <row r="25" spans="1:253" s="554" customFormat="1" ht="25.5">
      <c r="A25" s="590"/>
      <c r="B25" s="628"/>
      <c r="C25" s="565"/>
      <c r="D25" s="622" t="s">
        <v>1026</v>
      </c>
      <c r="E25" s="623" t="s">
        <v>1027</v>
      </c>
      <c r="F25" s="624"/>
      <c r="G25" s="578" t="s">
        <v>8</v>
      </c>
      <c r="H25" s="570">
        <v>10.85</v>
      </c>
      <c r="I25" s="614"/>
      <c r="J25" s="667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632"/>
      <c r="AB25" s="632"/>
      <c r="AC25" s="632"/>
      <c r="AD25" s="632"/>
      <c r="AE25" s="632"/>
      <c r="AF25" s="632"/>
      <c r="AG25" s="632"/>
      <c r="AH25" s="632"/>
      <c r="AI25" s="632"/>
      <c r="AJ25" s="632"/>
      <c r="AK25" s="632"/>
      <c r="AL25" s="632"/>
      <c r="AM25" s="632"/>
      <c r="AN25" s="632"/>
      <c r="AO25" s="632"/>
      <c r="AP25" s="632"/>
      <c r="AQ25" s="632"/>
      <c r="AR25" s="632"/>
      <c r="AS25" s="632"/>
      <c r="AT25" s="632"/>
      <c r="AU25" s="632"/>
      <c r="AV25" s="632"/>
      <c r="AW25" s="632"/>
      <c r="AX25" s="632"/>
      <c r="AY25" s="632"/>
      <c r="AZ25" s="632"/>
      <c r="BA25" s="632"/>
      <c r="BB25" s="632"/>
      <c r="BC25" s="632"/>
      <c r="BD25" s="632"/>
      <c r="BE25" s="632"/>
      <c r="BF25" s="632"/>
      <c r="BG25" s="632"/>
      <c r="BH25" s="632"/>
      <c r="BI25" s="632"/>
      <c r="BJ25" s="632"/>
      <c r="BK25" s="632"/>
      <c r="BL25" s="632"/>
      <c r="BM25" s="632"/>
      <c r="BN25" s="632"/>
      <c r="BO25" s="632"/>
      <c r="BP25" s="632"/>
      <c r="BQ25" s="632"/>
      <c r="BR25" s="632"/>
      <c r="BS25" s="632"/>
      <c r="BT25" s="632"/>
      <c r="BU25" s="632"/>
      <c r="BV25" s="632"/>
      <c r="BW25" s="632"/>
      <c r="BX25" s="632"/>
      <c r="BY25" s="632"/>
      <c r="BZ25" s="632"/>
      <c r="CA25" s="632"/>
      <c r="CB25" s="632"/>
      <c r="CC25" s="632"/>
      <c r="CD25" s="632"/>
      <c r="CE25" s="632"/>
      <c r="CF25" s="632"/>
      <c r="CG25" s="632"/>
      <c r="CH25" s="632"/>
      <c r="CI25" s="632"/>
      <c r="CJ25" s="632"/>
      <c r="CK25" s="632"/>
      <c r="CL25" s="632"/>
      <c r="CM25" s="632"/>
      <c r="CN25" s="632"/>
      <c r="CO25" s="632"/>
      <c r="CP25" s="632"/>
      <c r="CQ25" s="632"/>
      <c r="CR25" s="632"/>
      <c r="CS25" s="632"/>
      <c r="CT25" s="632"/>
      <c r="CU25" s="632"/>
      <c r="CV25" s="632"/>
      <c r="CW25" s="632"/>
      <c r="CX25" s="632"/>
      <c r="CY25" s="632"/>
      <c r="CZ25" s="632"/>
      <c r="DA25" s="632"/>
      <c r="DB25" s="632"/>
      <c r="DC25" s="632"/>
      <c r="DD25" s="632"/>
      <c r="DE25" s="632"/>
      <c r="DF25" s="632"/>
      <c r="DG25" s="632"/>
      <c r="DH25" s="632"/>
      <c r="DI25" s="632"/>
      <c r="DJ25" s="632"/>
      <c r="DK25" s="632"/>
      <c r="DL25" s="632"/>
      <c r="DM25" s="632"/>
      <c r="DN25" s="632"/>
      <c r="DO25" s="632"/>
      <c r="DP25" s="632"/>
      <c r="DQ25" s="632"/>
      <c r="DR25" s="632"/>
      <c r="DS25" s="632"/>
      <c r="DT25" s="632"/>
      <c r="DU25" s="632"/>
      <c r="DV25" s="632"/>
      <c r="DW25" s="632"/>
      <c r="DX25" s="632"/>
      <c r="DY25" s="632"/>
      <c r="DZ25" s="632"/>
      <c r="EA25" s="632"/>
      <c r="EB25" s="632"/>
      <c r="EC25" s="632"/>
      <c r="ED25" s="632"/>
      <c r="EE25" s="632"/>
      <c r="EF25" s="632"/>
      <c r="EG25" s="632"/>
      <c r="EH25" s="632"/>
      <c r="EI25" s="632"/>
      <c r="EJ25" s="632"/>
      <c r="EK25" s="632"/>
      <c r="EL25" s="632"/>
      <c r="EM25" s="632"/>
      <c r="EN25" s="632"/>
      <c r="EO25" s="632"/>
      <c r="EP25" s="632"/>
      <c r="EQ25" s="632"/>
      <c r="ER25" s="632"/>
      <c r="ES25" s="632"/>
      <c r="ET25" s="632"/>
      <c r="EU25" s="632"/>
      <c r="EV25" s="632"/>
      <c r="EW25" s="632"/>
      <c r="EX25" s="632"/>
      <c r="EY25" s="632"/>
      <c r="EZ25" s="632"/>
      <c r="FA25" s="632"/>
      <c r="FB25" s="632"/>
      <c r="FC25" s="632"/>
      <c r="FD25" s="632"/>
      <c r="FE25" s="632"/>
      <c r="FF25" s="632"/>
      <c r="FG25" s="632"/>
      <c r="FH25" s="632"/>
      <c r="FI25" s="632"/>
      <c r="FJ25" s="632"/>
      <c r="FK25" s="632"/>
      <c r="FL25" s="632"/>
      <c r="FM25" s="632"/>
      <c r="FN25" s="632"/>
      <c r="FO25" s="632"/>
      <c r="FP25" s="632"/>
      <c r="FQ25" s="632"/>
      <c r="FR25" s="632"/>
      <c r="FS25" s="632"/>
      <c r="FT25" s="632"/>
      <c r="FU25" s="632"/>
      <c r="FV25" s="632"/>
      <c r="FW25" s="632"/>
      <c r="FX25" s="632"/>
      <c r="FY25" s="632"/>
      <c r="FZ25" s="632"/>
      <c r="GA25" s="632"/>
      <c r="GB25" s="632"/>
      <c r="GC25" s="632"/>
      <c r="GD25" s="632"/>
      <c r="GE25" s="632"/>
      <c r="GF25" s="632"/>
      <c r="GG25" s="632"/>
      <c r="GH25" s="632"/>
      <c r="GI25" s="632"/>
      <c r="GJ25" s="632"/>
      <c r="GK25" s="632"/>
      <c r="GL25" s="632"/>
      <c r="GM25" s="632"/>
      <c r="GN25" s="632"/>
      <c r="GO25" s="632"/>
      <c r="GP25" s="632"/>
      <c r="GQ25" s="632"/>
      <c r="GR25" s="632"/>
      <c r="GS25" s="632"/>
      <c r="GT25" s="632"/>
      <c r="GU25" s="632"/>
      <c r="GV25" s="632"/>
      <c r="GW25" s="632"/>
      <c r="GX25" s="632"/>
      <c r="GY25" s="632"/>
      <c r="GZ25" s="632"/>
      <c r="HA25" s="632"/>
      <c r="HB25" s="632"/>
      <c r="HC25" s="632"/>
      <c r="HD25" s="632"/>
      <c r="HE25" s="632"/>
      <c r="HF25" s="632"/>
      <c r="HG25" s="632"/>
      <c r="HH25" s="632"/>
      <c r="HI25" s="632"/>
      <c r="HJ25" s="632"/>
      <c r="HK25" s="632"/>
      <c r="HL25" s="632"/>
      <c r="HM25" s="632"/>
      <c r="HN25" s="632"/>
      <c r="HO25" s="632"/>
      <c r="HP25" s="632"/>
      <c r="HQ25" s="632"/>
      <c r="HR25" s="632"/>
      <c r="HS25" s="632"/>
      <c r="HT25" s="632"/>
      <c r="HU25" s="632"/>
      <c r="HV25" s="632"/>
      <c r="HW25" s="632"/>
      <c r="HX25" s="632"/>
      <c r="HY25" s="632"/>
      <c r="HZ25" s="632"/>
      <c r="IA25" s="632"/>
      <c r="IB25" s="632"/>
      <c r="IC25" s="632"/>
      <c r="ID25" s="632"/>
      <c r="IE25" s="632"/>
      <c r="IF25" s="632"/>
      <c r="IG25" s="632"/>
      <c r="IH25" s="632"/>
      <c r="II25" s="632"/>
      <c r="IJ25" s="632"/>
      <c r="IK25" s="632"/>
      <c r="IL25" s="632"/>
      <c r="IM25" s="632"/>
      <c r="IN25" s="632"/>
      <c r="IO25" s="632"/>
      <c r="IP25" s="632"/>
      <c r="IQ25" s="632"/>
      <c r="IR25" s="632"/>
      <c r="IS25" s="632"/>
    </row>
    <row r="26" spans="1:253" s="554" customFormat="1">
      <c r="A26" s="590"/>
      <c r="B26" s="628"/>
      <c r="C26" s="565"/>
      <c r="D26" s="550"/>
      <c r="E26" s="625" t="s">
        <v>1114</v>
      </c>
      <c r="F26" s="415">
        <v>10.85</v>
      </c>
      <c r="G26" s="578"/>
      <c r="H26" s="540"/>
      <c r="I26" s="547"/>
      <c r="J26" s="664"/>
    </row>
    <row r="27" spans="1:253" s="554" customFormat="1">
      <c r="A27" s="590"/>
      <c r="B27" s="628"/>
      <c r="C27" s="565"/>
      <c r="D27" s="550"/>
      <c r="E27" s="625" t="s">
        <v>1115</v>
      </c>
      <c r="F27" s="631"/>
      <c r="G27" s="578"/>
      <c r="H27" s="540"/>
      <c r="I27" s="634"/>
      <c r="J27" s="668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632"/>
      <c r="AB27" s="632"/>
      <c r="AC27" s="632"/>
      <c r="AD27" s="632"/>
      <c r="AE27" s="632"/>
      <c r="AF27" s="632"/>
      <c r="AG27" s="632"/>
      <c r="AH27" s="632"/>
      <c r="AI27" s="632"/>
      <c r="AJ27" s="632"/>
      <c r="AK27" s="632"/>
      <c r="AL27" s="632"/>
      <c r="AM27" s="632"/>
      <c r="AN27" s="632"/>
      <c r="AO27" s="632"/>
      <c r="AP27" s="632"/>
      <c r="AQ27" s="632"/>
      <c r="AR27" s="632"/>
      <c r="AS27" s="632"/>
      <c r="AT27" s="632"/>
      <c r="AU27" s="632"/>
      <c r="AV27" s="632"/>
      <c r="AW27" s="632"/>
      <c r="AX27" s="632"/>
      <c r="AY27" s="632"/>
      <c r="AZ27" s="632"/>
      <c r="BA27" s="632"/>
      <c r="BB27" s="632"/>
      <c r="BC27" s="632"/>
      <c r="BD27" s="632"/>
      <c r="BE27" s="632"/>
      <c r="BF27" s="632"/>
      <c r="BG27" s="632"/>
      <c r="BH27" s="632"/>
      <c r="BI27" s="632"/>
      <c r="BJ27" s="632"/>
      <c r="BK27" s="632"/>
      <c r="BL27" s="632"/>
      <c r="BM27" s="632"/>
      <c r="BN27" s="632"/>
      <c r="BO27" s="632"/>
      <c r="BP27" s="632"/>
      <c r="BQ27" s="632"/>
      <c r="BR27" s="632"/>
      <c r="BS27" s="632"/>
      <c r="BT27" s="632"/>
      <c r="BU27" s="632"/>
      <c r="BV27" s="632"/>
      <c r="BW27" s="632"/>
      <c r="BX27" s="632"/>
      <c r="BY27" s="632"/>
      <c r="BZ27" s="632"/>
      <c r="CA27" s="632"/>
      <c r="CB27" s="632"/>
      <c r="CC27" s="632"/>
      <c r="CD27" s="632"/>
      <c r="CE27" s="632"/>
      <c r="CF27" s="632"/>
      <c r="CG27" s="632"/>
      <c r="CH27" s="632"/>
      <c r="CI27" s="632"/>
      <c r="CJ27" s="632"/>
      <c r="CK27" s="632"/>
      <c r="CL27" s="632"/>
      <c r="CM27" s="632"/>
      <c r="CN27" s="632"/>
      <c r="CO27" s="632"/>
      <c r="CP27" s="632"/>
      <c r="CQ27" s="632"/>
      <c r="CR27" s="632"/>
      <c r="CS27" s="632"/>
      <c r="CT27" s="632"/>
      <c r="CU27" s="632"/>
      <c r="CV27" s="632"/>
      <c r="CW27" s="632"/>
      <c r="CX27" s="632"/>
      <c r="CY27" s="632"/>
      <c r="CZ27" s="632"/>
      <c r="DA27" s="632"/>
      <c r="DB27" s="632"/>
      <c r="DC27" s="632"/>
      <c r="DD27" s="632"/>
      <c r="DE27" s="632"/>
      <c r="DF27" s="632"/>
      <c r="DG27" s="632"/>
      <c r="DH27" s="632"/>
      <c r="DI27" s="632"/>
      <c r="DJ27" s="632"/>
      <c r="DK27" s="632"/>
      <c r="DL27" s="632"/>
      <c r="DM27" s="632"/>
      <c r="DN27" s="632"/>
      <c r="DO27" s="632"/>
      <c r="DP27" s="632"/>
      <c r="DQ27" s="632"/>
      <c r="DR27" s="632"/>
      <c r="DS27" s="632"/>
      <c r="DT27" s="632"/>
      <c r="DU27" s="632"/>
      <c r="DV27" s="632"/>
      <c r="DW27" s="632"/>
      <c r="DX27" s="632"/>
      <c r="DY27" s="632"/>
      <c r="DZ27" s="632"/>
      <c r="EA27" s="632"/>
      <c r="EB27" s="632"/>
      <c r="EC27" s="632"/>
      <c r="ED27" s="632"/>
      <c r="EE27" s="632"/>
      <c r="EF27" s="632"/>
      <c r="EG27" s="632"/>
      <c r="EH27" s="632"/>
      <c r="EI27" s="632"/>
      <c r="EJ27" s="632"/>
      <c r="EK27" s="632"/>
      <c r="EL27" s="632"/>
      <c r="EM27" s="632"/>
      <c r="EN27" s="632"/>
      <c r="EO27" s="632"/>
      <c r="EP27" s="632"/>
      <c r="EQ27" s="632"/>
      <c r="ER27" s="632"/>
      <c r="ES27" s="632"/>
      <c r="ET27" s="632"/>
      <c r="EU27" s="632"/>
      <c r="EV27" s="632"/>
      <c r="EW27" s="632"/>
      <c r="EX27" s="632"/>
      <c r="EY27" s="632"/>
      <c r="EZ27" s="632"/>
      <c r="FA27" s="632"/>
      <c r="FB27" s="632"/>
      <c r="FC27" s="632"/>
      <c r="FD27" s="632"/>
      <c r="FE27" s="632"/>
      <c r="FF27" s="632"/>
      <c r="FG27" s="632"/>
      <c r="FH27" s="632"/>
      <c r="FI27" s="632"/>
      <c r="FJ27" s="632"/>
      <c r="FK27" s="632"/>
      <c r="FL27" s="632"/>
      <c r="FM27" s="632"/>
      <c r="FN27" s="632"/>
      <c r="FO27" s="632"/>
      <c r="FP27" s="632"/>
      <c r="FQ27" s="632"/>
      <c r="FR27" s="632"/>
      <c r="FS27" s="632"/>
      <c r="FT27" s="632"/>
      <c r="FU27" s="632"/>
      <c r="FV27" s="632"/>
      <c r="FW27" s="632"/>
      <c r="FX27" s="632"/>
      <c r="FY27" s="632"/>
      <c r="FZ27" s="632"/>
      <c r="GA27" s="632"/>
      <c r="GB27" s="632"/>
      <c r="GC27" s="632"/>
      <c r="GD27" s="632"/>
      <c r="GE27" s="632"/>
      <c r="GF27" s="632"/>
      <c r="GG27" s="632"/>
      <c r="GH27" s="632"/>
      <c r="GI27" s="632"/>
      <c r="GJ27" s="632"/>
      <c r="GK27" s="632"/>
      <c r="GL27" s="632"/>
      <c r="GM27" s="632"/>
      <c r="GN27" s="632"/>
      <c r="GO27" s="632"/>
      <c r="GP27" s="632"/>
      <c r="GQ27" s="632"/>
      <c r="GR27" s="632"/>
      <c r="GS27" s="632"/>
      <c r="GT27" s="632"/>
      <c r="GU27" s="632"/>
      <c r="GV27" s="632"/>
      <c r="GW27" s="632"/>
      <c r="GX27" s="632"/>
      <c r="GY27" s="632"/>
      <c r="GZ27" s="632"/>
      <c r="HA27" s="632"/>
      <c r="HB27" s="632"/>
      <c r="HC27" s="632"/>
      <c r="HD27" s="632"/>
      <c r="HE27" s="632"/>
      <c r="HF27" s="632"/>
      <c r="HG27" s="632"/>
      <c r="HH27" s="632"/>
      <c r="HI27" s="632"/>
      <c r="HJ27" s="632"/>
      <c r="HK27" s="632"/>
      <c r="HL27" s="632"/>
      <c r="HM27" s="632"/>
      <c r="HN27" s="632"/>
      <c r="HO27" s="632"/>
      <c r="HP27" s="632"/>
      <c r="HQ27" s="632"/>
      <c r="HR27" s="632"/>
      <c r="HS27" s="632"/>
      <c r="HT27" s="632"/>
      <c r="HU27" s="632"/>
      <c r="HV27" s="632"/>
      <c r="HW27" s="632"/>
      <c r="HX27" s="632"/>
      <c r="HY27" s="632"/>
      <c r="HZ27" s="632"/>
      <c r="IA27" s="632"/>
      <c r="IB27" s="632"/>
      <c r="IC27" s="632"/>
      <c r="ID27" s="632"/>
      <c r="IE27" s="632"/>
      <c r="IF27" s="632"/>
      <c r="IG27" s="632"/>
      <c r="IH27" s="632"/>
      <c r="II27" s="632"/>
      <c r="IJ27" s="632"/>
      <c r="IK27" s="632"/>
      <c r="IL27" s="632"/>
      <c r="IM27" s="632"/>
      <c r="IN27" s="632"/>
      <c r="IO27" s="632"/>
      <c r="IP27" s="632"/>
      <c r="IQ27" s="632"/>
      <c r="IR27" s="632"/>
      <c r="IS27" s="632"/>
    </row>
    <row r="28" spans="1:253" s="554" customFormat="1">
      <c r="A28" s="590"/>
      <c r="B28" s="628"/>
      <c r="C28" s="565"/>
      <c r="D28" s="550"/>
      <c r="E28" s="625"/>
      <c r="F28" s="415"/>
      <c r="G28" s="578"/>
      <c r="H28" s="540"/>
      <c r="I28" s="634"/>
      <c r="J28" s="668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632"/>
      <c r="AE28" s="632"/>
      <c r="AF28" s="632"/>
      <c r="AG28" s="632"/>
      <c r="AH28" s="632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  <c r="AY28" s="632"/>
      <c r="AZ28" s="632"/>
      <c r="BA28" s="632"/>
      <c r="BB28" s="632"/>
      <c r="BC28" s="632"/>
      <c r="BD28" s="632"/>
      <c r="BE28" s="632"/>
      <c r="BF28" s="632"/>
      <c r="BG28" s="632"/>
      <c r="BH28" s="632"/>
      <c r="BI28" s="632"/>
      <c r="BJ28" s="632"/>
      <c r="BK28" s="632"/>
      <c r="BL28" s="632"/>
      <c r="BM28" s="632"/>
      <c r="BN28" s="632"/>
      <c r="BO28" s="632"/>
      <c r="BP28" s="632"/>
      <c r="BQ28" s="632"/>
      <c r="BR28" s="632"/>
      <c r="BS28" s="632"/>
      <c r="BT28" s="632"/>
      <c r="BU28" s="632"/>
      <c r="BV28" s="632"/>
      <c r="BW28" s="632"/>
      <c r="BX28" s="632"/>
      <c r="BY28" s="632"/>
      <c r="BZ28" s="632"/>
      <c r="CA28" s="632"/>
      <c r="CB28" s="632"/>
      <c r="CC28" s="632"/>
      <c r="CD28" s="632"/>
      <c r="CE28" s="632"/>
      <c r="CF28" s="632"/>
      <c r="CG28" s="632"/>
      <c r="CH28" s="632"/>
      <c r="CI28" s="632"/>
      <c r="CJ28" s="632"/>
      <c r="CK28" s="632"/>
      <c r="CL28" s="632"/>
      <c r="CM28" s="632"/>
      <c r="CN28" s="632"/>
      <c r="CO28" s="632"/>
      <c r="CP28" s="632"/>
      <c r="CQ28" s="632"/>
      <c r="CR28" s="632"/>
      <c r="CS28" s="632"/>
      <c r="CT28" s="632"/>
      <c r="CU28" s="632"/>
      <c r="CV28" s="632"/>
      <c r="CW28" s="632"/>
      <c r="CX28" s="632"/>
      <c r="CY28" s="632"/>
      <c r="CZ28" s="632"/>
      <c r="DA28" s="632"/>
      <c r="DB28" s="632"/>
      <c r="DC28" s="632"/>
      <c r="DD28" s="632"/>
      <c r="DE28" s="632"/>
      <c r="DF28" s="632"/>
      <c r="DG28" s="632"/>
      <c r="DH28" s="632"/>
      <c r="DI28" s="632"/>
      <c r="DJ28" s="632"/>
      <c r="DK28" s="632"/>
      <c r="DL28" s="632"/>
      <c r="DM28" s="632"/>
      <c r="DN28" s="632"/>
      <c r="DO28" s="632"/>
      <c r="DP28" s="632"/>
      <c r="DQ28" s="632"/>
      <c r="DR28" s="632"/>
      <c r="DS28" s="632"/>
      <c r="DT28" s="632"/>
      <c r="DU28" s="632"/>
      <c r="DV28" s="632"/>
      <c r="DW28" s="632"/>
      <c r="DX28" s="632"/>
      <c r="DY28" s="632"/>
      <c r="DZ28" s="632"/>
      <c r="EA28" s="632"/>
      <c r="EB28" s="632"/>
      <c r="EC28" s="632"/>
      <c r="ED28" s="632"/>
      <c r="EE28" s="632"/>
      <c r="EF28" s="632"/>
      <c r="EG28" s="632"/>
      <c r="EH28" s="632"/>
      <c r="EI28" s="632"/>
      <c r="EJ28" s="632"/>
      <c r="EK28" s="632"/>
      <c r="EL28" s="632"/>
      <c r="EM28" s="632"/>
      <c r="EN28" s="632"/>
      <c r="EO28" s="632"/>
      <c r="EP28" s="632"/>
      <c r="EQ28" s="632"/>
      <c r="ER28" s="632"/>
      <c r="ES28" s="632"/>
      <c r="ET28" s="632"/>
      <c r="EU28" s="632"/>
      <c r="EV28" s="632"/>
      <c r="EW28" s="632"/>
      <c r="EX28" s="632"/>
      <c r="EY28" s="632"/>
      <c r="EZ28" s="632"/>
      <c r="FA28" s="632"/>
      <c r="FB28" s="632"/>
      <c r="FC28" s="632"/>
      <c r="FD28" s="632"/>
      <c r="FE28" s="632"/>
      <c r="FF28" s="632"/>
      <c r="FG28" s="632"/>
      <c r="FH28" s="632"/>
      <c r="FI28" s="632"/>
      <c r="FJ28" s="632"/>
      <c r="FK28" s="632"/>
      <c r="FL28" s="632"/>
      <c r="FM28" s="632"/>
      <c r="FN28" s="632"/>
      <c r="FO28" s="632"/>
      <c r="FP28" s="632"/>
      <c r="FQ28" s="632"/>
      <c r="FR28" s="632"/>
      <c r="FS28" s="632"/>
      <c r="FT28" s="632"/>
      <c r="FU28" s="632"/>
      <c r="FV28" s="632"/>
      <c r="FW28" s="632"/>
      <c r="FX28" s="632"/>
      <c r="FY28" s="632"/>
      <c r="FZ28" s="632"/>
      <c r="GA28" s="632"/>
      <c r="GB28" s="632"/>
      <c r="GC28" s="632"/>
      <c r="GD28" s="632"/>
      <c r="GE28" s="632"/>
      <c r="GF28" s="632"/>
      <c r="GG28" s="632"/>
      <c r="GH28" s="632"/>
      <c r="GI28" s="632"/>
      <c r="GJ28" s="632"/>
      <c r="GK28" s="632"/>
      <c r="GL28" s="632"/>
      <c r="GM28" s="632"/>
      <c r="GN28" s="632"/>
      <c r="GO28" s="632"/>
      <c r="GP28" s="632"/>
      <c r="GQ28" s="632"/>
      <c r="GR28" s="632"/>
      <c r="GS28" s="632"/>
      <c r="GT28" s="632"/>
      <c r="GU28" s="632"/>
      <c r="GV28" s="632"/>
      <c r="GW28" s="632"/>
      <c r="GX28" s="632"/>
      <c r="GY28" s="632"/>
      <c r="GZ28" s="632"/>
      <c r="HA28" s="632"/>
      <c r="HB28" s="632"/>
      <c r="HC28" s="632"/>
      <c r="HD28" s="632"/>
      <c r="HE28" s="632"/>
      <c r="HF28" s="632"/>
      <c r="HG28" s="632"/>
      <c r="HH28" s="632"/>
      <c r="HI28" s="632"/>
      <c r="HJ28" s="632"/>
      <c r="HK28" s="632"/>
      <c r="HL28" s="632"/>
      <c r="HM28" s="632"/>
      <c r="HN28" s="632"/>
      <c r="HO28" s="632"/>
      <c r="HP28" s="632"/>
      <c r="HQ28" s="632"/>
      <c r="HR28" s="632"/>
      <c r="HS28" s="632"/>
      <c r="HT28" s="632"/>
      <c r="HU28" s="632"/>
      <c r="HV28" s="632"/>
      <c r="HW28" s="632"/>
      <c r="HX28" s="632"/>
      <c r="HY28" s="632"/>
      <c r="HZ28" s="632"/>
      <c r="IA28" s="632"/>
      <c r="IB28" s="632"/>
      <c r="IC28" s="632"/>
      <c r="ID28" s="632"/>
      <c r="IE28" s="632"/>
      <c r="IF28" s="632"/>
      <c r="IG28" s="632"/>
      <c r="IH28" s="632"/>
      <c r="II28" s="632"/>
      <c r="IJ28" s="632"/>
      <c r="IK28" s="632"/>
      <c r="IL28" s="632"/>
      <c r="IM28" s="632"/>
      <c r="IN28" s="632"/>
      <c r="IO28" s="632"/>
      <c r="IP28" s="632"/>
      <c r="IQ28" s="632"/>
      <c r="IR28" s="632"/>
      <c r="IS28" s="632"/>
    </row>
    <row r="29" spans="1:253" s="537" customFormat="1">
      <c r="A29" s="590"/>
      <c r="B29" s="628"/>
      <c r="C29" s="565"/>
      <c r="D29" s="550"/>
      <c r="E29" s="625"/>
      <c r="F29" s="415"/>
      <c r="G29" s="578"/>
      <c r="H29" s="540"/>
      <c r="I29" s="634"/>
      <c r="J29" s="668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632"/>
      <c r="AE29" s="632"/>
      <c r="AF29" s="632"/>
      <c r="AG29" s="632"/>
      <c r="AH29" s="632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  <c r="AX29" s="632"/>
      <c r="AY29" s="632"/>
      <c r="AZ29" s="632"/>
      <c r="BA29" s="632"/>
      <c r="BB29" s="632"/>
      <c r="BC29" s="632"/>
      <c r="BD29" s="632"/>
      <c r="BE29" s="632"/>
      <c r="BF29" s="632"/>
      <c r="BG29" s="632"/>
      <c r="BH29" s="632"/>
      <c r="BI29" s="632"/>
      <c r="BJ29" s="632"/>
      <c r="BK29" s="632"/>
      <c r="BL29" s="632"/>
      <c r="BM29" s="632"/>
      <c r="BN29" s="632"/>
      <c r="BO29" s="632"/>
      <c r="BP29" s="632"/>
      <c r="BQ29" s="632"/>
      <c r="BR29" s="632"/>
      <c r="BS29" s="632"/>
      <c r="BT29" s="632"/>
      <c r="BU29" s="632"/>
      <c r="BV29" s="632"/>
      <c r="BW29" s="632"/>
      <c r="BX29" s="632"/>
      <c r="BY29" s="632"/>
      <c r="BZ29" s="632"/>
      <c r="CA29" s="632"/>
      <c r="CB29" s="632"/>
      <c r="CC29" s="632"/>
      <c r="CD29" s="632"/>
      <c r="CE29" s="632"/>
      <c r="CF29" s="632"/>
      <c r="CG29" s="632"/>
      <c r="CH29" s="632"/>
      <c r="CI29" s="632"/>
      <c r="CJ29" s="632"/>
      <c r="CK29" s="632"/>
      <c r="CL29" s="632"/>
      <c r="CM29" s="632"/>
      <c r="CN29" s="632"/>
      <c r="CO29" s="632"/>
      <c r="CP29" s="632"/>
      <c r="CQ29" s="632"/>
      <c r="CR29" s="632"/>
      <c r="CS29" s="632"/>
      <c r="CT29" s="632"/>
      <c r="CU29" s="632"/>
      <c r="CV29" s="632"/>
      <c r="CW29" s="632"/>
      <c r="CX29" s="632"/>
      <c r="CY29" s="632"/>
      <c r="CZ29" s="632"/>
      <c r="DA29" s="632"/>
      <c r="DB29" s="632"/>
      <c r="DC29" s="632"/>
      <c r="DD29" s="632"/>
      <c r="DE29" s="632"/>
      <c r="DF29" s="632"/>
      <c r="DG29" s="632"/>
      <c r="DH29" s="632"/>
      <c r="DI29" s="632"/>
      <c r="DJ29" s="632"/>
      <c r="DK29" s="632"/>
      <c r="DL29" s="632"/>
      <c r="DM29" s="632"/>
      <c r="DN29" s="632"/>
      <c r="DO29" s="632"/>
      <c r="DP29" s="632"/>
      <c r="DQ29" s="632"/>
      <c r="DR29" s="632"/>
      <c r="DS29" s="632"/>
      <c r="DT29" s="632"/>
      <c r="DU29" s="632"/>
      <c r="DV29" s="632"/>
      <c r="DW29" s="632"/>
      <c r="DX29" s="632"/>
      <c r="DY29" s="632"/>
      <c r="DZ29" s="632"/>
      <c r="EA29" s="632"/>
      <c r="EB29" s="632"/>
      <c r="EC29" s="632"/>
      <c r="ED29" s="632"/>
      <c r="EE29" s="632"/>
      <c r="EF29" s="632"/>
      <c r="EG29" s="632"/>
      <c r="EH29" s="632"/>
      <c r="EI29" s="632"/>
      <c r="EJ29" s="632"/>
      <c r="EK29" s="632"/>
      <c r="EL29" s="632"/>
      <c r="EM29" s="632"/>
      <c r="EN29" s="632"/>
      <c r="EO29" s="632"/>
      <c r="EP29" s="632"/>
      <c r="EQ29" s="632"/>
      <c r="ER29" s="632"/>
      <c r="ES29" s="632"/>
      <c r="ET29" s="632"/>
      <c r="EU29" s="632"/>
      <c r="EV29" s="632"/>
      <c r="EW29" s="632"/>
      <c r="EX29" s="632"/>
      <c r="EY29" s="632"/>
      <c r="EZ29" s="632"/>
      <c r="FA29" s="632"/>
      <c r="FB29" s="632"/>
      <c r="FC29" s="632"/>
      <c r="FD29" s="632"/>
      <c r="FE29" s="632"/>
      <c r="FF29" s="632"/>
      <c r="FG29" s="632"/>
      <c r="FH29" s="632"/>
      <c r="FI29" s="632"/>
      <c r="FJ29" s="632"/>
      <c r="FK29" s="632"/>
      <c r="FL29" s="632"/>
      <c r="FM29" s="632"/>
      <c r="FN29" s="632"/>
      <c r="FO29" s="632"/>
      <c r="FP29" s="632"/>
      <c r="FQ29" s="632"/>
      <c r="FR29" s="632"/>
      <c r="FS29" s="632"/>
      <c r="FT29" s="632"/>
      <c r="FU29" s="632"/>
      <c r="FV29" s="632"/>
      <c r="FW29" s="632"/>
      <c r="FX29" s="632"/>
      <c r="FY29" s="632"/>
      <c r="FZ29" s="632"/>
      <c r="GA29" s="632"/>
      <c r="GB29" s="632"/>
      <c r="GC29" s="632"/>
      <c r="GD29" s="632"/>
      <c r="GE29" s="632"/>
      <c r="GF29" s="632"/>
      <c r="GG29" s="632"/>
      <c r="GH29" s="632"/>
      <c r="GI29" s="632"/>
      <c r="GJ29" s="632"/>
      <c r="GK29" s="632"/>
      <c r="GL29" s="632"/>
      <c r="GM29" s="632"/>
      <c r="GN29" s="632"/>
      <c r="GO29" s="632"/>
      <c r="GP29" s="632"/>
      <c r="GQ29" s="632"/>
      <c r="GR29" s="632"/>
      <c r="GS29" s="632"/>
      <c r="GT29" s="632"/>
      <c r="GU29" s="632"/>
      <c r="GV29" s="632"/>
      <c r="GW29" s="632"/>
      <c r="GX29" s="632"/>
      <c r="GY29" s="632"/>
      <c r="GZ29" s="632"/>
      <c r="HA29" s="632"/>
      <c r="HB29" s="632"/>
      <c r="HC29" s="632"/>
      <c r="HD29" s="632"/>
      <c r="HE29" s="632"/>
      <c r="HF29" s="632"/>
      <c r="HG29" s="632"/>
      <c r="HH29" s="632"/>
      <c r="HI29" s="632"/>
      <c r="HJ29" s="632"/>
      <c r="HK29" s="632"/>
      <c r="HL29" s="632"/>
      <c r="HM29" s="632"/>
      <c r="HN29" s="632"/>
      <c r="HO29" s="632"/>
      <c r="HP29" s="632"/>
      <c r="HQ29" s="632"/>
      <c r="HR29" s="632"/>
      <c r="HS29" s="632"/>
      <c r="HT29" s="632"/>
      <c r="HU29" s="632"/>
      <c r="HV29" s="632"/>
      <c r="HW29" s="632"/>
      <c r="HX29" s="632"/>
      <c r="HY29" s="632"/>
      <c r="HZ29" s="632"/>
      <c r="IA29" s="632"/>
      <c r="IB29" s="632"/>
      <c r="IC29" s="632"/>
      <c r="ID29" s="632"/>
      <c r="IE29" s="632"/>
      <c r="IF29" s="632"/>
      <c r="IG29" s="632"/>
      <c r="IH29" s="632"/>
      <c r="II29" s="632"/>
      <c r="IJ29" s="632"/>
      <c r="IK29" s="632"/>
      <c r="IL29" s="632"/>
      <c r="IM29" s="632"/>
      <c r="IN29" s="632"/>
      <c r="IO29" s="632"/>
      <c r="IP29" s="632"/>
      <c r="IQ29" s="632"/>
      <c r="IR29" s="632"/>
      <c r="IS29" s="632"/>
    </row>
    <row r="30" spans="1:253" s="548" customFormat="1">
      <c r="A30" s="524">
        <f>MAX(A$1:A29)+1</f>
        <v>5</v>
      </c>
      <c r="B30" s="609"/>
      <c r="C30" s="610" t="s">
        <v>123</v>
      </c>
      <c r="D30" s="565"/>
      <c r="E30" s="551" t="s">
        <v>124</v>
      </c>
      <c r="F30" s="611"/>
      <c r="G30" s="575" t="s">
        <v>8</v>
      </c>
      <c r="H30" s="560">
        <f>H31</f>
        <v>58</v>
      </c>
      <c r="I30" s="658"/>
      <c r="J30" s="454">
        <f>H30*I30</f>
        <v>0</v>
      </c>
      <c r="K30" s="561"/>
      <c r="L30" s="558"/>
      <c r="M30" s="558"/>
      <c r="N30" s="639"/>
      <c r="O30" s="639"/>
      <c r="P30" s="639"/>
      <c r="Q30" s="639"/>
      <c r="R30" s="639"/>
      <c r="S30" s="639"/>
      <c r="T30" s="639"/>
      <c r="U30" s="639"/>
      <c r="V30" s="639"/>
      <c r="W30" s="639"/>
      <c r="X30" s="639"/>
      <c r="Y30" s="639"/>
      <c r="Z30" s="639"/>
      <c r="AA30" s="639"/>
      <c r="AB30" s="639"/>
      <c r="AC30" s="639"/>
      <c r="AD30" s="639"/>
      <c r="AE30" s="639"/>
      <c r="AF30" s="639"/>
      <c r="AG30" s="639"/>
      <c r="AH30" s="639"/>
      <c r="AI30" s="639"/>
      <c r="AJ30" s="639"/>
      <c r="AK30" s="639"/>
      <c r="AL30" s="639"/>
      <c r="AM30" s="639"/>
      <c r="AN30" s="639"/>
      <c r="AO30" s="639"/>
      <c r="AP30" s="639"/>
      <c r="AQ30" s="639"/>
      <c r="AR30" s="639"/>
      <c r="AS30" s="639"/>
      <c r="AT30" s="639"/>
      <c r="AU30" s="639"/>
      <c r="AV30" s="639"/>
      <c r="AW30" s="639"/>
      <c r="AX30" s="639"/>
      <c r="AY30" s="639"/>
      <c r="AZ30" s="639"/>
      <c r="BA30" s="639"/>
      <c r="BB30" s="639"/>
      <c r="BC30" s="639"/>
      <c r="BD30" s="639"/>
      <c r="BE30" s="639"/>
      <c r="BF30" s="639"/>
      <c r="BG30" s="639"/>
      <c r="BH30" s="639"/>
      <c r="BI30" s="639"/>
      <c r="BJ30" s="639"/>
      <c r="BK30" s="639"/>
      <c r="BL30" s="639"/>
      <c r="BM30" s="639"/>
      <c r="BN30" s="639"/>
      <c r="BO30" s="639"/>
      <c r="BP30" s="639"/>
      <c r="BQ30" s="639"/>
      <c r="BR30" s="639"/>
      <c r="BS30" s="639"/>
      <c r="BT30" s="639"/>
      <c r="BU30" s="639"/>
      <c r="BV30" s="639"/>
      <c r="BW30" s="639"/>
      <c r="BX30" s="639"/>
      <c r="BY30" s="639"/>
      <c r="BZ30" s="639"/>
      <c r="CA30" s="639"/>
      <c r="CB30" s="639"/>
      <c r="CC30" s="639"/>
      <c r="CD30" s="639"/>
      <c r="CE30" s="639"/>
      <c r="CF30" s="639"/>
      <c r="CG30" s="639"/>
      <c r="CH30" s="639"/>
      <c r="CI30" s="639"/>
      <c r="CJ30" s="639"/>
      <c r="CK30" s="639"/>
      <c r="CL30" s="639"/>
      <c r="CM30" s="639"/>
      <c r="CN30" s="639"/>
      <c r="CO30" s="639"/>
      <c r="CP30" s="639"/>
      <c r="CQ30" s="639"/>
      <c r="CR30" s="639"/>
      <c r="CS30" s="639"/>
      <c r="CT30" s="639"/>
      <c r="CU30" s="639"/>
      <c r="CV30" s="639"/>
      <c r="CW30" s="639"/>
      <c r="CX30" s="639"/>
      <c r="CY30" s="639"/>
      <c r="CZ30" s="639"/>
      <c r="DA30" s="639"/>
      <c r="DB30" s="639"/>
      <c r="DC30" s="639"/>
      <c r="DD30" s="639"/>
      <c r="DE30" s="639"/>
      <c r="DF30" s="639"/>
      <c r="DG30" s="639"/>
      <c r="DH30" s="639"/>
      <c r="DI30" s="639"/>
      <c r="DJ30" s="639"/>
      <c r="DK30" s="639"/>
      <c r="DL30" s="639"/>
      <c r="DM30" s="639"/>
      <c r="DN30" s="639"/>
      <c r="DO30" s="639"/>
      <c r="DP30" s="639"/>
      <c r="DQ30" s="639"/>
      <c r="DR30" s="639"/>
      <c r="DS30" s="639"/>
      <c r="DT30" s="639"/>
      <c r="DU30" s="639"/>
      <c r="DV30" s="639"/>
      <c r="DW30" s="639"/>
      <c r="DX30" s="639"/>
      <c r="DY30" s="639"/>
      <c r="DZ30" s="639"/>
      <c r="EA30" s="639"/>
      <c r="EB30" s="639"/>
      <c r="EC30" s="639"/>
      <c r="ED30" s="639"/>
      <c r="EE30" s="639"/>
      <c r="EF30" s="639"/>
      <c r="EG30" s="639"/>
      <c r="EH30" s="639"/>
      <c r="EI30" s="639"/>
      <c r="EJ30" s="639"/>
      <c r="EK30" s="639"/>
      <c r="EL30" s="639"/>
      <c r="EM30" s="639"/>
      <c r="EN30" s="639"/>
      <c r="EO30" s="639"/>
      <c r="EP30" s="639"/>
      <c r="EQ30" s="639"/>
      <c r="ER30" s="639"/>
      <c r="ES30" s="639"/>
      <c r="ET30" s="639"/>
      <c r="EU30" s="639"/>
      <c r="EV30" s="639"/>
      <c r="EW30" s="639"/>
      <c r="EX30" s="639"/>
      <c r="EY30" s="639"/>
      <c r="EZ30" s="639"/>
      <c r="FA30" s="639"/>
      <c r="FB30" s="639"/>
      <c r="FC30" s="639"/>
      <c r="FD30" s="639"/>
      <c r="FE30" s="639"/>
      <c r="FF30" s="639"/>
      <c r="FG30" s="639"/>
      <c r="FH30" s="639"/>
      <c r="FI30" s="639"/>
      <c r="FJ30" s="639"/>
      <c r="FK30" s="639"/>
      <c r="FL30" s="639"/>
      <c r="FM30" s="639"/>
      <c r="FN30" s="639"/>
      <c r="FO30" s="639"/>
      <c r="FP30" s="639"/>
      <c r="FQ30" s="639"/>
      <c r="FR30" s="639"/>
      <c r="FS30" s="639"/>
      <c r="FT30" s="639"/>
      <c r="FU30" s="639"/>
      <c r="FV30" s="639"/>
      <c r="FW30" s="639"/>
      <c r="FX30" s="639"/>
      <c r="FY30" s="639"/>
      <c r="FZ30" s="639"/>
      <c r="GA30" s="639"/>
      <c r="GB30" s="639"/>
      <c r="GC30" s="639"/>
      <c r="GD30" s="639"/>
      <c r="GE30" s="639"/>
      <c r="GF30" s="639"/>
      <c r="GG30" s="639"/>
      <c r="GH30" s="639"/>
      <c r="GI30" s="639"/>
      <c r="GJ30" s="639"/>
      <c r="GK30" s="639"/>
      <c r="GL30" s="639"/>
      <c r="GM30" s="639"/>
      <c r="GN30" s="639"/>
      <c r="GO30" s="639"/>
      <c r="GP30" s="639"/>
      <c r="GQ30" s="639"/>
      <c r="GR30" s="639"/>
      <c r="GS30" s="639"/>
      <c r="GT30" s="639"/>
      <c r="GU30" s="639"/>
      <c r="GV30" s="639"/>
      <c r="GW30" s="639"/>
      <c r="GX30" s="639"/>
      <c r="GY30" s="639"/>
      <c r="GZ30" s="639"/>
      <c r="HA30" s="639"/>
      <c r="HB30" s="639"/>
      <c r="HC30" s="639"/>
      <c r="HD30" s="639"/>
      <c r="HE30" s="639"/>
      <c r="HF30" s="639"/>
      <c r="HG30" s="639"/>
      <c r="HH30" s="639"/>
      <c r="HI30" s="639"/>
      <c r="HJ30" s="639"/>
      <c r="HK30" s="639"/>
      <c r="HL30" s="639"/>
      <c r="HM30" s="639"/>
      <c r="HN30" s="639"/>
      <c r="HO30" s="639"/>
      <c r="HP30" s="639"/>
      <c r="HQ30" s="639"/>
      <c r="HR30" s="639"/>
      <c r="HS30" s="639"/>
      <c r="HT30" s="639"/>
      <c r="HU30" s="639"/>
      <c r="HV30" s="639"/>
      <c r="HW30" s="639"/>
      <c r="HX30" s="639"/>
      <c r="HY30" s="639"/>
      <c r="HZ30" s="639"/>
      <c r="IA30" s="639"/>
      <c r="IB30" s="639"/>
      <c r="IC30" s="639"/>
      <c r="ID30" s="639"/>
      <c r="IE30" s="639"/>
      <c r="IF30" s="639"/>
      <c r="IG30" s="639"/>
      <c r="IH30" s="639"/>
      <c r="II30" s="639"/>
      <c r="IJ30" s="639"/>
      <c r="IK30" s="639"/>
      <c r="IL30" s="639"/>
      <c r="IM30" s="639"/>
      <c r="IN30" s="639"/>
      <c r="IO30" s="639"/>
      <c r="IP30" s="639"/>
      <c r="IQ30" s="639"/>
      <c r="IR30" s="639"/>
      <c r="IS30" s="639"/>
    </row>
    <row r="31" spans="1:253" s="554" customFormat="1" ht="25.5">
      <c r="A31" s="590"/>
      <c r="B31" s="628"/>
      <c r="C31" s="565"/>
      <c r="D31" s="622" t="s">
        <v>125</v>
      </c>
      <c r="E31" s="623" t="s">
        <v>1030</v>
      </c>
      <c r="F31" s="624"/>
      <c r="G31" s="578" t="s">
        <v>8</v>
      </c>
      <c r="H31" s="570">
        <v>58</v>
      </c>
      <c r="I31" s="614"/>
      <c r="J31" s="667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32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  <c r="AX31" s="632"/>
      <c r="AY31" s="632"/>
      <c r="AZ31" s="632"/>
      <c r="BA31" s="632"/>
      <c r="BB31" s="632"/>
      <c r="BC31" s="632"/>
      <c r="BD31" s="632"/>
      <c r="BE31" s="632"/>
      <c r="BF31" s="632"/>
      <c r="BG31" s="632"/>
      <c r="BH31" s="632"/>
      <c r="BI31" s="632"/>
      <c r="BJ31" s="632"/>
      <c r="BK31" s="632"/>
      <c r="BL31" s="632"/>
      <c r="BM31" s="632"/>
      <c r="BN31" s="632"/>
      <c r="BO31" s="632"/>
      <c r="BP31" s="632"/>
      <c r="BQ31" s="632"/>
      <c r="BR31" s="632"/>
      <c r="BS31" s="632"/>
      <c r="BT31" s="632"/>
      <c r="BU31" s="632"/>
      <c r="BV31" s="632"/>
      <c r="BW31" s="632"/>
      <c r="BX31" s="632"/>
      <c r="BY31" s="632"/>
      <c r="BZ31" s="632"/>
      <c r="CA31" s="632"/>
      <c r="CB31" s="632"/>
      <c r="CC31" s="632"/>
      <c r="CD31" s="632"/>
      <c r="CE31" s="632"/>
      <c r="CF31" s="632"/>
      <c r="CG31" s="632"/>
      <c r="CH31" s="632"/>
      <c r="CI31" s="632"/>
      <c r="CJ31" s="632"/>
      <c r="CK31" s="632"/>
      <c r="CL31" s="632"/>
      <c r="CM31" s="632"/>
      <c r="CN31" s="632"/>
      <c r="CO31" s="632"/>
      <c r="CP31" s="632"/>
      <c r="CQ31" s="632"/>
      <c r="CR31" s="632"/>
      <c r="CS31" s="632"/>
      <c r="CT31" s="632"/>
      <c r="CU31" s="632"/>
      <c r="CV31" s="632"/>
      <c r="CW31" s="632"/>
      <c r="CX31" s="632"/>
      <c r="CY31" s="632"/>
      <c r="CZ31" s="632"/>
      <c r="DA31" s="632"/>
      <c r="DB31" s="632"/>
      <c r="DC31" s="632"/>
      <c r="DD31" s="632"/>
      <c r="DE31" s="632"/>
      <c r="DF31" s="632"/>
      <c r="DG31" s="632"/>
      <c r="DH31" s="632"/>
      <c r="DI31" s="632"/>
      <c r="DJ31" s="632"/>
      <c r="DK31" s="632"/>
      <c r="DL31" s="632"/>
      <c r="DM31" s="632"/>
      <c r="DN31" s="632"/>
      <c r="DO31" s="632"/>
      <c r="DP31" s="632"/>
      <c r="DQ31" s="632"/>
      <c r="DR31" s="632"/>
      <c r="DS31" s="632"/>
      <c r="DT31" s="632"/>
      <c r="DU31" s="632"/>
      <c r="DV31" s="632"/>
      <c r="DW31" s="632"/>
      <c r="DX31" s="632"/>
      <c r="DY31" s="632"/>
      <c r="DZ31" s="632"/>
      <c r="EA31" s="632"/>
      <c r="EB31" s="632"/>
      <c r="EC31" s="632"/>
      <c r="ED31" s="632"/>
      <c r="EE31" s="632"/>
      <c r="EF31" s="632"/>
      <c r="EG31" s="632"/>
      <c r="EH31" s="632"/>
      <c r="EI31" s="632"/>
      <c r="EJ31" s="632"/>
      <c r="EK31" s="632"/>
      <c r="EL31" s="632"/>
      <c r="EM31" s="632"/>
      <c r="EN31" s="632"/>
      <c r="EO31" s="632"/>
      <c r="EP31" s="632"/>
      <c r="EQ31" s="632"/>
      <c r="ER31" s="632"/>
      <c r="ES31" s="632"/>
      <c r="ET31" s="632"/>
      <c r="EU31" s="632"/>
      <c r="EV31" s="632"/>
      <c r="EW31" s="632"/>
      <c r="EX31" s="632"/>
      <c r="EY31" s="632"/>
      <c r="EZ31" s="632"/>
      <c r="FA31" s="632"/>
      <c r="FB31" s="632"/>
      <c r="FC31" s="632"/>
      <c r="FD31" s="632"/>
      <c r="FE31" s="632"/>
      <c r="FF31" s="632"/>
      <c r="FG31" s="632"/>
      <c r="FH31" s="632"/>
      <c r="FI31" s="632"/>
      <c r="FJ31" s="632"/>
      <c r="FK31" s="632"/>
      <c r="FL31" s="632"/>
      <c r="FM31" s="632"/>
      <c r="FN31" s="632"/>
      <c r="FO31" s="632"/>
      <c r="FP31" s="632"/>
      <c r="FQ31" s="632"/>
      <c r="FR31" s="632"/>
      <c r="FS31" s="632"/>
      <c r="FT31" s="632"/>
      <c r="FU31" s="632"/>
      <c r="FV31" s="632"/>
      <c r="FW31" s="632"/>
      <c r="FX31" s="632"/>
      <c r="FY31" s="632"/>
      <c r="FZ31" s="632"/>
      <c r="GA31" s="632"/>
      <c r="GB31" s="632"/>
      <c r="GC31" s="632"/>
      <c r="GD31" s="632"/>
      <c r="GE31" s="632"/>
      <c r="GF31" s="632"/>
      <c r="GG31" s="632"/>
      <c r="GH31" s="632"/>
      <c r="GI31" s="632"/>
      <c r="GJ31" s="632"/>
      <c r="GK31" s="632"/>
      <c r="GL31" s="632"/>
      <c r="GM31" s="632"/>
      <c r="GN31" s="632"/>
      <c r="GO31" s="632"/>
      <c r="GP31" s="632"/>
      <c r="GQ31" s="632"/>
      <c r="GR31" s="632"/>
      <c r="GS31" s="632"/>
      <c r="GT31" s="632"/>
      <c r="GU31" s="632"/>
      <c r="GV31" s="632"/>
      <c r="GW31" s="632"/>
      <c r="GX31" s="632"/>
      <c r="GY31" s="632"/>
      <c r="GZ31" s="632"/>
      <c r="HA31" s="632"/>
      <c r="HB31" s="632"/>
      <c r="HC31" s="632"/>
      <c r="HD31" s="632"/>
      <c r="HE31" s="632"/>
      <c r="HF31" s="632"/>
      <c r="HG31" s="632"/>
      <c r="HH31" s="632"/>
      <c r="HI31" s="632"/>
      <c r="HJ31" s="632"/>
      <c r="HK31" s="632"/>
      <c r="HL31" s="632"/>
      <c r="HM31" s="632"/>
      <c r="HN31" s="632"/>
      <c r="HO31" s="632"/>
      <c r="HP31" s="632"/>
      <c r="HQ31" s="632"/>
      <c r="HR31" s="632"/>
      <c r="HS31" s="632"/>
      <c r="HT31" s="632"/>
      <c r="HU31" s="632"/>
      <c r="HV31" s="632"/>
      <c r="HW31" s="632"/>
      <c r="HX31" s="632"/>
      <c r="HY31" s="632"/>
      <c r="HZ31" s="632"/>
      <c r="IA31" s="632"/>
      <c r="IB31" s="632"/>
      <c r="IC31" s="632"/>
      <c r="ID31" s="632"/>
      <c r="IE31" s="632"/>
      <c r="IF31" s="632"/>
      <c r="IG31" s="632"/>
      <c r="IH31" s="632"/>
      <c r="II31" s="632"/>
      <c r="IJ31" s="632"/>
      <c r="IK31" s="632"/>
      <c r="IL31" s="632"/>
      <c r="IM31" s="632"/>
      <c r="IN31" s="632"/>
      <c r="IO31" s="632"/>
      <c r="IP31" s="632"/>
      <c r="IQ31" s="632"/>
      <c r="IR31" s="632"/>
      <c r="IS31" s="632"/>
    </row>
    <row r="32" spans="1:253" s="554" customFormat="1" ht="25.5">
      <c r="A32" s="590"/>
      <c r="B32" s="628"/>
      <c r="C32" s="565"/>
      <c r="D32" s="622"/>
      <c r="E32" s="625" t="s">
        <v>1116</v>
      </c>
      <c r="F32" s="415">
        <v>58</v>
      </c>
      <c r="G32" s="578"/>
      <c r="H32" s="540"/>
      <c r="I32" s="634"/>
      <c r="J32" s="668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632"/>
      <c r="BF32" s="632"/>
      <c r="BG32" s="632"/>
      <c r="BH32" s="632"/>
      <c r="BI32" s="632"/>
      <c r="BJ32" s="632"/>
      <c r="BK32" s="632"/>
      <c r="BL32" s="632"/>
      <c r="BM32" s="632"/>
      <c r="BN32" s="632"/>
      <c r="BO32" s="632"/>
      <c r="BP32" s="632"/>
      <c r="BQ32" s="632"/>
      <c r="BR32" s="632"/>
      <c r="BS32" s="632"/>
      <c r="BT32" s="632"/>
      <c r="BU32" s="632"/>
      <c r="BV32" s="632"/>
      <c r="BW32" s="632"/>
      <c r="BX32" s="632"/>
      <c r="BY32" s="632"/>
      <c r="BZ32" s="632"/>
      <c r="CA32" s="632"/>
      <c r="CB32" s="632"/>
      <c r="CC32" s="632"/>
      <c r="CD32" s="632"/>
      <c r="CE32" s="632"/>
      <c r="CF32" s="632"/>
      <c r="CG32" s="632"/>
      <c r="CH32" s="632"/>
      <c r="CI32" s="632"/>
      <c r="CJ32" s="632"/>
      <c r="CK32" s="632"/>
      <c r="CL32" s="632"/>
      <c r="CM32" s="632"/>
      <c r="CN32" s="632"/>
      <c r="CO32" s="632"/>
      <c r="CP32" s="632"/>
      <c r="CQ32" s="632"/>
      <c r="CR32" s="632"/>
      <c r="CS32" s="632"/>
      <c r="CT32" s="632"/>
      <c r="CU32" s="632"/>
      <c r="CV32" s="632"/>
      <c r="CW32" s="632"/>
      <c r="CX32" s="632"/>
      <c r="CY32" s="632"/>
      <c r="CZ32" s="632"/>
      <c r="DA32" s="632"/>
      <c r="DB32" s="632"/>
      <c r="DC32" s="632"/>
      <c r="DD32" s="632"/>
      <c r="DE32" s="632"/>
      <c r="DF32" s="632"/>
      <c r="DG32" s="632"/>
      <c r="DH32" s="632"/>
      <c r="DI32" s="632"/>
      <c r="DJ32" s="632"/>
      <c r="DK32" s="632"/>
      <c r="DL32" s="632"/>
      <c r="DM32" s="632"/>
      <c r="DN32" s="632"/>
      <c r="DO32" s="632"/>
      <c r="DP32" s="632"/>
      <c r="DQ32" s="632"/>
      <c r="DR32" s="632"/>
      <c r="DS32" s="632"/>
      <c r="DT32" s="632"/>
      <c r="DU32" s="632"/>
      <c r="DV32" s="632"/>
      <c r="DW32" s="632"/>
      <c r="DX32" s="632"/>
      <c r="DY32" s="632"/>
      <c r="DZ32" s="632"/>
      <c r="EA32" s="632"/>
      <c r="EB32" s="632"/>
      <c r="EC32" s="632"/>
      <c r="ED32" s="632"/>
      <c r="EE32" s="632"/>
      <c r="EF32" s="632"/>
      <c r="EG32" s="632"/>
      <c r="EH32" s="632"/>
      <c r="EI32" s="632"/>
      <c r="EJ32" s="632"/>
      <c r="EK32" s="632"/>
      <c r="EL32" s="632"/>
      <c r="EM32" s="632"/>
      <c r="EN32" s="632"/>
      <c r="EO32" s="632"/>
      <c r="EP32" s="632"/>
      <c r="EQ32" s="632"/>
      <c r="ER32" s="632"/>
      <c r="ES32" s="632"/>
      <c r="ET32" s="632"/>
      <c r="EU32" s="632"/>
      <c r="EV32" s="632"/>
      <c r="EW32" s="632"/>
      <c r="EX32" s="632"/>
      <c r="EY32" s="632"/>
      <c r="EZ32" s="632"/>
      <c r="FA32" s="632"/>
      <c r="FB32" s="632"/>
      <c r="FC32" s="632"/>
      <c r="FD32" s="632"/>
      <c r="FE32" s="632"/>
      <c r="FF32" s="632"/>
      <c r="FG32" s="632"/>
      <c r="FH32" s="632"/>
      <c r="FI32" s="632"/>
      <c r="FJ32" s="632"/>
      <c r="FK32" s="632"/>
      <c r="FL32" s="632"/>
      <c r="FM32" s="632"/>
      <c r="FN32" s="632"/>
      <c r="FO32" s="632"/>
      <c r="FP32" s="632"/>
      <c r="FQ32" s="632"/>
      <c r="FR32" s="632"/>
      <c r="FS32" s="632"/>
      <c r="FT32" s="632"/>
      <c r="FU32" s="632"/>
      <c r="FV32" s="632"/>
      <c r="FW32" s="632"/>
      <c r="FX32" s="632"/>
      <c r="FY32" s="632"/>
      <c r="FZ32" s="632"/>
      <c r="GA32" s="632"/>
      <c r="GB32" s="632"/>
      <c r="GC32" s="632"/>
      <c r="GD32" s="632"/>
      <c r="GE32" s="632"/>
      <c r="GF32" s="632"/>
      <c r="GG32" s="632"/>
      <c r="GH32" s="632"/>
      <c r="GI32" s="632"/>
      <c r="GJ32" s="632"/>
      <c r="GK32" s="632"/>
      <c r="GL32" s="632"/>
      <c r="GM32" s="632"/>
      <c r="GN32" s="632"/>
      <c r="GO32" s="632"/>
      <c r="GP32" s="632"/>
      <c r="GQ32" s="632"/>
      <c r="GR32" s="632"/>
      <c r="GS32" s="632"/>
      <c r="GT32" s="632"/>
      <c r="GU32" s="632"/>
      <c r="GV32" s="632"/>
      <c r="GW32" s="632"/>
      <c r="GX32" s="632"/>
      <c r="GY32" s="632"/>
      <c r="GZ32" s="632"/>
      <c r="HA32" s="632"/>
      <c r="HB32" s="632"/>
      <c r="HC32" s="632"/>
      <c r="HD32" s="632"/>
      <c r="HE32" s="632"/>
      <c r="HF32" s="632"/>
      <c r="HG32" s="632"/>
      <c r="HH32" s="632"/>
      <c r="HI32" s="632"/>
      <c r="HJ32" s="632"/>
      <c r="HK32" s="632"/>
      <c r="HL32" s="632"/>
      <c r="HM32" s="632"/>
      <c r="HN32" s="632"/>
      <c r="HO32" s="632"/>
      <c r="HP32" s="632"/>
      <c r="HQ32" s="632"/>
      <c r="HR32" s="632"/>
      <c r="HS32" s="632"/>
      <c r="HT32" s="632"/>
      <c r="HU32" s="632"/>
      <c r="HV32" s="632"/>
      <c r="HW32" s="632"/>
      <c r="HX32" s="632"/>
      <c r="HY32" s="632"/>
      <c r="HZ32" s="632"/>
      <c r="IA32" s="632"/>
      <c r="IB32" s="632"/>
      <c r="IC32" s="632"/>
      <c r="ID32" s="632"/>
      <c r="IE32" s="632"/>
      <c r="IF32" s="632"/>
      <c r="IG32" s="632"/>
      <c r="IH32" s="632"/>
      <c r="II32" s="632"/>
      <c r="IJ32" s="632"/>
      <c r="IK32" s="632"/>
      <c r="IL32" s="632"/>
      <c r="IM32" s="632"/>
      <c r="IN32" s="632"/>
      <c r="IO32" s="632"/>
      <c r="IP32" s="632"/>
      <c r="IQ32" s="632"/>
      <c r="IR32" s="632"/>
      <c r="IS32" s="632"/>
    </row>
    <row r="33" spans="1:253" s="554" customFormat="1">
      <c r="A33" s="590"/>
      <c r="B33" s="628"/>
      <c r="C33" s="565"/>
      <c r="D33" s="622"/>
      <c r="E33" s="625" t="s">
        <v>1117</v>
      </c>
      <c r="F33" s="415"/>
      <c r="G33" s="578"/>
      <c r="H33" s="540"/>
      <c r="I33" s="634"/>
      <c r="J33" s="668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  <c r="AY33" s="632"/>
      <c r="AZ33" s="632"/>
      <c r="BA33" s="632"/>
      <c r="BB33" s="632"/>
      <c r="BC33" s="632"/>
      <c r="BD33" s="632"/>
      <c r="BE33" s="632"/>
      <c r="BF33" s="632"/>
      <c r="BG33" s="632"/>
      <c r="BH33" s="632"/>
      <c r="BI33" s="632"/>
      <c r="BJ33" s="632"/>
      <c r="BK33" s="632"/>
      <c r="BL33" s="632"/>
      <c r="BM33" s="632"/>
      <c r="BN33" s="632"/>
      <c r="BO33" s="632"/>
      <c r="BP33" s="632"/>
      <c r="BQ33" s="632"/>
      <c r="BR33" s="632"/>
      <c r="BS33" s="632"/>
      <c r="BT33" s="632"/>
      <c r="BU33" s="632"/>
      <c r="BV33" s="632"/>
      <c r="BW33" s="632"/>
      <c r="BX33" s="632"/>
      <c r="BY33" s="632"/>
      <c r="BZ33" s="632"/>
      <c r="CA33" s="632"/>
      <c r="CB33" s="632"/>
      <c r="CC33" s="632"/>
      <c r="CD33" s="632"/>
      <c r="CE33" s="632"/>
      <c r="CF33" s="632"/>
      <c r="CG33" s="632"/>
      <c r="CH33" s="632"/>
      <c r="CI33" s="632"/>
      <c r="CJ33" s="632"/>
      <c r="CK33" s="632"/>
      <c r="CL33" s="632"/>
      <c r="CM33" s="632"/>
      <c r="CN33" s="632"/>
      <c r="CO33" s="632"/>
      <c r="CP33" s="632"/>
      <c r="CQ33" s="632"/>
      <c r="CR33" s="632"/>
      <c r="CS33" s="632"/>
      <c r="CT33" s="632"/>
      <c r="CU33" s="632"/>
      <c r="CV33" s="632"/>
      <c r="CW33" s="632"/>
      <c r="CX33" s="632"/>
      <c r="CY33" s="632"/>
      <c r="CZ33" s="632"/>
      <c r="DA33" s="632"/>
      <c r="DB33" s="632"/>
      <c r="DC33" s="632"/>
      <c r="DD33" s="632"/>
      <c r="DE33" s="632"/>
      <c r="DF33" s="632"/>
      <c r="DG33" s="632"/>
      <c r="DH33" s="632"/>
      <c r="DI33" s="632"/>
      <c r="DJ33" s="632"/>
      <c r="DK33" s="632"/>
      <c r="DL33" s="632"/>
      <c r="DM33" s="632"/>
      <c r="DN33" s="632"/>
      <c r="DO33" s="632"/>
      <c r="DP33" s="632"/>
      <c r="DQ33" s="632"/>
      <c r="DR33" s="632"/>
      <c r="DS33" s="632"/>
      <c r="DT33" s="632"/>
      <c r="DU33" s="632"/>
      <c r="DV33" s="632"/>
      <c r="DW33" s="632"/>
      <c r="DX33" s="632"/>
      <c r="DY33" s="632"/>
      <c r="DZ33" s="632"/>
      <c r="EA33" s="632"/>
      <c r="EB33" s="632"/>
      <c r="EC33" s="632"/>
      <c r="ED33" s="632"/>
      <c r="EE33" s="632"/>
      <c r="EF33" s="632"/>
      <c r="EG33" s="632"/>
      <c r="EH33" s="632"/>
      <c r="EI33" s="632"/>
      <c r="EJ33" s="632"/>
      <c r="EK33" s="632"/>
      <c r="EL33" s="632"/>
      <c r="EM33" s="632"/>
      <c r="EN33" s="632"/>
      <c r="EO33" s="632"/>
      <c r="EP33" s="632"/>
      <c r="EQ33" s="632"/>
      <c r="ER33" s="632"/>
      <c r="ES33" s="632"/>
      <c r="ET33" s="632"/>
      <c r="EU33" s="632"/>
      <c r="EV33" s="632"/>
      <c r="EW33" s="632"/>
      <c r="EX33" s="632"/>
      <c r="EY33" s="632"/>
      <c r="EZ33" s="632"/>
      <c r="FA33" s="632"/>
      <c r="FB33" s="632"/>
      <c r="FC33" s="632"/>
      <c r="FD33" s="632"/>
      <c r="FE33" s="632"/>
      <c r="FF33" s="632"/>
      <c r="FG33" s="632"/>
      <c r="FH33" s="632"/>
      <c r="FI33" s="632"/>
      <c r="FJ33" s="632"/>
      <c r="FK33" s="632"/>
      <c r="FL33" s="632"/>
      <c r="FM33" s="632"/>
      <c r="FN33" s="632"/>
      <c r="FO33" s="632"/>
      <c r="FP33" s="632"/>
      <c r="FQ33" s="632"/>
      <c r="FR33" s="632"/>
      <c r="FS33" s="632"/>
      <c r="FT33" s="632"/>
      <c r="FU33" s="632"/>
      <c r="FV33" s="632"/>
      <c r="FW33" s="632"/>
      <c r="FX33" s="632"/>
      <c r="FY33" s="632"/>
      <c r="FZ33" s="632"/>
      <c r="GA33" s="632"/>
      <c r="GB33" s="632"/>
      <c r="GC33" s="632"/>
      <c r="GD33" s="632"/>
      <c r="GE33" s="632"/>
      <c r="GF33" s="632"/>
      <c r="GG33" s="632"/>
      <c r="GH33" s="632"/>
      <c r="GI33" s="632"/>
      <c r="GJ33" s="632"/>
      <c r="GK33" s="632"/>
      <c r="GL33" s="632"/>
      <c r="GM33" s="632"/>
      <c r="GN33" s="632"/>
      <c r="GO33" s="632"/>
      <c r="GP33" s="632"/>
      <c r="GQ33" s="632"/>
      <c r="GR33" s="632"/>
      <c r="GS33" s="632"/>
      <c r="GT33" s="632"/>
      <c r="GU33" s="632"/>
      <c r="GV33" s="632"/>
      <c r="GW33" s="632"/>
      <c r="GX33" s="632"/>
      <c r="GY33" s="632"/>
      <c r="GZ33" s="632"/>
      <c r="HA33" s="632"/>
      <c r="HB33" s="632"/>
      <c r="HC33" s="632"/>
      <c r="HD33" s="632"/>
      <c r="HE33" s="632"/>
      <c r="HF33" s="632"/>
      <c r="HG33" s="632"/>
      <c r="HH33" s="632"/>
      <c r="HI33" s="632"/>
      <c r="HJ33" s="632"/>
      <c r="HK33" s="632"/>
      <c r="HL33" s="632"/>
      <c r="HM33" s="632"/>
      <c r="HN33" s="632"/>
      <c r="HO33" s="632"/>
      <c r="HP33" s="632"/>
      <c r="HQ33" s="632"/>
      <c r="HR33" s="632"/>
      <c r="HS33" s="632"/>
      <c r="HT33" s="632"/>
      <c r="HU33" s="632"/>
      <c r="HV33" s="632"/>
      <c r="HW33" s="632"/>
      <c r="HX33" s="632"/>
      <c r="HY33" s="632"/>
      <c r="HZ33" s="632"/>
      <c r="IA33" s="632"/>
      <c r="IB33" s="632"/>
      <c r="IC33" s="632"/>
      <c r="ID33" s="632"/>
      <c r="IE33" s="632"/>
      <c r="IF33" s="632"/>
      <c r="IG33" s="632"/>
      <c r="IH33" s="632"/>
      <c r="II33" s="632"/>
      <c r="IJ33" s="632"/>
      <c r="IK33" s="632"/>
      <c r="IL33" s="632"/>
      <c r="IM33" s="632"/>
      <c r="IN33" s="632"/>
      <c r="IO33" s="632"/>
      <c r="IP33" s="632"/>
      <c r="IQ33" s="632"/>
      <c r="IR33" s="632"/>
      <c r="IS33" s="632"/>
    </row>
    <row r="34" spans="1:253" s="554" customFormat="1">
      <c r="A34" s="590"/>
      <c r="B34" s="628"/>
      <c r="C34" s="565"/>
      <c r="D34" s="550"/>
      <c r="E34" s="623"/>
      <c r="F34" s="624"/>
      <c r="G34" s="578"/>
      <c r="H34" s="540"/>
      <c r="I34" s="634"/>
      <c r="J34" s="668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632"/>
      <c r="AE34" s="632"/>
      <c r="AF34" s="632"/>
      <c r="AG34" s="632"/>
      <c r="AH34" s="632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  <c r="AY34" s="632"/>
      <c r="AZ34" s="632"/>
      <c r="BA34" s="632"/>
      <c r="BB34" s="632"/>
      <c r="BC34" s="632"/>
      <c r="BD34" s="632"/>
      <c r="BE34" s="632"/>
      <c r="BF34" s="632"/>
      <c r="BG34" s="632"/>
      <c r="BH34" s="632"/>
      <c r="BI34" s="632"/>
      <c r="BJ34" s="632"/>
      <c r="BK34" s="632"/>
      <c r="BL34" s="632"/>
      <c r="BM34" s="632"/>
      <c r="BN34" s="632"/>
      <c r="BO34" s="632"/>
      <c r="BP34" s="632"/>
      <c r="BQ34" s="632"/>
      <c r="BR34" s="632"/>
      <c r="BS34" s="632"/>
      <c r="BT34" s="632"/>
      <c r="BU34" s="632"/>
      <c r="BV34" s="632"/>
      <c r="BW34" s="632"/>
      <c r="BX34" s="632"/>
      <c r="BY34" s="632"/>
      <c r="BZ34" s="632"/>
      <c r="CA34" s="632"/>
      <c r="CB34" s="632"/>
      <c r="CC34" s="632"/>
      <c r="CD34" s="632"/>
      <c r="CE34" s="632"/>
      <c r="CF34" s="632"/>
      <c r="CG34" s="632"/>
      <c r="CH34" s="632"/>
      <c r="CI34" s="632"/>
      <c r="CJ34" s="632"/>
      <c r="CK34" s="632"/>
      <c r="CL34" s="632"/>
      <c r="CM34" s="632"/>
      <c r="CN34" s="632"/>
      <c r="CO34" s="632"/>
      <c r="CP34" s="632"/>
      <c r="CQ34" s="632"/>
      <c r="CR34" s="632"/>
      <c r="CS34" s="632"/>
      <c r="CT34" s="632"/>
      <c r="CU34" s="632"/>
      <c r="CV34" s="632"/>
      <c r="CW34" s="632"/>
      <c r="CX34" s="632"/>
      <c r="CY34" s="632"/>
      <c r="CZ34" s="632"/>
      <c r="DA34" s="632"/>
      <c r="DB34" s="632"/>
      <c r="DC34" s="632"/>
      <c r="DD34" s="632"/>
      <c r="DE34" s="632"/>
      <c r="DF34" s="632"/>
      <c r="DG34" s="632"/>
      <c r="DH34" s="632"/>
      <c r="DI34" s="632"/>
      <c r="DJ34" s="632"/>
      <c r="DK34" s="632"/>
      <c r="DL34" s="632"/>
      <c r="DM34" s="632"/>
      <c r="DN34" s="632"/>
      <c r="DO34" s="632"/>
      <c r="DP34" s="632"/>
      <c r="DQ34" s="632"/>
      <c r="DR34" s="632"/>
      <c r="DS34" s="632"/>
      <c r="DT34" s="632"/>
      <c r="DU34" s="632"/>
      <c r="DV34" s="632"/>
      <c r="DW34" s="632"/>
      <c r="DX34" s="632"/>
      <c r="DY34" s="632"/>
      <c r="DZ34" s="632"/>
      <c r="EA34" s="632"/>
      <c r="EB34" s="632"/>
      <c r="EC34" s="632"/>
      <c r="ED34" s="632"/>
      <c r="EE34" s="632"/>
      <c r="EF34" s="632"/>
      <c r="EG34" s="632"/>
      <c r="EH34" s="632"/>
      <c r="EI34" s="632"/>
      <c r="EJ34" s="632"/>
      <c r="EK34" s="632"/>
      <c r="EL34" s="632"/>
      <c r="EM34" s="632"/>
      <c r="EN34" s="632"/>
      <c r="EO34" s="632"/>
      <c r="EP34" s="632"/>
      <c r="EQ34" s="632"/>
      <c r="ER34" s="632"/>
      <c r="ES34" s="632"/>
      <c r="ET34" s="632"/>
      <c r="EU34" s="632"/>
      <c r="EV34" s="632"/>
      <c r="EW34" s="632"/>
      <c r="EX34" s="632"/>
      <c r="EY34" s="632"/>
      <c r="EZ34" s="632"/>
      <c r="FA34" s="632"/>
      <c r="FB34" s="632"/>
      <c r="FC34" s="632"/>
      <c r="FD34" s="632"/>
      <c r="FE34" s="632"/>
      <c r="FF34" s="632"/>
      <c r="FG34" s="632"/>
      <c r="FH34" s="632"/>
      <c r="FI34" s="632"/>
      <c r="FJ34" s="632"/>
      <c r="FK34" s="632"/>
      <c r="FL34" s="632"/>
      <c r="FM34" s="632"/>
      <c r="FN34" s="632"/>
      <c r="FO34" s="632"/>
      <c r="FP34" s="632"/>
      <c r="FQ34" s="632"/>
      <c r="FR34" s="632"/>
      <c r="FS34" s="632"/>
      <c r="FT34" s="632"/>
      <c r="FU34" s="632"/>
      <c r="FV34" s="632"/>
      <c r="FW34" s="632"/>
      <c r="FX34" s="632"/>
      <c r="FY34" s="632"/>
      <c r="FZ34" s="632"/>
      <c r="GA34" s="632"/>
      <c r="GB34" s="632"/>
      <c r="GC34" s="632"/>
      <c r="GD34" s="632"/>
      <c r="GE34" s="632"/>
      <c r="GF34" s="632"/>
      <c r="GG34" s="632"/>
      <c r="GH34" s="632"/>
      <c r="GI34" s="632"/>
      <c r="GJ34" s="632"/>
      <c r="GK34" s="632"/>
      <c r="GL34" s="632"/>
      <c r="GM34" s="632"/>
      <c r="GN34" s="632"/>
      <c r="GO34" s="632"/>
      <c r="GP34" s="632"/>
      <c r="GQ34" s="632"/>
      <c r="GR34" s="632"/>
      <c r="GS34" s="632"/>
      <c r="GT34" s="632"/>
      <c r="GU34" s="632"/>
      <c r="GV34" s="632"/>
      <c r="GW34" s="632"/>
      <c r="GX34" s="632"/>
      <c r="GY34" s="632"/>
      <c r="GZ34" s="632"/>
      <c r="HA34" s="632"/>
      <c r="HB34" s="632"/>
      <c r="HC34" s="632"/>
      <c r="HD34" s="632"/>
      <c r="HE34" s="632"/>
      <c r="HF34" s="632"/>
      <c r="HG34" s="632"/>
      <c r="HH34" s="632"/>
      <c r="HI34" s="632"/>
      <c r="HJ34" s="632"/>
      <c r="HK34" s="632"/>
      <c r="HL34" s="632"/>
      <c r="HM34" s="632"/>
      <c r="HN34" s="632"/>
      <c r="HO34" s="632"/>
      <c r="HP34" s="632"/>
      <c r="HQ34" s="632"/>
      <c r="HR34" s="632"/>
      <c r="HS34" s="632"/>
      <c r="HT34" s="632"/>
      <c r="HU34" s="632"/>
      <c r="HV34" s="632"/>
      <c r="HW34" s="632"/>
      <c r="HX34" s="632"/>
      <c r="HY34" s="632"/>
      <c r="HZ34" s="632"/>
      <c r="IA34" s="632"/>
      <c r="IB34" s="632"/>
      <c r="IC34" s="632"/>
      <c r="ID34" s="632"/>
      <c r="IE34" s="632"/>
      <c r="IF34" s="632"/>
      <c r="IG34" s="632"/>
      <c r="IH34" s="632"/>
      <c r="II34" s="632"/>
      <c r="IJ34" s="632"/>
      <c r="IK34" s="632"/>
      <c r="IL34" s="632"/>
      <c r="IM34" s="632"/>
      <c r="IN34" s="632"/>
      <c r="IO34" s="632"/>
      <c r="IP34" s="632"/>
      <c r="IQ34" s="632"/>
      <c r="IR34" s="632"/>
      <c r="IS34" s="632"/>
    </row>
    <row r="35" spans="1:253" s="548" customFormat="1">
      <c r="A35" s="524">
        <f>MAX(A$1:A34)+1</f>
        <v>6</v>
      </c>
      <c r="B35" s="609"/>
      <c r="C35" s="610" t="s">
        <v>835</v>
      </c>
      <c r="D35" s="565"/>
      <c r="E35" s="551" t="s">
        <v>1032</v>
      </c>
      <c r="F35" s="611"/>
      <c r="G35" s="575" t="s">
        <v>8</v>
      </c>
      <c r="H35" s="560">
        <f>H36</f>
        <v>12</v>
      </c>
      <c r="I35" s="658"/>
      <c r="J35" s="454">
        <f>H35*I35</f>
        <v>0</v>
      </c>
      <c r="K35" s="561"/>
      <c r="L35" s="558"/>
      <c r="M35" s="558"/>
      <c r="N35" s="639"/>
      <c r="O35" s="639"/>
      <c r="P35" s="639"/>
      <c r="Q35" s="639"/>
      <c r="R35" s="639"/>
      <c r="S35" s="639"/>
      <c r="T35" s="639"/>
      <c r="U35" s="639"/>
      <c r="V35" s="639"/>
      <c r="W35" s="639"/>
      <c r="X35" s="639"/>
      <c r="Y35" s="639"/>
      <c r="Z35" s="639"/>
      <c r="AA35" s="639"/>
      <c r="AB35" s="639"/>
      <c r="AC35" s="639"/>
      <c r="AD35" s="639"/>
      <c r="AE35" s="639"/>
      <c r="AF35" s="639"/>
      <c r="AG35" s="639"/>
      <c r="AH35" s="639"/>
      <c r="AI35" s="639"/>
      <c r="AJ35" s="639"/>
      <c r="AK35" s="639"/>
      <c r="AL35" s="639"/>
      <c r="AM35" s="639"/>
      <c r="AN35" s="639"/>
      <c r="AO35" s="639"/>
      <c r="AP35" s="639"/>
      <c r="AQ35" s="639"/>
      <c r="AR35" s="639"/>
      <c r="AS35" s="639"/>
      <c r="AT35" s="639"/>
      <c r="AU35" s="639"/>
      <c r="AV35" s="639"/>
      <c r="AW35" s="639"/>
      <c r="AX35" s="639"/>
      <c r="AY35" s="639"/>
      <c r="AZ35" s="639"/>
      <c r="BA35" s="639"/>
      <c r="BB35" s="639"/>
      <c r="BC35" s="639"/>
      <c r="BD35" s="639"/>
      <c r="BE35" s="639"/>
      <c r="BF35" s="639"/>
      <c r="BG35" s="639"/>
      <c r="BH35" s="639"/>
      <c r="BI35" s="639"/>
      <c r="BJ35" s="639"/>
      <c r="BK35" s="639"/>
      <c r="BL35" s="639"/>
      <c r="BM35" s="639"/>
      <c r="BN35" s="639"/>
      <c r="BO35" s="639"/>
      <c r="BP35" s="639"/>
      <c r="BQ35" s="639"/>
      <c r="BR35" s="639"/>
      <c r="BS35" s="639"/>
      <c r="BT35" s="639"/>
      <c r="BU35" s="639"/>
      <c r="BV35" s="639"/>
      <c r="BW35" s="639"/>
      <c r="BX35" s="639"/>
      <c r="BY35" s="639"/>
      <c r="BZ35" s="639"/>
      <c r="CA35" s="639"/>
      <c r="CB35" s="639"/>
      <c r="CC35" s="639"/>
      <c r="CD35" s="639"/>
      <c r="CE35" s="639"/>
      <c r="CF35" s="639"/>
      <c r="CG35" s="639"/>
      <c r="CH35" s="639"/>
      <c r="CI35" s="639"/>
      <c r="CJ35" s="639"/>
      <c r="CK35" s="639"/>
      <c r="CL35" s="639"/>
      <c r="CM35" s="639"/>
      <c r="CN35" s="639"/>
      <c r="CO35" s="639"/>
      <c r="CP35" s="639"/>
      <c r="CQ35" s="639"/>
      <c r="CR35" s="639"/>
      <c r="CS35" s="639"/>
      <c r="CT35" s="639"/>
      <c r="CU35" s="639"/>
      <c r="CV35" s="639"/>
      <c r="CW35" s="639"/>
      <c r="CX35" s="639"/>
      <c r="CY35" s="639"/>
      <c r="CZ35" s="639"/>
      <c r="DA35" s="639"/>
      <c r="DB35" s="639"/>
      <c r="DC35" s="639"/>
      <c r="DD35" s="639"/>
      <c r="DE35" s="639"/>
      <c r="DF35" s="639"/>
      <c r="DG35" s="639"/>
      <c r="DH35" s="639"/>
      <c r="DI35" s="639"/>
      <c r="DJ35" s="639"/>
      <c r="DK35" s="639"/>
      <c r="DL35" s="639"/>
      <c r="DM35" s="639"/>
      <c r="DN35" s="639"/>
      <c r="DO35" s="639"/>
      <c r="DP35" s="639"/>
      <c r="DQ35" s="639"/>
      <c r="DR35" s="639"/>
      <c r="DS35" s="639"/>
      <c r="DT35" s="639"/>
      <c r="DU35" s="639"/>
      <c r="DV35" s="639"/>
      <c r="DW35" s="639"/>
      <c r="DX35" s="639"/>
      <c r="DY35" s="639"/>
      <c r="DZ35" s="639"/>
      <c r="EA35" s="639"/>
      <c r="EB35" s="639"/>
      <c r="EC35" s="639"/>
      <c r="ED35" s="639"/>
      <c r="EE35" s="639"/>
      <c r="EF35" s="639"/>
      <c r="EG35" s="639"/>
      <c r="EH35" s="639"/>
      <c r="EI35" s="639"/>
      <c r="EJ35" s="639"/>
      <c r="EK35" s="639"/>
      <c r="EL35" s="639"/>
      <c r="EM35" s="639"/>
      <c r="EN35" s="639"/>
      <c r="EO35" s="639"/>
      <c r="EP35" s="639"/>
      <c r="EQ35" s="639"/>
      <c r="ER35" s="639"/>
      <c r="ES35" s="639"/>
      <c r="ET35" s="639"/>
      <c r="EU35" s="639"/>
      <c r="EV35" s="639"/>
      <c r="EW35" s="639"/>
      <c r="EX35" s="639"/>
      <c r="EY35" s="639"/>
      <c r="EZ35" s="639"/>
      <c r="FA35" s="639"/>
      <c r="FB35" s="639"/>
      <c r="FC35" s="639"/>
      <c r="FD35" s="639"/>
      <c r="FE35" s="639"/>
      <c r="FF35" s="639"/>
      <c r="FG35" s="639"/>
      <c r="FH35" s="639"/>
      <c r="FI35" s="639"/>
      <c r="FJ35" s="639"/>
      <c r="FK35" s="639"/>
      <c r="FL35" s="639"/>
      <c r="FM35" s="639"/>
      <c r="FN35" s="639"/>
      <c r="FO35" s="639"/>
      <c r="FP35" s="639"/>
      <c r="FQ35" s="639"/>
      <c r="FR35" s="639"/>
      <c r="FS35" s="639"/>
      <c r="FT35" s="639"/>
      <c r="FU35" s="639"/>
      <c r="FV35" s="639"/>
      <c r="FW35" s="639"/>
      <c r="FX35" s="639"/>
      <c r="FY35" s="639"/>
      <c r="FZ35" s="639"/>
      <c r="GA35" s="639"/>
      <c r="GB35" s="639"/>
      <c r="GC35" s="639"/>
      <c r="GD35" s="639"/>
      <c r="GE35" s="639"/>
      <c r="GF35" s="639"/>
      <c r="GG35" s="639"/>
      <c r="GH35" s="639"/>
      <c r="GI35" s="639"/>
      <c r="GJ35" s="639"/>
      <c r="GK35" s="639"/>
      <c r="GL35" s="639"/>
      <c r="GM35" s="639"/>
      <c r="GN35" s="639"/>
      <c r="GO35" s="639"/>
      <c r="GP35" s="639"/>
      <c r="GQ35" s="639"/>
      <c r="GR35" s="639"/>
      <c r="GS35" s="639"/>
      <c r="GT35" s="639"/>
      <c r="GU35" s="639"/>
      <c r="GV35" s="639"/>
      <c r="GW35" s="639"/>
      <c r="GX35" s="639"/>
      <c r="GY35" s="639"/>
      <c r="GZ35" s="639"/>
      <c r="HA35" s="639"/>
      <c r="HB35" s="639"/>
      <c r="HC35" s="639"/>
      <c r="HD35" s="639"/>
      <c r="HE35" s="639"/>
      <c r="HF35" s="639"/>
      <c r="HG35" s="639"/>
      <c r="HH35" s="639"/>
      <c r="HI35" s="639"/>
      <c r="HJ35" s="639"/>
      <c r="HK35" s="639"/>
      <c r="HL35" s="639"/>
      <c r="HM35" s="639"/>
      <c r="HN35" s="639"/>
      <c r="HO35" s="639"/>
      <c r="HP35" s="639"/>
      <c r="HQ35" s="639"/>
      <c r="HR35" s="639"/>
      <c r="HS35" s="639"/>
      <c r="HT35" s="639"/>
      <c r="HU35" s="639"/>
      <c r="HV35" s="639"/>
      <c r="HW35" s="639"/>
      <c r="HX35" s="639"/>
      <c r="HY35" s="639"/>
      <c r="HZ35" s="639"/>
      <c r="IA35" s="639"/>
      <c r="IB35" s="639"/>
      <c r="IC35" s="639"/>
      <c r="ID35" s="639"/>
      <c r="IE35" s="639"/>
      <c r="IF35" s="639"/>
      <c r="IG35" s="639"/>
      <c r="IH35" s="639"/>
      <c r="II35" s="639"/>
      <c r="IJ35" s="639"/>
      <c r="IK35" s="639"/>
      <c r="IL35" s="639"/>
      <c r="IM35" s="639"/>
      <c r="IN35" s="639"/>
      <c r="IO35" s="639"/>
      <c r="IP35" s="639"/>
      <c r="IQ35" s="639"/>
      <c r="IR35" s="639"/>
      <c r="IS35" s="639"/>
    </row>
    <row r="36" spans="1:253" s="554" customFormat="1" ht="25.5">
      <c r="A36" s="590"/>
      <c r="B36" s="628"/>
      <c r="C36" s="550"/>
      <c r="D36" s="622" t="s">
        <v>837</v>
      </c>
      <c r="E36" s="623" t="s">
        <v>1033</v>
      </c>
      <c r="F36" s="624"/>
      <c r="G36" s="578" t="s">
        <v>8</v>
      </c>
      <c r="H36" s="570">
        <v>12</v>
      </c>
      <c r="I36" s="614"/>
      <c r="J36" s="667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  <c r="AX36" s="632"/>
      <c r="AY36" s="632"/>
      <c r="AZ36" s="632"/>
      <c r="BA36" s="632"/>
      <c r="BB36" s="632"/>
      <c r="BC36" s="632"/>
      <c r="BD36" s="632"/>
      <c r="BE36" s="632"/>
      <c r="BF36" s="632"/>
      <c r="BG36" s="632"/>
      <c r="BH36" s="632"/>
      <c r="BI36" s="632"/>
      <c r="BJ36" s="632"/>
      <c r="BK36" s="632"/>
      <c r="BL36" s="632"/>
      <c r="BM36" s="632"/>
      <c r="BN36" s="632"/>
      <c r="BO36" s="632"/>
      <c r="BP36" s="632"/>
      <c r="BQ36" s="632"/>
      <c r="BR36" s="632"/>
      <c r="BS36" s="632"/>
      <c r="BT36" s="632"/>
      <c r="BU36" s="632"/>
      <c r="BV36" s="632"/>
      <c r="BW36" s="632"/>
      <c r="BX36" s="632"/>
      <c r="BY36" s="632"/>
      <c r="BZ36" s="632"/>
      <c r="CA36" s="632"/>
      <c r="CB36" s="632"/>
      <c r="CC36" s="632"/>
      <c r="CD36" s="632"/>
      <c r="CE36" s="632"/>
      <c r="CF36" s="632"/>
      <c r="CG36" s="632"/>
      <c r="CH36" s="632"/>
      <c r="CI36" s="632"/>
      <c r="CJ36" s="632"/>
      <c r="CK36" s="632"/>
      <c r="CL36" s="632"/>
      <c r="CM36" s="632"/>
      <c r="CN36" s="632"/>
      <c r="CO36" s="632"/>
      <c r="CP36" s="632"/>
      <c r="CQ36" s="632"/>
      <c r="CR36" s="632"/>
      <c r="CS36" s="632"/>
      <c r="CT36" s="632"/>
      <c r="CU36" s="632"/>
      <c r="CV36" s="632"/>
      <c r="CW36" s="632"/>
      <c r="CX36" s="632"/>
      <c r="CY36" s="632"/>
      <c r="CZ36" s="632"/>
      <c r="DA36" s="632"/>
      <c r="DB36" s="632"/>
      <c r="DC36" s="632"/>
      <c r="DD36" s="632"/>
      <c r="DE36" s="632"/>
      <c r="DF36" s="632"/>
      <c r="DG36" s="632"/>
      <c r="DH36" s="632"/>
      <c r="DI36" s="632"/>
      <c r="DJ36" s="632"/>
      <c r="DK36" s="632"/>
      <c r="DL36" s="632"/>
      <c r="DM36" s="632"/>
      <c r="DN36" s="632"/>
      <c r="DO36" s="632"/>
      <c r="DP36" s="632"/>
      <c r="DQ36" s="632"/>
      <c r="DR36" s="632"/>
      <c r="DS36" s="632"/>
      <c r="DT36" s="632"/>
      <c r="DU36" s="632"/>
      <c r="DV36" s="632"/>
      <c r="DW36" s="632"/>
      <c r="DX36" s="632"/>
      <c r="DY36" s="632"/>
      <c r="DZ36" s="632"/>
      <c r="EA36" s="632"/>
      <c r="EB36" s="632"/>
      <c r="EC36" s="632"/>
      <c r="ED36" s="632"/>
      <c r="EE36" s="632"/>
      <c r="EF36" s="632"/>
      <c r="EG36" s="632"/>
      <c r="EH36" s="632"/>
      <c r="EI36" s="632"/>
      <c r="EJ36" s="632"/>
      <c r="EK36" s="632"/>
      <c r="EL36" s="632"/>
      <c r="EM36" s="632"/>
      <c r="EN36" s="632"/>
      <c r="EO36" s="632"/>
      <c r="EP36" s="632"/>
      <c r="EQ36" s="632"/>
      <c r="ER36" s="632"/>
      <c r="ES36" s="632"/>
      <c r="ET36" s="632"/>
      <c r="EU36" s="632"/>
      <c r="EV36" s="632"/>
      <c r="EW36" s="632"/>
      <c r="EX36" s="632"/>
      <c r="EY36" s="632"/>
      <c r="EZ36" s="632"/>
      <c r="FA36" s="632"/>
      <c r="FB36" s="632"/>
      <c r="FC36" s="632"/>
      <c r="FD36" s="632"/>
      <c r="FE36" s="632"/>
      <c r="FF36" s="632"/>
      <c r="FG36" s="632"/>
      <c r="FH36" s="632"/>
      <c r="FI36" s="632"/>
      <c r="FJ36" s="632"/>
      <c r="FK36" s="632"/>
      <c r="FL36" s="632"/>
      <c r="FM36" s="632"/>
      <c r="FN36" s="632"/>
      <c r="FO36" s="632"/>
      <c r="FP36" s="632"/>
      <c r="FQ36" s="632"/>
      <c r="FR36" s="632"/>
      <c r="FS36" s="632"/>
      <c r="FT36" s="632"/>
      <c r="FU36" s="632"/>
      <c r="FV36" s="632"/>
      <c r="FW36" s="632"/>
      <c r="FX36" s="632"/>
      <c r="FY36" s="632"/>
      <c r="FZ36" s="632"/>
      <c r="GA36" s="632"/>
      <c r="GB36" s="632"/>
      <c r="GC36" s="632"/>
      <c r="GD36" s="632"/>
      <c r="GE36" s="632"/>
      <c r="GF36" s="632"/>
      <c r="GG36" s="632"/>
      <c r="GH36" s="632"/>
      <c r="GI36" s="632"/>
      <c r="GJ36" s="632"/>
      <c r="GK36" s="632"/>
      <c r="GL36" s="632"/>
      <c r="GM36" s="632"/>
      <c r="GN36" s="632"/>
      <c r="GO36" s="632"/>
      <c r="GP36" s="632"/>
      <c r="GQ36" s="632"/>
      <c r="GR36" s="632"/>
      <c r="GS36" s="632"/>
      <c r="GT36" s="632"/>
      <c r="GU36" s="632"/>
      <c r="GV36" s="632"/>
      <c r="GW36" s="632"/>
      <c r="GX36" s="632"/>
      <c r="GY36" s="632"/>
      <c r="GZ36" s="632"/>
      <c r="HA36" s="632"/>
      <c r="HB36" s="632"/>
      <c r="HC36" s="632"/>
      <c r="HD36" s="632"/>
      <c r="HE36" s="632"/>
      <c r="HF36" s="632"/>
      <c r="HG36" s="632"/>
      <c r="HH36" s="632"/>
      <c r="HI36" s="632"/>
      <c r="HJ36" s="632"/>
      <c r="HK36" s="632"/>
      <c r="HL36" s="632"/>
      <c r="HM36" s="632"/>
      <c r="HN36" s="632"/>
      <c r="HO36" s="632"/>
      <c r="HP36" s="632"/>
      <c r="HQ36" s="632"/>
      <c r="HR36" s="632"/>
      <c r="HS36" s="632"/>
      <c r="HT36" s="632"/>
      <c r="HU36" s="632"/>
      <c r="HV36" s="632"/>
      <c r="HW36" s="632"/>
      <c r="HX36" s="632"/>
      <c r="HY36" s="632"/>
      <c r="HZ36" s="632"/>
      <c r="IA36" s="632"/>
      <c r="IB36" s="632"/>
      <c r="IC36" s="632"/>
      <c r="ID36" s="632"/>
      <c r="IE36" s="632"/>
      <c r="IF36" s="632"/>
      <c r="IG36" s="632"/>
      <c r="IH36" s="632"/>
      <c r="II36" s="632"/>
      <c r="IJ36" s="632"/>
      <c r="IK36" s="632"/>
      <c r="IL36" s="632"/>
      <c r="IM36" s="632"/>
      <c r="IN36" s="632"/>
      <c r="IO36" s="632"/>
      <c r="IP36" s="632"/>
      <c r="IQ36" s="632"/>
      <c r="IR36" s="632"/>
      <c r="IS36" s="632"/>
    </row>
    <row r="37" spans="1:253" s="554" customFormat="1" ht="25.5">
      <c r="A37" s="590"/>
      <c r="B37" s="628"/>
      <c r="C37" s="565"/>
      <c r="D37" s="550"/>
      <c r="E37" s="625" t="s">
        <v>1118</v>
      </c>
      <c r="F37" s="415">
        <v>12</v>
      </c>
      <c r="G37" s="578"/>
      <c r="H37" s="540"/>
      <c r="I37" s="547"/>
      <c r="J37" s="664"/>
    </row>
    <row r="38" spans="1:253" s="554" customFormat="1">
      <c r="A38" s="590"/>
      <c r="B38" s="628"/>
      <c r="C38" s="565"/>
      <c r="D38" s="550"/>
      <c r="E38" s="623"/>
      <c r="F38" s="624"/>
      <c r="G38" s="578"/>
      <c r="H38" s="540"/>
      <c r="I38" s="541"/>
      <c r="J38" s="666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  <c r="BX38" s="537"/>
      <c r="BY38" s="537"/>
      <c r="BZ38" s="537"/>
      <c r="CA38" s="537"/>
      <c r="CB38" s="537"/>
      <c r="CC38" s="537"/>
      <c r="CD38" s="537"/>
      <c r="CE38" s="537"/>
      <c r="CF38" s="537"/>
      <c r="CG38" s="537"/>
      <c r="CH38" s="537"/>
      <c r="CI38" s="537"/>
      <c r="CJ38" s="537"/>
      <c r="CK38" s="537"/>
      <c r="CL38" s="537"/>
      <c r="CM38" s="537"/>
      <c r="CN38" s="537"/>
      <c r="CO38" s="537"/>
      <c r="CP38" s="537"/>
      <c r="CQ38" s="537"/>
      <c r="CR38" s="537"/>
      <c r="CS38" s="537"/>
      <c r="CT38" s="537"/>
      <c r="CU38" s="537"/>
      <c r="CV38" s="537"/>
      <c r="CW38" s="537"/>
      <c r="CX38" s="537"/>
      <c r="CY38" s="537"/>
      <c r="CZ38" s="537"/>
      <c r="DA38" s="537"/>
      <c r="DB38" s="537"/>
      <c r="DC38" s="537"/>
      <c r="DD38" s="537"/>
      <c r="DE38" s="537"/>
      <c r="DF38" s="537"/>
      <c r="DG38" s="537"/>
      <c r="DH38" s="537"/>
      <c r="DI38" s="537"/>
      <c r="DJ38" s="537"/>
      <c r="DK38" s="537"/>
      <c r="DL38" s="537"/>
      <c r="DM38" s="537"/>
      <c r="DN38" s="537"/>
      <c r="DO38" s="537"/>
      <c r="DP38" s="537"/>
      <c r="DQ38" s="537"/>
      <c r="DR38" s="537"/>
      <c r="DS38" s="537"/>
      <c r="DT38" s="537"/>
      <c r="DU38" s="537"/>
      <c r="DV38" s="537"/>
      <c r="DW38" s="537"/>
      <c r="DX38" s="537"/>
      <c r="DY38" s="537"/>
      <c r="DZ38" s="537"/>
      <c r="EA38" s="537"/>
      <c r="EB38" s="537"/>
      <c r="EC38" s="537"/>
      <c r="ED38" s="537"/>
      <c r="EE38" s="537"/>
      <c r="EF38" s="537"/>
      <c r="EG38" s="537"/>
      <c r="EH38" s="537"/>
      <c r="EI38" s="537"/>
      <c r="EJ38" s="537"/>
      <c r="EK38" s="537"/>
      <c r="EL38" s="537"/>
      <c r="EM38" s="537"/>
      <c r="EN38" s="537"/>
      <c r="EO38" s="537"/>
      <c r="EP38" s="537"/>
      <c r="EQ38" s="537"/>
      <c r="ER38" s="537"/>
      <c r="ES38" s="537"/>
      <c r="ET38" s="537"/>
      <c r="EU38" s="537"/>
      <c r="EV38" s="537"/>
      <c r="EW38" s="537"/>
      <c r="EX38" s="537"/>
      <c r="EY38" s="537"/>
      <c r="EZ38" s="537"/>
      <c r="FA38" s="537"/>
      <c r="FB38" s="537"/>
      <c r="FC38" s="537"/>
      <c r="FD38" s="537"/>
      <c r="FE38" s="537"/>
      <c r="FF38" s="537"/>
      <c r="FG38" s="537"/>
      <c r="FH38" s="537"/>
      <c r="FI38" s="537"/>
      <c r="FJ38" s="537"/>
      <c r="FK38" s="537"/>
      <c r="FL38" s="537"/>
      <c r="FM38" s="537"/>
      <c r="FN38" s="537"/>
      <c r="FO38" s="537"/>
      <c r="FP38" s="537"/>
      <c r="FQ38" s="537"/>
      <c r="FR38" s="537"/>
      <c r="FS38" s="537"/>
      <c r="FT38" s="537"/>
      <c r="FU38" s="537"/>
      <c r="FV38" s="537"/>
      <c r="FW38" s="537"/>
      <c r="FX38" s="537"/>
      <c r="FY38" s="537"/>
      <c r="FZ38" s="537"/>
      <c r="GA38" s="537"/>
      <c r="GB38" s="537"/>
      <c r="GC38" s="537"/>
      <c r="GD38" s="537"/>
      <c r="GE38" s="537"/>
      <c r="GF38" s="537"/>
      <c r="GG38" s="537"/>
      <c r="GH38" s="537"/>
      <c r="GI38" s="537"/>
      <c r="GJ38" s="537"/>
      <c r="GK38" s="537"/>
      <c r="GL38" s="537"/>
      <c r="GM38" s="537"/>
      <c r="GN38" s="537"/>
      <c r="GO38" s="537"/>
      <c r="GP38" s="537"/>
      <c r="GQ38" s="537"/>
      <c r="GR38" s="537"/>
      <c r="GS38" s="537"/>
      <c r="GT38" s="537"/>
      <c r="GU38" s="537"/>
      <c r="GV38" s="537"/>
      <c r="GW38" s="537"/>
      <c r="GX38" s="537"/>
      <c r="GY38" s="537"/>
      <c r="GZ38" s="537"/>
      <c r="HA38" s="537"/>
      <c r="HB38" s="537"/>
      <c r="HC38" s="537"/>
      <c r="HD38" s="537"/>
      <c r="HE38" s="537"/>
      <c r="HF38" s="537"/>
      <c r="HG38" s="537"/>
      <c r="HH38" s="537"/>
      <c r="HI38" s="537"/>
      <c r="HJ38" s="537"/>
      <c r="HK38" s="537"/>
      <c r="HL38" s="537"/>
      <c r="HM38" s="537"/>
      <c r="HN38" s="537"/>
      <c r="HO38" s="537"/>
      <c r="HP38" s="537"/>
      <c r="HQ38" s="537"/>
      <c r="HR38" s="537"/>
      <c r="HS38" s="537"/>
      <c r="HT38" s="537"/>
      <c r="HU38" s="537"/>
      <c r="HV38" s="537"/>
      <c r="HW38" s="537"/>
      <c r="HX38" s="537"/>
      <c r="HY38" s="537"/>
      <c r="HZ38" s="537"/>
      <c r="IA38" s="537"/>
      <c r="IB38" s="537"/>
      <c r="IC38" s="537"/>
      <c r="ID38" s="537"/>
      <c r="IE38" s="537"/>
      <c r="IF38" s="537"/>
      <c r="IG38" s="537"/>
      <c r="IH38" s="537"/>
      <c r="II38" s="537"/>
      <c r="IJ38" s="537"/>
      <c r="IK38" s="537"/>
      <c r="IL38" s="537"/>
      <c r="IM38" s="537"/>
      <c r="IN38" s="537"/>
      <c r="IO38" s="537"/>
      <c r="IP38" s="537"/>
      <c r="IQ38" s="537"/>
      <c r="IR38" s="537"/>
      <c r="IS38" s="537"/>
    </row>
    <row r="39" spans="1:253" s="613" customFormat="1">
      <c r="A39" s="524">
        <f>MAX(A$1:A38)+1</f>
        <v>7</v>
      </c>
      <c r="B39" s="413"/>
      <c r="C39" s="586" t="s">
        <v>1035</v>
      </c>
      <c r="D39" s="585"/>
      <c r="E39" s="587" t="s">
        <v>1036</v>
      </c>
      <c r="F39" s="588"/>
      <c r="G39" s="575" t="s">
        <v>7</v>
      </c>
      <c r="H39" s="605">
        <f>H40</f>
        <v>80</v>
      </c>
      <c r="I39" s="657"/>
      <c r="J39" s="669">
        <f>H39*I39</f>
        <v>0</v>
      </c>
      <c r="K39" s="561"/>
      <c r="L39" s="558"/>
      <c r="M39" s="558"/>
    </row>
    <row r="40" spans="1:253" s="429" customFormat="1" ht="25.5">
      <c r="A40" s="567"/>
      <c r="B40" s="413"/>
      <c r="C40" s="591"/>
      <c r="D40" s="592" t="s">
        <v>1037</v>
      </c>
      <c r="E40" s="593" t="s">
        <v>1038</v>
      </c>
      <c r="F40" s="594"/>
      <c r="G40" s="578" t="s">
        <v>7</v>
      </c>
      <c r="H40" s="570">
        <v>80</v>
      </c>
      <c r="I40" s="612"/>
      <c r="J40" s="670"/>
    </row>
    <row r="41" spans="1:253" s="619" customFormat="1">
      <c r="A41" s="533"/>
      <c r="B41" s="597"/>
      <c r="C41" s="414"/>
      <c r="D41" s="616"/>
      <c r="E41" s="608" t="s">
        <v>1119</v>
      </c>
      <c r="F41" s="394">
        <v>80</v>
      </c>
      <c r="G41" s="525"/>
      <c r="H41" s="600"/>
      <c r="I41" s="617"/>
      <c r="J41" s="671"/>
    </row>
    <row r="42" spans="1:253" s="429" customFormat="1">
      <c r="A42" s="567"/>
      <c r="B42" s="591"/>
      <c r="C42" s="591"/>
      <c r="D42" s="607"/>
      <c r="E42" s="608"/>
      <c r="F42" s="594"/>
      <c r="G42" s="578"/>
      <c r="H42" s="570"/>
      <c r="I42" s="614"/>
      <c r="J42" s="667"/>
    </row>
    <row r="43" spans="1:253" s="399" customFormat="1">
      <c r="A43" s="533"/>
      <c r="B43" s="672"/>
      <c r="C43" s="673"/>
      <c r="D43" s="674"/>
      <c r="E43" s="675"/>
      <c r="F43" s="538"/>
      <c r="G43" s="539"/>
      <c r="H43" s="573"/>
      <c r="I43" s="612"/>
      <c r="J43" s="670"/>
    </row>
    <row r="44" spans="1:253" s="399" customFormat="1">
      <c r="A44" s="533"/>
      <c r="B44" s="672"/>
      <c r="C44" s="673"/>
      <c r="D44" s="674"/>
      <c r="E44" s="675"/>
      <c r="F44" s="676"/>
      <c r="G44" s="539"/>
      <c r="H44" s="573"/>
      <c r="I44" s="612"/>
      <c r="J44" s="670"/>
    </row>
    <row r="45" spans="1:253" s="554" customFormat="1" ht="25.5">
      <c r="A45" s="25"/>
      <c r="B45" s="216" t="s">
        <v>95</v>
      </c>
      <c r="C45" s="217"/>
      <c r="D45" s="218"/>
      <c r="E45" s="219" t="s">
        <v>100</v>
      </c>
      <c r="F45" s="394"/>
      <c r="G45" s="525"/>
      <c r="H45" s="396"/>
      <c r="I45" s="547"/>
      <c r="J45" s="664"/>
    </row>
    <row r="46" spans="1:253" s="399" customFormat="1">
      <c r="A46" s="421"/>
      <c r="B46" s="609"/>
      <c r="C46" s="565"/>
      <c r="D46" s="565"/>
      <c r="E46" s="551"/>
      <c r="F46" s="611"/>
      <c r="G46" s="575"/>
      <c r="H46" s="408"/>
      <c r="I46" s="547"/>
      <c r="J46" s="66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4"/>
      <c r="AK46" s="554"/>
      <c r="AL46" s="554"/>
      <c r="AM46" s="554"/>
      <c r="AN46" s="554"/>
      <c r="AO46" s="554"/>
      <c r="AP46" s="554"/>
      <c r="AQ46" s="554"/>
      <c r="AR46" s="554"/>
      <c r="AS46" s="554"/>
      <c r="AT46" s="554"/>
      <c r="AU46" s="554"/>
      <c r="AV46" s="554"/>
      <c r="AW46" s="554"/>
      <c r="AX46" s="554"/>
      <c r="AY46" s="554"/>
      <c r="AZ46" s="554"/>
      <c r="BA46" s="554"/>
      <c r="BB46" s="554"/>
      <c r="BC46" s="554"/>
      <c r="BD46" s="554"/>
      <c r="BE46" s="554"/>
      <c r="BF46" s="554"/>
      <c r="BG46" s="554"/>
      <c r="BH46" s="554"/>
      <c r="BI46" s="554"/>
      <c r="BJ46" s="554"/>
      <c r="BK46" s="554"/>
      <c r="BL46" s="554"/>
      <c r="BM46" s="554"/>
      <c r="BN46" s="554"/>
      <c r="BO46" s="554"/>
      <c r="BP46" s="554"/>
      <c r="BQ46" s="554"/>
      <c r="BR46" s="554"/>
      <c r="BS46" s="554"/>
      <c r="BT46" s="554"/>
      <c r="BU46" s="554"/>
      <c r="BV46" s="554"/>
      <c r="BW46" s="554"/>
      <c r="BX46" s="554"/>
      <c r="BY46" s="554"/>
      <c r="BZ46" s="554"/>
      <c r="CA46" s="554"/>
      <c r="CB46" s="554"/>
      <c r="CC46" s="554"/>
      <c r="CD46" s="554"/>
      <c r="CE46" s="554"/>
      <c r="CF46" s="554"/>
      <c r="CG46" s="554"/>
      <c r="CH46" s="554"/>
      <c r="CI46" s="554"/>
      <c r="CJ46" s="554"/>
      <c r="CK46" s="554"/>
      <c r="CL46" s="554"/>
      <c r="CM46" s="554"/>
      <c r="CN46" s="554"/>
      <c r="CO46" s="554"/>
      <c r="CP46" s="554"/>
      <c r="CQ46" s="554"/>
      <c r="CR46" s="554"/>
      <c r="CS46" s="554"/>
      <c r="CT46" s="554"/>
      <c r="CU46" s="554"/>
      <c r="CV46" s="554"/>
      <c r="CW46" s="554"/>
      <c r="CX46" s="554"/>
      <c r="CY46" s="554"/>
      <c r="CZ46" s="554"/>
      <c r="DA46" s="554"/>
      <c r="DB46" s="554"/>
      <c r="DC46" s="554"/>
      <c r="DD46" s="554"/>
      <c r="DE46" s="554"/>
      <c r="DF46" s="554"/>
      <c r="DG46" s="554"/>
      <c r="DH46" s="554"/>
      <c r="DI46" s="554"/>
      <c r="DJ46" s="554"/>
      <c r="DK46" s="554"/>
      <c r="DL46" s="554"/>
      <c r="DM46" s="554"/>
      <c r="DN46" s="554"/>
      <c r="DO46" s="554"/>
      <c r="DP46" s="554"/>
      <c r="DQ46" s="554"/>
      <c r="DR46" s="554"/>
      <c r="DS46" s="554"/>
      <c r="DT46" s="554"/>
      <c r="DU46" s="554"/>
      <c r="DV46" s="554"/>
      <c r="DW46" s="554"/>
      <c r="DX46" s="554"/>
      <c r="DY46" s="554"/>
      <c r="DZ46" s="554"/>
      <c r="EA46" s="554"/>
      <c r="EB46" s="554"/>
      <c r="EC46" s="554"/>
      <c r="ED46" s="554"/>
      <c r="EE46" s="554"/>
      <c r="EF46" s="554"/>
      <c r="EG46" s="554"/>
      <c r="EH46" s="554"/>
      <c r="EI46" s="554"/>
      <c r="EJ46" s="554"/>
      <c r="EK46" s="554"/>
      <c r="EL46" s="554"/>
      <c r="EM46" s="554"/>
      <c r="EN46" s="554"/>
      <c r="EO46" s="554"/>
      <c r="EP46" s="554"/>
      <c r="EQ46" s="554"/>
      <c r="ER46" s="554"/>
      <c r="ES46" s="554"/>
      <c r="ET46" s="554"/>
      <c r="EU46" s="554"/>
      <c r="EV46" s="554"/>
      <c r="EW46" s="554"/>
      <c r="EX46" s="554"/>
      <c r="EY46" s="554"/>
      <c r="EZ46" s="554"/>
      <c r="FA46" s="554"/>
      <c r="FB46" s="554"/>
      <c r="FC46" s="554"/>
      <c r="FD46" s="554"/>
      <c r="FE46" s="554"/>
      <c r="FF46" s="554"/>
      <c r="FG46" s="554"/>
      <c r="FH46" s="554"/>
      <c r="FI46" s="554"/>
      <c r="FJ46" s="554"/>
      <c r="FK46" s="554"/>
      <c r="FL46" s="554"/>
      <c r="FM46" s="554"/>
      <c r="FN46" s="554"/>
      <c r="FO46" s="554"/>
      <c r="FP46" s="554"/>
      <c r="FQ46" s="554"/>
      <c r="FR46" s="554"/>
      <c r="FS46" s="554"/>
      <c r="FT46" s="554"/>
      <c r="FU46" s="554"/>
      <c r="FV46" s="554"/>
      <c r="FW46" s="554"/>
      <c r="FX46" s="554"/>
      <c r="FY46" s="554"/>
      <c r="FZ46" s="554"/>
      <c r="GA46" s="554"/>
      <c r="GB46" s="554"/>
      <c r="GC46" s="554"/>
      <c r="GD46" s="554"/>
      <c r="GE46" s="554"/>
      <c r="GF46" s="554"/>
      <c r="GG46" s="554"/>
      <c r="GH46" s="554"/>
      <c r="GI46" s="554"/>
      <c r="GJ46" s="554"/>
      <c r="GK46" s="554"/>
      <c r="GL46" s="554"/>
      <c r="GM46" s="554"/>
      <c r="GN46" s="554"/>
      <c r="GO46" s="554"/>
      <c r="GP46" s="554"/>
      <c r="GQ46" s="554"/>
      <c r="GR46" s="554"/>
      <c r="GS46" s="554"/>
      <c r="GT46" s="554"/>
      <c r="GU46" s="554"/>
      <c r="GV46" s="554"/>
      <c r="GW46" s="554"/>
      <c r="GX46" s="554"/>
      <c r="GY46" s="554"/>
      <c r="GZ46" s="554"/>
      <c r="HA46" s="554"/>
      <c r="HB46" s="554"/>
      <c r="HC46" s="554"/>
      <c r="HD46" s="554"/>
      <c r="HE46" s="554"/>
      <c r="HF46" s="554"/>
      <c r="HG46" s="554"/>
      <c r="HH46" s="554"/>
      <c r="HI46" s="554"/>
      <c r="HJ46" s="554"/>
      <c r="HK46" s="554"/>
      <c r="HL46" s="554"/>
      <c r="HM46" s="554"/>
      <c r="HN46" s="554"/>
      <c r="HO46" s="554"/>
      <c r="HP46" s="554"/>
      <c r="HQ46" s="554"/>
      <c r="HR46" s="554"/>
      <c r="HS46" s="554"/>
      <c r="HT46" s="554"/>
      <c r="HU46" s="554"/>
      <c r="HV46" s="554"/>
      <c r="HW46" s="554"/>
      <c r="HX46" s="554"/>
      <c r="HY46" s="554"/>
      <c r="HZ46" s="554"/>
      <c r="IA46" s="554"/>
      <c r="IB46" s="554"/>
      <c r="IC46" s="554"/>
      <c r="ID46" s="554"/>
      <c r="IE46" s="554"/>
      <c r="IF46" s="554"/>
      <c r="IG46" s="554"/>
      <c r="IH46" s="554"/>
      <c r="II46" s="554"/>
      <c r="IJ46" s="554"/>
      <c r="IK46" s="554"/>
      <c r="IL46" s="554"/>
      <c r="IM46" s="554"/>
      <c r="IN46" s="554"/>
      <c r="IO46" s="554"/>
      <c r="IP46" s="554"/>
      <c r="IQ46" s="554"/>
      <c r="IR46" s="554"/>
      <c r="IS46" s="554"/>
    </row>
    <row r="47" spans="1:253" s="548" customFormat="1">
      <c r="A47" s="524">
        <f>MAX(A$1:A46)+1</f>
        <v>8</v>
      </c>
      <c r="B47" s="565"/>
      <c r="C47" s="610" t="s">
        <v>1040</v>
      </c>
      <c r="D47" s="565"/>
      <c r="E47" s="551" t="s">
        <v>1041</v>
      </c>
      <c r="F47" s="611"/>
      <c r="G47" s="575" t="s">
        <v>7</v>
      </c>
      <c r="H47" s="560">
        <f>H48</f>
        <v>290</v>
      </c>
      <c r="I47" s="507"/>
      <c r="J47" s="454">
        <f>H47*I47</f>
        <v>0</v>
      </c>
      <c r="K47" s="561"/>
      <c r="L47" s="558"/>
      <c r="M47" s="558"/>
    </row>
    <row r="48" spans="1:253" s="554" customFormat="1" ht="25.5">
      <c r="A48" s="421"/>
      <c r="B48" s="550"/>
      <c r="C48" s="550"/>
      <c r="D48" s="622" t="s">
        <v>1042</v>
      </c>
      <c r="E48" s="623" t="s">
        <v>1043</v>
      </c>
      <c r="F48" s="624"/>
      <c r="G48" s="578" t="s">
        <v>7</v>
      </c>
      <c r="H48" s="570">
        <v>290</v>
      </c>
      <c r="I48" s="409"/>
      <c r="J48" s="436"/>
    </row>
    <row r="49" spans="1:253" s="399" customFormat="1">
      <c r="A49" s="595"/>
      <c r="B49" s="642"/>
      <c r="C49" s="572"/>
      <c r="D49" s="572"/>
      <c r="E49" s="625" t="s">
        <v>1120</v>
      </c>
      <c r="F49" s="677">
        <v>80</v>
      </c>
      <c r="G49" s="525"/>
      <c r="H49" s="573"/>
      <c r="I49" s="612"/>
      <c r="J49" s="670"/>
    </row>
    <row r="50" spans="1:253" s="399" customFormat="1">
      <c r="A50" s="595"/>
      <c r="B50" s="642"/>
      <c r="C50" s="572"/>
      <c r="D50" s="572"/>
      <c r="E50" s="625" t="s">
        <v>1121</v>
      </c>
      <c r="F50" s="678">
        <v>210</v>
      </c>
      <c r="G50" s="525"/>
      <c r="H50" s="573"/>
      <c r="I50" s="612"/>
      <c r="J50" s="670"/>
    </row>
    <row r="51" spans="1:253" s="399" customFormat="1">
      <c r="A51" s="595"/>
      <c r="B51" s="642"/>
      <c r="C51" s="572"/>
      <c r="D51" s="572"/>
      <c r="E51" s="625" t="s">
        <v>1122</v>
      </c>
      <c r="F51" s="677"/>
      <c r="G51" s="525"/>
      <c r="H51" s="573"/>
      <c r="I51" s="612"/>
      <c r="J51" s="670"/>
    </row>
    <row r="52" spans="1:253" s="399" customFormat="1">
      <c r="A52" s="595"/>
      <c r="B52" s="642"/>
      <c r="C52" s="572"/>
      <c r="D52" s="572"/>
      <c r="E52" s="625"/>
      <c r="F52" s="677">
        <f>SUM(F49:F51)</f>
        <v>290</v>
      </c>
      <c r="G52" s="525"/>
      <c r="H52" s="573"/>
      <c r="I52" s="612"/>
      <c r="J52" s="670"/>
    </row>
    <row r="53" spans="1:253" s="554" customFormat="1">
      <c r="A53" s="524"/>
      <c r="B53" s="609"/>
      <c r="C53" s="565"/>
      <c r="D53" s="565"/>
      <c r="E53" s="551"/>
      <c r="F53" s="611"/>
      <c r="G53" s="575"/>
      <c r="H53" s="408"/>
      <c r="I53" s="547"/>
      <c r="J53" s="664"/>
    </row>
    <row r="54" spans="1:253" s="548" customFormat="1">
      <c r="A54" s="524">
        <f>MAX(A$1:A53)+1</f>
        <v>9</v>
      </c>
      <c r="B54" s="565"/>
      <c r="C54" s="610" t="s">
        <v>1123</v>
      </c>
      <c r="D54" s="565"/>
      <c r="E54" s="551" t="s">
        <v>1124</v>
      </c>
      <c r="F54" s="611"/>
      <c r="G54" s="575" t="s">
        <v>7</v>
      </c>
      <c r="H54" s="560">
        <v>5</v>
      </c>
      <c r="I54" s="507"/>
      <c r="J54" s="454">
        <f>H54*I54</f>
        <v>0</v>
      </c>
      <c r="K54" s="561"/>
      <c r="L54" s="558"/>
      <c r="M54" s="558"/>
    </row>
    <row r="55" spans="1:253" s="554" customFormat="1">
      <c r="A55" s="595"/>
      <c r="B55" s="642"/>
      <c r="C55" s="572"/>
      <c r="D55" s="572"/>
      <c r="E55" s="625" t="s">
        <v>1125</v>
      </c>
      <c r="F55" s="415">
        <v>5</v>
      </c>
      <c r="G55" s="525"/>
      <c r="H55" s="573"/>
      <c r="I55" s="547"/>
      <c r="J55" s="664"/>
    </row>
    <row r="56" spans="1:253" s="554" customFormat="1">
      <c r="A56" s="524"/>
      <c r="B56" s="609"/>
      <c r="C56" s="565"/>
      <c r="D56" s="565"/>
      <c r="E56" s="551"/>
      <c r="F56" s="611"/>
      <c r="G56" s="575"/>
      <c r="H56" s="408"/>
      <c r="I56" s="547"/>
      <c r="J56" s="664"/>
    </row>
    <row r="57" spans="1:253" s="399" customFormat="1">
      <c r="A57" s="533"/>
      <c r="B57" s="672"/>
      <c r="C57" s="673"/>
      <c r="D57" s="674"/>
      <c r="E57" s="675"/>
      <c r="F57" s="675"/>
      <c r="G57" s="539"/>
      <c r="H57" s="573"/>
      <c r="I57" s="612"/>
      <c r="J57" s="670"/>
    </row>
    <row r="58" spans="1:253" s="554" customFormat="1">
      <c r="A58" s="25"/>
      <c r="B58" s="216" t="s">
        <v>11</v>
      </c>
      <c r="C58" s="217"/>
      <c r="D58" s="218"/>
      <c r="E58" s="219" t="s">
        <v>12</v>
      </c>
      <c r="F58" s="394"/>
      <c r="G58" s="525"/>
      <c r="H58" s="396"/>
      <c r="I58" s="679"/>
      <c r="J58" s="664"/>
    </row>
    <row r="59" spans="1:253" s="632" customFormat="1">
      <c r="A59" s="25"/>
      <c r="B59" s="609"/>
      <c r="C59" s="556"/>
      <c r="D59" s="557"/>
      <c r="E59" s="551"/>
      <c r="F59" s="611"/>
      <c r="G59" s="559"/>
      <c r="H59" s="408"/>
      <c r="I59" s="547"/>
      <c r="J59" s="664"/>
      <c r="K59" s="554"/>
      <c r="L59" s="554"/>
      <c r="M59" s="554"/>
      <c r="N59" s="554"/>
      <c r="O59" s="554"/>
      <c r="P59" s="554"/>
      <c r="Q59" s="554"/>
      <c r="R59" s="554"/>
      <c r="S59" s="554"/>
      <c r="T59" s="554"/>
      <c r="U59" s="554"/>
      <c r="V59" s="554"/>
      <c r="W59" s="554"/>
      <c r="X59" s="554"/>
      <c r="Y59" s="554"/>
      <c r="Z59" s="554"/>
      <c r="AA59" s="554"/>
      <c r="AB59" s="554"/>
      <c r="AC59" s="554"/>
      <c r="AD59" s="554"/>
      <c r="AE59" s="554"/>
      <c r="AF59" s="554"/>
      <c r="AG59" s="554"/>
      <c r="AH59" s="554"/>
      <c r="AI59" s="554"/>
      <c r="AJ59" s="554"/>
      <c r="AK59" s="554"/>
      <c r="AL59" s="554"/>
      <c r="AM59" s="554"/>
      <c r="AN59" s="554"/>
      <c r="AO59" s="554"/>
      <c r="AP59" s="554"/>
      <c r="AQ59" s="554"/>
      <c r="AR59" s="554"/>
      <c r="AS59" s="554"/>
      <c r="AT59" s="554"/>
      <c r="AU59" s="554"/>
      <c r="AV59" s="554"/>
      <c r="AW59" s="554"/>
      <c r="AX59" s="554"/>
      <c r="AY59" s="554"/>
      <c r="AZ59" s="554"/>
      <c r="BA59" s="554"/>
      <c r="BB59" s="554"/>
      <c r="BC59" s="554"/>
      <c r="BD59" s="554"/>
      <c r="BE59" s="554"/>
      <c r="BF59" s="554"/>
      <c r="BG59" s="554"/>
      <c r="BH59" s="554"/>
      <c r="BI59" s="554"/>
      <c r="BJ59" s="554"/>
      <c r="BK59" s="554"/>
      <c r="BL59" s="554"/>
      <c r="BM59" s="554"/>
      <c r="BN59" s="554"/>
      <c r="BO59" s="554"/>
      <c r="BP59" s="554"/>
      <c r="BQ59" s="554"/>
      <c r="BR59" s="554"/>
      <c r="BS59" s="554"/>
      <c r="BT59" s="554"/>
      <c r="BU59" s="554"/>
      <c r="BV59" s="554"/>
      <c r="BW59" s="554"/>
      <c r="BX59" s="554"/>
      <c r="BY59" s="554"/>
      <c r="BZ59" s="554"/>
      <c r="CA59" s="554"/>
      <c r="CB59" s="554"/>
      <c r="CC59" s="554"/>
      <c r="CD59" s="554"/>
      <c r="CE59" s="554"/>
      <c r="CF59" s="554"/>
      <c r="CG59" s="554"/>
      <c r="CH59" s="554"/>
      <c r="CI59" s="554"/>
      <c r="CJ59" s="554"/>
      <c r="CK59" s="554"/>
      <c r="CL59" s="554"/>
      <c r="CM59" s="554"/>
      <c r="CN59" s="554"/>
      <c r="CO59" s="554"/>
      <c r="CP59" s="554"/>
      <c r="CQ59" s="554"/>
      <c r="CR59" s="554"/>
      <c r="CS59" s="554"/>
      <c r="CT59" s="554"/>
      <c r="CU59" s="554"/>
      <c r="CV59" s="554"/>
      <c r="CW59" s="554"/>
      <c r="CX59" s="554"/>
      <c r="CY59" s="554"/>
      <c r="CZ59" s="554"/>
      <c r="DA59" s="554"/>
      <c r="DB59" s="554"/>
      <c r="DC59" s="554"/>
      <c r="DD59" s="554"/>
      <c r="DE59" s="554"/>
      <c r="DF59" s="554"/>
      <c r="DG59" s="554"/>
      <c r="DH59" s="554"/>
      <c r="DI59" s="554"/>
      <c r="DJ59" s="554"/>
      <c r="DK59" s="554"/>
      <c r="DL59" s="554"/>
      <c r="DM59" s="554"/>
      <c r="DN59" s="554"/>
      <c r="DO59" s="554"/>
      <c r="DP59" s="554"/>
      <c r="DQ59" s="554"/>
      <c r="DR59" s="554"/>
      <c r="DS59" s="554"/>
      <c r="DT59" s="554"/>
      <c r="DU59" s="554"/>
      <c r="DV59" s="554"/>
      <c r="DW59" s="554"/>
      <c r="DX59" s="554"/>
      <c r="DY59" s="554"/>
      <c r="DZ59" s="554"/>
      <c r="EA59" s="554"/>
      <c r="EB59" s="554"/>
      <c r="EC59" s="554"/>
      <c r="ED59" s="554"/>
      <c r="EE59" s="554"/>
      <c r="EF59" s="554"/>
      <c r="EG59" s="554"/>
      <c r="EH59" s="554"/>
      <c r="EI59" s="554"/>
      <c r="EJ59" s="554"/>
      <c r="EK59" s="554"/>
      <c r="EL59" s="554"/>
      <c r="EM59" s="554"/>
      <c r="EN59" s="554"/>
      <c r="EO59" s="554"/>
      <c r="EP59" s="554"/>
      <c r="EQ59" s="554"/>
      <c r="ER59" s="554"/>
      <c r="ES59" s="554"/>
      <c r="ET59" s="554"/>
      <c r="EU59" s="554"/>
      <c r="EV59" s="554"/>
      <c r="EW59" s="554"/>
      <c r="EX59" s="554"/>
      <c r="EY59" s="554"/>
      <c r="EZ59" s="554"/>
      <c r="FA59" s="554"/>
      <c r="FB59" s="554"/>
      <c r="FC59" s="554"/>
      <c r="FD59" s="554"/>
      <c r="FE59" s="554"/>
      <c r="FF59" s="554"/>
      <c r="FG59" s="554"/>
      <c r="FH59" s="554"/>
      <c r="FI59" s="554"/>
      <c r="FJ59" s="554"/>
      <c r="FK59" s="554"/>
      <c r="FL59" s="554"/>
      <c r="FM59" s="554"/>
      <c r="FN59" s="554"/>
      <c r="FO59" s="554"/>
      <c r="FP59" s="554"/>
      <c r="FQ59" s="554"/>
      <c r="FR59" s="554"/>
      <c r="FS59" s="554"/>
      <c r="FT59" s="554"/>
      <c r="FU59" s="554"/>
      <c r="FV59" s="554"/>
      <c r="FW59" s="554"/>
      <c r="FX59" s="554"/>
      <c r="FY59" s="554"/>
      <c r="FZ59" s="554"/>
      <c r="GA59" s="554"/>
      <c r="GB59" s="554"/>
      <c r="GC59" s="554"/>
      <c r="GD59" s="554"/>
      <c r="GE59" s="554"/>
      <c r="GF59" s="554"/>
      <c r="GG59" s="554"/>
      <c r="GH59" s="554"/>
      <c r="GI59" s="554"/>
      <c r="GJ59" s="554"/>
      <c r="GK59" s="554"/>
      <c r="GL59" s="554"/>
      <c r="GM59" s="554"/>
      <c r="GN59" s="554"/>
      <c r="GO59" s="554"/>
      <c r="GP59" s="554"/>
      <c r="GQ59" s="554"/>
      <c r="GR59" s="554"/>
      <c r="GS59" s="554"/>
      <c r="GT59" s="554"/>
      <c r="GU59" s="554"/>
      <c r="GV59" s="554"/>
      <c r="GW59" s="554"/>
      <c r="GX59" s="554"/>
      <c r="GY59" s="554"/>
      <c r="GZ59" s="554"/>
      <c r="HA59" s="554"/>
      <c r="HB59" s="554"/>
      <c r="HC59" s="554"/>
      <c r="HD59" s="554"/>
      <c r="HE59" s="554"/>
      <c r="HF59" s="554"/>
      <c r="HG59" s="554"/>
      <c r="HH59" s="554"/>
      <c r="HI59" s="554"/>
      <c r="HJ59" s="554"/>
      <c r="HK59" s="554"/>
      <c r="HL59" s="554"/>
      <c r="HM59" s="554"/>
      <c r="HN59" s="554"/>
      <c r="HO59" s="554"/>
      <c r="HP59" s="554"/>
      <c r="HQ59" s="554"/>
      <c r="HR59" s="554"/>
      <c r="HS59" s="554"/>
      <c r="HT59" s="554"/>
      <c r="HU59" s="554"/>
      <c r="HV59" s="554"/>
      <c r="HW59" s="554"/>
      <c r="HX59" s="554"/>
      <c r="HY59" s="554"/>
      <c r="HZ59" s="554"/>
      <c r="IA59" s="554"/>
      <c r="IB59" s="554"/>
      <c r="IC59" s="554"/>
      <c r="ID59" s="554"/>
      <c r="IE59" s="554"/>
      <c r="IF59" s="554"/>
      <c r="IG59" s="554"/>
      <c r="IH59" s="554"/>
      <c r="II59" s="554"/>
      <c r="IJ59" s="554"/>
      <c r="IK59" s="554"/>
      <c r="IL59" s="554"/>
      <c r="IM59" s="554"/>
      <c r="IN59" s="554"/>
      <c r="IO59" s="554"/>
      <c r="IP59" s="554"/>
      <c r="IQ59" s="554"/>
      <c r="IR59" s="554"/>
      <c r="IS59" s="554"/>
    </row>
    <row r="60" spans="1:253" s="639" customFormat="1" ht="25.5">
      <c r="A60" s="524">
        <f>MAX(A$1:A59)+1</f>
        <v>10</v>
      </c>
      <c r="B60" s="609"/>
      <c r="C60" s="610" t="s">
        <v>1052</v>
      </c>
      <c r="D60" s="565"/>
      <c r="E60" s="551" t="s">
        <v>1053</v>
      </c>
      <c r="F60" s="611"/>
      <c r="G60" s="575" t="s">
        <v>8</v>
      </c>
      <c r="H60" s="560">
        <f>H61</f>
        <v>0.75</v>
      </c>
      <c r="I60" s="507"/>
      <c r="J60" s="454">
        <f>H60*I60</f>
        <v>0</v>
      </c>
      <c r="K60" s="561"/>
      <c r="L60" s="558"/>
      <c r="M60" s="558"/>
      <c r="N60" s="548"/>
      <c r="O60" s="548"/>
      <c r="P60" s="548"/>
      <c r="Q60" s="548"/>
      <c r="R60" s="548"/>
      <c r="S60" s="548"/>
      <c r="T60" s="548"/>
      <c r="U60" s="548"/>
      <c r="V60" s="548"/>
      <c r="W60" s="548"/>
      <c r="X60" s="548"/>
      <c r="Y60" s="548"/>
      <c r="Z60" s="548"/>
      <c r="AA60" s="548"/>
      <c r="AB60" s="548"/>
      <c r="AC60" s="548"/>
      <c r="AD60" s="548"/>
      <c r="AE60" s="548"/>
      <c r="AF60" s="548"/>
      <c r="AG60" s="548"/>
      <c r="AH60" s="548"/>
      <c r="AI60" s="548"/>
      <c r="AJ60" s="548"/>
      <c r="AK60" s="548"/>
      <c r="AL60" s="548"/>
      <c r="AM60" s="548"/>
      <c r="AN60" s="548"/>
      <c r="AO60" s="548"/>
      <c r="AP60" s="548"/>
      <c r="AQ60" s="548"/>
      <c r="AR60" s="548"/>
      <c r="AS60" s="548"/>
      <c r="AT60" s="548"/>
      <c r="AU60" s="548"/>
      <c r="AV60" s="548"/>
      <c r="AW60" s="548"/>
      <c r="AX60" s="548"/>
      <c r="AY60" s="548"/>
      <c r="AZ60" s="548"/>
      <c r="BA60" s="548"/>
      <c r="BB60" s="548"/>
      <c r="BC60" s="548"/>
      <c r="BD60" s="548"/>
      <c r="BE60" s="548"/>
      <c r="BF60" s="548"/>
      <c r="BG60" s="548"/>
      <c r="BH60" s="548"/>
      <c r="BI60" s="548"/>
      <c r="BJ60" s="548"/>
      <c r="BK60" s="548"/>
      <c r="BL60" s="548"/>
      <c r="BM60" s="548"/>
      <c r="BN60" s="548"/>
      <c r="BO60" s="548"/>
      <c r="BP60" s="548"/>
      <c r="BQ60" s="548"/>
      <c r="BR60" s="548"/>
      <c r="BS60" s="548"/>
      <c r="BT60" s="548"/>
      <c r="BU60" s="548"/>
      <c r="BV60" s="548"/>
      <c r="BW60" s="548"/>
      <c r="BX60" s="548"/>
      <c r="BY60" s="548"/>
      <c r="BZ60" s="548"/>
      <c r="CA60" s="548"/>
      <c r="CB60" s="548"/>
      <c r="CC60" s="548"/>
      <c r="CD60" s="548"/>
      <c r="CE60" s="548"/>
      <c r="CF60" s="548"/>
      <c r="CG60" s="548"/>
      <c r="CH60" s="548"/>
      <c r="CI60" s="548"/>
      <c r="CJ60" s="548"/>
      <c r="CK60" s="548"/>
      <c r="CL60" s="548"/>
      <c r="CM60" s="548"/>
      <c r="CN60" s="548"/>
      <c r="CO60" s="548"/>
      <c r="CP60" s="548"/>
      <c r="CQ60" s="548"/>
      <c r="CR60" s="548"/>
      <c r="CS60" s="548"/>
      <c r="CT60" s="548"/>
      <c r="CU60" s="548"/>
      <c r="CV60" s="548"/>
      <c r="CW60" s="548"/>
      <c r="CX60" s="548"/>
      <c r="CY60" s="548"/>
      <c r="CZ60" s="548"/>
      <c r="DA60" s="548"/>
      <c r="DB60" s="548"/>
      <c r="DC60" s="548"/>
      <c r="DD60" s="548"/>
      <c r="DE60" s="548"/>
      <c r="DF60" s="548"/>
      <c r="DG60" s="548"/>
      <c r="DH60" s="548"/>
      <c r="DI60" s="548"/>
      <c r="DJ60" s="548"/>
      <c r="DK60" s="548"/>
      <c r="DL60" s="548"/>
      <c r="DM60" s="548"/>
      <c r="DN60" s="548"/>
      <c r="DO60" s="548"/>
      <c r="DP60" s="548"/>
      <c r="DQ60" s="548"/>
      <c r="DR60" s="548"/>
      <c r="DS60" s="548"/>
      <c r="DT60" s="548"/>
      <c r="DU60" s="548"/>
      <c r="DV60" s="548"/>
      <c r="DW60" s="548"/>
      <c r="DX60" s="548"/>
      <c r="DY60" s="548"/>
      <c r="DZ60" s="548"/>
      <c r="EA60" s="548"/>
      <c r="EB60" s="548"/>
      <c r="EC60" s="548"/>
      <c r="ED60" s="548"/>
      <c r="EE60" s="548"/>
      <c r="EF60" s="548"/>
      <c r="EG60" s="548"/>
      <c r="EH60" s="548"/>
      <c r="EI60" s="548"/>
      <c r="EJ60" s="548"/>
      <c r="EK60" s="548"/>
      <c r="EL60" s="548"/>
      <c r="EM60" s="548"/>
      <c r="EN60" s="548"/>
      <c r="EO60" s="548"/>
      <c r="EP60" s="548"/>
      <c r="EQ60" s="548"/>
      <c r="ER60" s="548"/>
      <c r="ES60" s="548"/>
      <c r="ET60" s="548"/>
      <c r="EU60" s="548"/>
      <c r="EV60" s="548"/>
      <c r="EW60" s="548"/>
      <c r="EX60" s="548"/>
      <c r="EY60" s="548"/>
      <c r="EZ60" s="548"/>
      <c r="FA60" s="548"/>
      <c r="FB60" s="548"/>
      <c r="FC60" s="548"/>
      <c r="FD60" s="548"/>
      <c r="FE60" s="548"/>
      <c r="FF60" s="548"/>
      <c r="FG60" s="548"/>
      <c r="FH60" s="548"/>
      <c r="FI60" s="548"/>
      <c r="FJ60" s="548"/>
      <c r="FK60" s="548"/>
      <c r="FL60" s="548"/>
      <c r="FM60" s="548"/>
      <c r="FN60" s="548"/>
      <c r="FO60" s="548"/>
      <c r="FP60" s="548"/>
      <c r="FQ60" s="548"/>
      <c r="FR60" s="548"/>
      <c r="FS60" s="548"/>
      <c r="FT60" s="548"/>
      <c r="FU60" s="548"/>
      <c r="FV60" s="548"/>
      <c r="FW60" s="548"/>
      <c r="FX60" s="548"/>
      <c r="FY60" s="548"/>
      <c r="FZ60" s="548"/>
      <c r="GA60" s="548"/>
      <c r="GB60" s="548"/>
      <c r="GC60" s="548"/>
      <c r="GD60" s="548"/>
      <c r="GE60" s="548"/>
      <c r="GF60" s="548"/>
      <c r="GG60" s="548"/>
      <c r="GH60" s="548"/>
      <c r="GI60" s="548"/>
      <c r="GJ60" s="548"/>
      <c r="GK60" s="548"/>
      <c r="GL60" s="548"/>
      <c r="GM60" s="548"/>
      <c r="GN60" s="548"/>
      <c r="GO60" s="548"/>
      <c r="GP60" s="548"/>
      <c r="GQ60" s="548"/>
      <c r="GR60" s="548"/>
      <c r="GS60" s="548"/>
      <c r="GT60" s="548"/>
      <c r="GU60" s="548"/>
      <c r="GV60" s="548"/>
      <c r="GW60" s="548"/>
      <c r="GX60" s="548"/>
      <c r="GY60" s="548"/>
      <c r="GZ60" s="548"/>
      <c r="HA60" s="548"/>
      <c r="HB60" s="548"/>
      <c r="HC60" s="548"/>
      <c r="HD60" s="548"/>
      <c r="HE60" s="548"/>
      <c r="HF60" s="548"/>
      <c r="HG60" s="548"/>
      <c r="HH60" s="548"/>
      <c r="HI60" s="548"/>
      <c r="HJ60" s="548"/>
      <c r="HK60" s="548"/>
      <c r="HL60" s="548"/>
      <c r="HM60" s="548"/>
      <c r="HN60" s="548"/>
      <c r="HO60" s="548"/>
      <c r="HP60" s="548"/>
      <c r="HQ60" s="548"/>
      <c r="HR60" s="548"/>
      <c r="HS60" s="548"/>
      <c r="HT60" s="548"/>
      <c r="HU60" s="548"/>
      <c r="HV60" s="548"/>
      <c r="HW60" s="548"/>
      <c r="HX60" s="548"/>
      <c r="HY60" s="548"/>
      <c r="HZ60" s="548"/>
      <c r="IA60" s="548"/>
      <c r="IB60" s="548"/>
      <c r="IC60" s="548"/>
      <c r="ID60" s="548"/>
      <c r="IE60" s="548"/>
      <c r="IF60" s="548"/>
      <c r="IG60" s="548"/>
      <c r="IH60" s="548"/>
      <c r="II60" s="548"/>
      <c r="IJ60" s="548"/>
      <c r="IK60" s="548"/>
      <c r="IL60" s="548"/>
      <c r="IM60" s="548"/>
      <c r="IN60" s="548"/>
      <c r="IO60" s="548"/>
      <c r="IP60" s="548"/>
      <c r="IQ60" s="548"/>
      <c r="IR60" s="548"/>
      <c r="IS60" s="548"/>
    </row>
    <row r="61" spans="1:253" s="632" customFormat="1" ht="25.5">
      <c r="A61" s="524"/>
      <c r="B61" s="609"/>
      <c r="C61" s="610"/>
      <c r="D61" s="622" t="s">
        <v>1054</v>
      </c>
      <c r="E61" s="623" t="s">
        <v>1055</v>
      </c>
      <c r="F61" s="624"/>
      <c r="G61" s="578" t="s">
        <v>8</v>
      </c>
      <c r="H61" s="570">
        <v>0.75</v>
      </c>
      <c r="I61" s="409"/>
      <c r="J61" s="436"/>
      <c r="K61" s="554"/>
      <c r="L61" s="554"/>
      <c r="M61" s="554"/>
      <c r="N61" s="554"/>
      <c r="O61" s="554"/>
      <c r="P61" s="554"/>
      <c r="Q61" s="554"/>
      <c r="R61" s="554"/>
      <c r="S61" s="554"/>
      <c r="T61" s="554"/>
      <c r="U61" s="554"/>
      <c r="V61" s="554"/>
      <c r="W61" s="554"/>
      <c r="X61" s="554"/>
      <c r="Y61" s="554"/>
      <c r="Z61" s="554"/>
      <c r="AA61" s="554"/>
      <c r="AB61" s="554"/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4"/>
      <c r="AX61" s="554"/>
      <c r="AY61" s="554"/>
      <c r="AZ61" s="554"/>
      <c r="BA61" s="554"/>
      <c r="BB61" s="554"/>
      <c r="BC61" s="554"/>
      <c r="BD61" s="554"/>
      <c r="BE61" s="554"/>
      <c r="BF61" s="554"/>
      <c r="BG61" s="554"/>
      <c r="BH61" s="554"/>
      <c r="BI61" s="554"/>
      <c r="BJ61" s="554"/>
      <c r="BK61" s="554"/>
      <c r="BL61" s="554"/>
      <c r="BM61" s="554"/>
      <c r="BN61" s="554"/>
      <c r="BO61" s="554"/>
      <c r="BP61" s="554"/>
      <c r="BQ61" s="554"/>
      <c r="BR61" s="554"/>
      <c r="BS61" s="554"/>
      <c r="BT61" s="554"/>
      <c r="BU61" s="554"/>
      <c r="BV61" s="554"/>
      <c r="BW61" s="554"/>
      <c r="BX61" s="554"/>
      <c r="BY61" s="554"/>
      <c r="BZ61" s="554"/>
      <c r="CA61" s="554"/>
      <c r="CB61" s="554"/>
      <c r="CC61" s="554"/>
      <c r="CD61" s="554"/>
      <c r="CE61" s="554"/>
      <c r="CF61" s="554"/>
      <c r="CG61" s="554"/>
      <c r="CH61" s="554"/>
      <c r="CI61" s="554"/>
      <c r="CJ61" s="554"/>
      <c r="CK61" s="554"/>
      <c r="CL61" s="554"/>
      <c r="CM61" s="554"/>
      <c r="CN61" s="554"/>
      <c r="CO61" s="554"/>
      <c r="CP61" s="554"/>
      <c r="CQ61" s="554"/>
      <c r="CR61" s="554"/>
      <c r="CS61" s="554"/>
      <c r="CT61" s="554"/>
      <c r="CU61" s="554"/>
      <c r="CV61" s="554"/>
      <c r="CW61" s="554"/>
      <c r="CX61" s="554"/>
      <c r="CY61" s="554"/>
      <c r="CZ61" s="554"/>
      <c r="DA61" s="554"/>
      <c r="DB61" s="554"/>
      <c r="DC61" s="554"/>
      <c r="DD61" s="554"/>
      <c r="DE61" s="554"/>
      <c r="DF61" s="554"/>
      <c r="DG61" s="554"/>
      <c r="DH61" s="554"/>
      <c r="DI61" s="554"/>
      <c r="DJ61" s="554"/>
      <c r="DK61" s="554"/>
      <c r="DL61" s="554"/>
      <c r="DM61" s="554"/>
      <c r="DN61" s="554"/>
      <c r="DO61" s="554"/>
      <c r="DP61" s="554"/>
      <c r="DQ61" s="554"/>
      <c r="DR61" s="554"/>
      <c r="DS61" s="554"/>
      <c r="DT61" s="554"/>
      <c r="DU61" s="554"/>
      <c r="DV61" s="554"/>
      <c r="DW61" s="554"/>
      <c r="DX61" s="554"/>
      <c r="DY61" s="554"/>
      <c r="DZ61" s="554"/>
      <c r="EA61" s="554"/>
      <c r="EB61" s="554"/>
      <c r="EC61" s="554"/>
      <c r="ED61" s="554"/>
      <c r="EE61" s="554"/>
      <c r="EF61" s="554"/>
      <c r="EG61" s="554"/>
      <c r="EH61" s="554"/>
      <c r="EI61" s="554"/>
      <c r="EJ61" s="554"/>
      <c r="EK61" s="554"/>
      <c r="EL61" s="554"/>
      <c r="EM61" s="554"/>
      <c r="EN61" s="554"/>
      <c r="EO61" s="554"/>
      <c r="EP61" s="554"/>
      <c r="EQ61" s="554"/>
      <c r="ER61" s="554"/>
      <c r="ES61" s="554"/>
      <c r="ET61" s="554"/>
      <c r="EU61" s="554"/>
      <c r="EV61" s="554"/>
      <c r="EW61" s="554"/>
      <c r="EX61" s="554"/>
      <c r="EY61" s="554"/>
      <c r="EZ61" s="554"/>
      <c r="FA61" s="554"/>
      <c r="FB61" s="554"/>
      <c r="FC61" s="554"/>
      <c r="FD61" s="554"/>
      <c r="FE61" s="554"/>
      <c r="FF61" s="554"/>
      <c r="FG61" s="554"/>
      <c r="FH61" s="554"/>
      <c r="FI61" s="554"/>
      <c r="FJ61" s="554"/>
      <c r="FK61" s="554"/>
      <c r="FL61" s="554"/>
      <c r="FM61" s="554"/>
      <c r="FN61" s="554"/>
      <c r="FO61" s="554"/>
      <c r="FP61" s="554"/>
      <c r="FQ61" s="554"/>
      <c r="FR61" s="554"/>
      <c r="FS61" s="554"/>
      <c r="FT61" s="554"/>
      <c r="FU61" s="554"/>
      <c r="FV61" s="554"/>
      <c r="FW61" s="554"/>
      <c r="FX61" s="554"/>
      <c r="FY61" s="554"/>
      <c r="FZ61" s="554"/>
      <c r="GA61" s="554"/>
      <c r="GB61" s="554"/>
      <c r="GC61" s="554"/>
      <c r="GD61" s="554"/>
      <c r="GE61" s="554"/>
      <c r="GF61" s="554"/>
      <c r="GG61" s="554"/>
      <c r="GH61" s="554"/>
      <c r="GI61" s="554"/>
      <c r="GJ61" s="554"/>
      <c r="GK61" s="554"/>
      <c r="GL61" s="554"/>
      <c r="GM61" s="554"/>
      <c r="GN61" s="554"/>
      <c r="GO61" s="554"/>
      <c r="GP61" s="554"/>
      <c r="GQ61" s="554"/>
      <c r="GR61" s="554"/>
      <c r="GS61" s="554"/>
      <c r="GT61" s="554"/>
      <c r="GU61" s="554"/>
      <c r="GV61" s="554"/>
      <c r="GW61" s="554"/>
      <c r="GX61" s="554"/>
      <c r="GY61" s="554"/>
      <c r="GZ61" s="554"/>
      <c r="HA61" s="554"/>
      <c r="HB61" s="554"/>
      <c r="HC61" s="554"/>
      <c r="HD61" s="554"/>
      <c r="HE61" s="554"/>
      <c r="HF61" s="554"/>
      <c r="HG61" s="554"/>
      <c r="HH61" s="554"/>
      <c r="HI61" s="554"/>
      <c r="HJ61" s="554"/>
      <c r="HK61" s="554"/>
      <c r="HL61" s="554"/>
      <c r="HM61" s="554"/>
      <c r="HN61" s="554"/>
      <c r="HO61" s="554"/>
      <c r="HP61" s="554"/>
      <c r="HQ61" s="554"/>
      <c r="HR61" s="554"/>
      <c r="HS61" s="554"/>
      <c r="HT61" s="554"/>
      <c r="HU61" s="554"/>
      <c r="HV61" s="554"/>
      <c r="HW61" s="554"/>
      <c r="HX61" s="554"/>
      <c r="HY61" s="554"/>
      <c r="HZ61" s="554"/>
      <c r="IA61" s="554"/>
      <c r="IB61" s="554"/>
      <c r="IC61" s="554"/>
      <c r="ID61" s="554"/>
      <c r="IE61" s="554"/>
      <c r="IF61" s="554"/>
      <c r="IG61" s="554"/>
      <c r="IH61" s="554"/>
      <c r="II61" s="554"/>
      <c r="IJ61" s="554"/>
      <c r="IK61" s="554"/>
      <c r="IL61" s="554"/>
      <c r="IM61" s="554"/>
      <c r="IN61" s="554"/>
      <c r="IO61" s="554"/>
      <c r="IP61" s="554"/>
      <c r="IQ61" s="554"/>
      <c r="IR61" s="554"/>
      <c r="IS61" s="554"/>
    </row>
    <row r="62" spans="1:253" s="632" customFormat="1">
      <c r="A62" s="524"/>
      <c r="B62" s="609"/>
      <c r="C62" s="565"/>
      <c r="D62" s="622"/>
      <c r="E62" s="625" t="s">
        <v>1127</v>
      </c>
      <c r="F62" s="415">
        <v>0.75</v>
      </c>
      <c r="G62" s="578"/>
      <c r="H62" s="680"/>
      <c r="I62" s="612"/>
      <c r="J62" s="670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  <c r="BW62" s="399"/>
      <c r="BX62" s="399"/>
      <c r="BY62" s="399"/>
      <c r="BZ62" s="399"/>
      <c r="CA62" s="399"/>
      <c r="CB62" s="399"/>
      <c r="CC62" s="399"/>
      <c r="CD62" s="399"/>
      <c r="CE62" s="399"/>
      <c r="CF62" s="399"/>
      <c r="CG62" s="399"/>
      <c r="CH62" s="399"/>
      <c r="CI62" s="399"/>
      <c r="CJ62" s="399"/>
      <c r="CK62" s="399"/>
      <c r="CL62" s="399"/>
      <c r="CM62" s="399"/>
      <c r="CN62" s="399"/>
      <c r="CO62" s="399"/>
      <c r="CP62" s="399"/>
      <c r="CQ62" s="399"/>
      <c r="CR62" s="399"/>
      <c r="CS62" s="399"/>
      <c r="CT62" s="399"/>
      <c r="CU62" s="399"/>
      <c r="CV62" s="399"/>
      <c r="CW62" s="399"/>
      <c r="CX62" s="399"/>
      <c r="CY62" s="399"/>
      <c r="CZ62" s="399"/>
      <c r="DA62" s="399"/>
      <c r="DB62" s="399"/>
      <c r="DC62" s="399"/>
      <c r="DD62" s="399"/>
      <c r="DE62" s="399"/>
      <c r="DF62" s="399"/>
      <c r="DG62" s="399"/>
      <c r="DH62" s="399"/>
      <c r="DI62" s="399"/>
      <c r="DJ62" s="399"/>
      <c r="DK62" s="399"/>
      <c r="DL62" s="399"/>
      <c r="DM62" s="399"/>
      <c r="DN62" s="399"/>
      <c r="DO62" s="399"/>
      <c r="DP62" s="399"/>
      <c r="DQ62" s="399"/>
      <c r="DR62" s="399"/>
      <c r="DS62" s="399"/>
      <c r="DT62" s="399"/>
      <c r="DU62" s="399"/>
      <c r="DV62" s="399"/>
      <c r="DW62" s="399"/>
      <c r="DX62" s="399"/>
      <c r="DY62" s="399"/>
      <c r="DZ62" s="399"/>
      <c r="EA62" s="399"/>
      <c r="EB62" s="399"/>
      <c r="EC62" s="399"/>
      <c r="ED62" s="399"/>
      <c r="EE62" s="399"/>
      <c r="EF62" s="399"/>
      <c r="EG62" s="399"/>
      <c r="EH62" s="399"/>
      <c r="EI62" s="399"/>
      <c r="EJ62" s="399"/>
      <c r="EK62" s="399"/>
      <c r="EL62" s="399"/>
      <c r="EM62" s="399"/>
      <c r="EN62" s="399"/>
      <c r="EO62" s="399"/>
      <c r="EP62" s="399"/>
      <c r="EQ62" s="399"/>
      <c r="ER62" s="399"/>
      <c r="ES62" s="399"/>
      <c r="ET62" s="399"/>
      <c r="EU62" s="399"/>
      <c r="EV62" s="399"/>
      <c r="EW62" s="399"/>
      <c r="EX62" s="399"/>
      <c r="EY62" s="399"/>
      <c r="EZ62" s="399"/>
      <c r="FA62" s="399"/>
      <c r="FB62" s="399"/>
      <c r="FC62" s="399"/>
      <c r="FD62" s="399"/>
      <c r="FE62" s="399"/>
      <c r="FF62" s="399"/>
      <c r="FG62" s="399"/>
      <c r="FH62" s="399"/>
      <c r="FI62" s="399"/>
      <c r="FJ62" s="399"/>
      <c r="FK62" s="399"/>
      <c r="FL62" s="399"/>
      <c r="FM62" s="399"/>
      <c r="FN62" s="399"/>
      <c r="FO62" s="399"/>
      <c r="FP62" s="399"/>
      <c r="FQ62" s="399"/>
      <c r="FR62" s="399"/>
      <c r="FS62" s="399"/>
      <c r="FT62" s="399"/>
      <c r="FU62" s="399"/>
      <c r="FV62" s="399"/>
      <c r="FW62" s="399"/>
      <c r="FX62" s="399"/>
      <c r="FY62" s="399"/>
      <c r="FZ62" s="399"/>
      <c r="GA62" s="399"/>
      <c r="GB62" s="399"/>
      <c r="GC62" s="399"/>
      <c r="GD62" s="399"/>
      <c r="GE62" s="399"/>
      <c r="GF62" s="399"/>
      <c r="GG62" s="399"/>
      <c r="GH62" s="399"/>
      <c r="GI62" s="399"/>
      <c r="GJ62" s="399"/>
      <c r="GK62" s="399"/>
      <c r="GL62" s="399"/>
      <c r="GM62" s="399"/>
      <c r="GN62" s="399"/>
      <c r="GO62" s="399"/>
      <c r="GP62" s="399"/>
      <c r="GQ62" s="399"/>
      <c r="GR62" s="399"/>
      <c r="GS62" s="399"/>
      <c r="GT62" s="399"/>
      <c r="GU62" s="399"/>
      <c r="GV62" s="399"/>
      <c r="GW62" s="399"/>
      <c r="GX62" s="399"/>
      <c r="GY62" s="399"/>
      <c r="GZ62" s="399"/>
      <c r="HA62" s="399"/>
      <c r="HB62" s="399"/>
      <c r="HC62" s="399"/>
      <c r="HD62" s="399"/>
      <c r="HE62" s="399"/>
      <c r="HF62" s="399"/>
      <c r="HG62" s="399"/>
      <c r="HH62" s="399"/>
      <c r="HI62" s="399"/>
      <c r="HJ62" s="399"/>
      <c r="HK62" s="399"/>
      <c r="HL62" s="399"/>
      <c r="HM62" s="399"/>
      <c r="HN62" s="399"/>
      <c r="HO62" s="399"/>
      <c r="HP62" s="399"/>
      <c r="HQ62" s="399"/>
      <c r="HR62" s="399"/>
      <c r="HS62" s="399"/>
      <c r="HT62" s="399"/>
      <c r="HU62" s="399"/>
      <c r="HV62" s="399"/>
      <c r="HW62" s="399"/>
      <c r="HX62" s="399"/>
      <c r="HY62" s="399"/>
      <c r="HZ62" s="399"/>
      <c r="IA62" s="399"/>
      <c r="IB62" s="399"/>
      <c r="IC62" s="399"/>
      <c r="ID62" s="399"/>
      <c r="IE62" s="399"/>
      <c r="IF62" s="399"/>
      <c r="IG62" s="399"/>
      <c r="IH62" s="399"/>
      <c r="II62" s="399"/>
      <c r="IJ62" s="399"/>
      <c r="IK62" s="399"/>
      <c r="IL62" s="399"/>
      <c r="IM62" s="399"/>
      <c r="IN62" s="399"/>
      <c r="IO62" s="399"/>
      <c r="IP62" s="399"/>
      <c r="IQ62" s="399"/>
      <c r="IR62" s="399"/>
      <c r="IS62" s="399"/>
    </row>
    <row r="63" spans="1:253" s="632" customFormat="1">
      <c r="A63" s="524"/>
      <c r="B63" s="609"/>
      <c r="C63" s="565"/>
      <c r="D63" s="622"/>
      <c r="E63" s="625"/>
      <c r="F63" s="415"/>
      <c r="G63" s="578"/>
      <c r="H63" s="680"/>
      <c r="I63" s="612"/>
      <c r="J63" s="670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  <c r="BW63" s="399"/>
      <c r="BX63" s="399"/>
      <c r="BY63" s="399"/>
      <c r="BZ63" s="399"/>
      <c r="CA63" s="399"/>
      <c r="CB63" s="399"/>
      <c r="CC63" s="399"/>
      <c r="CD63" s="399"/>
      <c r="CE63" s="399"/>
      <c r="CF63" s="399"/>
      <c r="CG63" s="399"/>
      <c r="CH63" s="399"/>
      <c r="CI63" s="399"/>
      <c r="CJ63" s="399"/>
      <c r="CK63" s="399"/>
      <c r="CL63" s="399"/>
      <c r="CM63" s="399"/>
      <c r="CN63" s="399"/>
      <c r="CO63" s="399"/>
      <c r="CP63" s="399"/>
      <c r="CQ63" s="399"/>
      <c r="CR63" s="399"/>
      <c r="CS63" s="399"/>
      <c r="CT63" s="399"/>
      <c r="CU63" s="399"/>
      <c r="CV63" s="399"/>
      <c r="CW63" s="399"/>
      <c r="CX63" s="399"/>
      <c r="CY63" s="399"/>
      <c r="CZ63" s="399"/>
      <c r="DA63" s="399"/>
      <c r="DB63" s="399"/>
      <c r="DC63" s="399"/>
      <c r="DD63" s="399"/>
      <c r="DE63" s="399"/>
      <c r="DF63" s="399"/>
      <c r="DG63" s="399"/>
      <c r="DH63" s="399"/>
      <c r="DI63" s="399"/>
      <c r="DJ63" s="399"/>
      <c r="DK63" s="399"/>
      <c r="DL63" s="399"/>
      <c r="DM63" s="399"/>
      <c r="DN63" s="399"/>
      <c r="DO63" s="399"/>
      <c r="DP63" s="399"/>
      <c r="DQ63" s="399"/>
      <c r="DR63" s="399"/>
      <c r="DS63" s="399"/>
      <c r="DT63" s="399"/>
      <c r="DU63" s="399"/>
      <c r="DV63" s="399"/>
      <c r="DW63" s="399"/>
      <c r="DX63" s="399"/>
      <c r="DY63" s="399"/>
      <c r="DZ63" s="399"/>
      <c r="EA63" s="399"/>
      <c r="EB63" s="399"/>
      <c r="EC63" s="399"/>
      <c r="ED63" s="399"/>
      <c r="EE63" s="399"/>
      <c r="EF63" s="399"/>
      <c r="EG63" s="399"/>
      <c r="EH63" s="399"/>
      <c r="EI63" s="399"/>
      <c r="EJ63" s="399"/>
      <c r="EK63" s="399"/>
      <c r="EL63" s="399"/>
      <c r="EM63" s="399"/>
      <c r="EN63" s="399"/>
      <c r="EO63" s="399"/>
      <c r="EP63" s="399"/>
      <c r="EQ63" s="399"/>
      <c r="ER63" s="399"/>
      <c r="ES63" s="399"/>
      <c r="ET63" s="399"/>
      <c r="EU63" s="399"/>
      <c r="EV63" s="399"/>
      <c r="EW63" s="399"/>
      <c r="EX63" s="399"/>
      <c r="EY63" s="399"/>
      <c r="EZ63" s="399"/>
      <c r="FA63" s="399"/>
      <c r="FB63" s="399"/>
      <c r="FC63" s="399"/>
      <c r="FD63" s="399"/>
      <c r="FE63" s="399"/>
      <c r="FF63" s="399"/>
      <c r="FG63" s="399"/>
      <c r="FH63" s="399"/>
      <c r="FI63" s="399"/>
      <c r="FJ63" s="399"/>
      <c r="FK63" s="399"/>
      <c r="FL63" s="399"/>
      <c r="FM63" s="399"/>
      <c r="FN63" s="399"/>
      <c r="FO63" s="399"/>
      <c r="FP63" s="399"/>
      <c r="FQ63" s="399"/>
      <c r="FR63" s="399"/>
      <c r="FS63" s="399"/>
      <c r="FT63" s="399"/>
      <c r="FU63" s="399"/>
      <c r="FV63" s="399"/>
      <c r="FW63" s="399"/>
      <c r="FX63" s="399"/>
      <c r="FY63" s="399"/>
      <c r="FZ63" s="399"/>
      <c r="GA63" s="399"/>
      <c r="GB63" s="399"/>
      <c r="GC63" s="399"/>
      <c r="GD63" s="399"/>
      <c r="GE63" s="399"/>
      <c r="GF63" s="399"/>
      <c r="GG63" s="399"/>
      <c r="GH63" s="399"/>
      <c r="GI63" s="399"/>
      <c r="GJ63" s="399"/>
      <c r="GK63" s="399"/>
      <c r="GL63" s="399"/>
      <c r="GM63" s="399"/>
      <c r="GN63" s="399"/>
      <c r="GO63" s="399"/>
      <c r="GP63" s="399"/>
      <c r="GQ63" s="399"/>
      <c r="GR63" s="399"/>
      <c r="GS63" s="399"/>
      <c r="GT63" s="399"/>
      <c r="GU63" s="399"/>
      <c r="GV63" s="399"/>
      <c r="GW63" s="399"/>
      <c r="GX63" s="399"/>
      <c r="GY63" s="399"/>
      <c r="GZ63" s="399"/>
      <c r="HA63" s="399"/>
      <c r="HB63" s="399"/>
      <c r="HC63" s="399"/>
      <c r="HD63" s="399"/>
      <c r="HE63" s="399"/>
      <c r="HF63" s="399"/>
      <c r="HG63" s="399"/>
      <c r="HH63" s="399"/>
      <c r="HI63" s="399"/>
      <c r="HJ63" s="399"/>
      <c r="HK63" s="399"/>
      <c r="HL63" s="399"/>
      <c r="HM63" s="399"/>
      <c r="HN63" s="399"/>
      <c r="HO63" s="399"/>
      <c r="HP63" s="399"/>
      <c r="HQ63" s="399"/>
      <c r="HR63" s="399"/>
      <c r="HS63" s="399"/>
      <c r="HT63" s="399"/>
      <c r="HU63" s="399"/>
      <c r="HV63" s="399"/>
      <c r="HW63" s="399"/>
      <c r="HX63" s="399"/>
      <c r="HY63" s="399"/>
      <c r="HZ63" s="399"/>
      <c r="IA63" s="399"/>
      <c r="IB63" s="399"/>
      <c r="IC63" s="399"/>
      <c r="ID63" s="399"/>
      <c r="IE63" s="399"/>
      <c r="IF63" s="399"/>
      <c r="IG63" s="399"/>
      <c r="IH63" s="399"/>
      <c r="II63" s="399"/>
      <c r="IJ63" s="399"/>
      <c r="IK63" s="399"/>
      <c r="IL63" s="399"/>
      <c r="IM63" s="399"/>
      <c r="IN63" s="399"/>
      <c r="IO63" s="399"/>
      <c r="IP63" s="399"/>
      <c r="IQ63" s="399"/>
      <c r="IR63" s="399"/>
      <c r="IS63" s="399"/>
    </row>
    <row r="64" spans="1:253" s="632" customFormat="1">
      <c r="A64" s="524"/>
      <c r="B64" s="609"/>
      <c r="C64" s="565"/>
      <c r="D64" s="622"/>
      <c r="E64" s="625"/>
      <c r="F64" s="415"/>
      <c r="G64" s="578"/>
      <c r="H64" s="680"/>
      <c r="I64" s="612"/>
      <c r="J64" s="670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  <c r="BW64" s="399"/>
      <c r="BX64" s="399"/>
      <c r="BY64" s="399"/>
      <c r="BZ64" s="399"/>
      <c r="CA64" s="399"/>
      <c r="CB64" s="399"/>
      <c r="CC64" s="399"/>
      <c r="CD64" s="399"/>
      <c r="CE64" s="399"/>
      <c r="CF64" s="399"/>
      <c r="CG64" s="399"/>
      <c r="CH64" s="399"/>
      <c r="CI64" s="399"/>
      <c r="CJ64" s="399"/>
      <c r="CK64" s="399"/>
      <c r="CL64" s="399"/>
      <c r="CM64" s="399"/>
      <c r="CN64" s="399"/>
      <c r="CO64" s="399"/>
      <c r="CP64" s="399"/>
      <c r="CQ64" s="399"/>
      <c r="CR64" s="399"/>
      <c r="CS64" s="399"/>
      <c r="CT64" s="399"/>
      <c r="CU64" s="399"/>
      <c r="CV64" s="399"/>
      <c r="CW64" s="399"/>
      <c r="CX64" s="399"/>
      <c r="CY64" s="399"/>
      <c r="CZ64" s="399"/>
      <c r="DA64" s="399"/>
      <c r="DB64" s="399"/>
      <c r="DC64" s="399"/>
      <c r="DD64" s="399"/>
      <c r="DE64" s="399"/>
      <c r="DF64" s="399"/>
      <c r="DG64" s="399"/>
      <c r="DH64" s="399"/>
      <c r="DI64" s="399"/>
      <c r="DJ64" s="399"/>
      <c r="DK64" s="399"/>
      <c r="DL64" s="399"/>
      <c r="DM64" s="399"/>
      <c r="DN64" s="399"/>
      <c r="DO64" s="399"/>
      <c r="DP64" s="399"/>
      <c r="DQ64" s="399"/>
      <c r="DR64" s="399"/>
      <c r="DS64" s="399"/>
      <c r="DT64" s="399"/>
      <c r="DU64" s="399"/>
      <c r="DV64" s="399"/>
      <c r="DW64" s="399"/>
      <c r="DX64" s="399"/>
      <c r="DY64" s="399"/>
      <c r="DZ64" s="399"/>
      <c r="EA64" s="399"/>
      <c r="EB64" s="399"/>
      <c r="EC64" s="399"/>
      <c r="ED64" s="399"/>
      <c r="EE64" s="399"/>
      <c r="EF64" s="399"/>
      <c r="EG64" s="399"/>
      <c r="EH64" s="399"/>
      <c r="EI64" s="399"/>
      <c r="EJ64" s="399"/>
      <c r="EK64" s="399"/>
      <c r="EL64" s="399"/>
      <c r="EM64" s="399"/>
      <c r="EN64" s="399"/>
      <c r="EO64" s="399"/>
      <c r="EP64" s="399"/>
      <c r="EQ64" s="399"/>
      <c r="ER64" s="399"/>
      <c r="ES64" s="399"/>
      <c r="ET64" s="399"/>
      <c r="EU64" s="399"/>
      <c r="EV64" s="399"/>
      <c r="EW64" s="399"/>
      <c r="EX64" s="399"/>
      <c r="EY64" s="399"/>
      <c r="EZ64" s="399"/>
      <c r="FA64" s="399"/>
      <c r="FB64" s="399"/>
      <c r="FC64" s="399"/>
      <c r="FD64" s="399"/>
      <c r="FE64" s="399"/>
      <c r="FF64" s="399"/>
      <c r="FG64" s="399"/>
      <c r="FH64" s="399"/>
      <c r="FI64" s="399"/>
      <c r="FJ64" s="399"/>
      <c r="FK64" s="399"/>
      <c r="FL64" s="399"/>
      <c r="FM64" s="399"/>
      <c r="FN64" s="399"/>
      <c r="FO64" s="399"/>
      <c r="FP64" s="399"/>
      <c r="FQ64" s="399"/>
      <c r="FR64" s="399"/>
      <c r="FS64" s="399"/>
      <c r="FT64" s="399"/>
      <c r="FU64" s="399"/>
      <c r="FV64" s="399"/>
      <c r="FW64" s="399"/>
      <c r="FX64" s="399"/>
      <c r="FY64" s="399"/>
      <c r="FZ64" s="399"/>
      <c r="GA64" s="399"/>
      <c r="GB64" s="399"/>
      <c r="GC64" s="399"/>
      <c r="GD64" s="399"/>
      <c r="GE64" s="399"/>
      <c r="GF64" s="399"/>
      <c r="GG64" s="399"/>
      <c r="GH64" s="399"/>
      <c r="GI64" s="399"/>
      <c r="GJ64" s="399"/>
      <c r="GK64" s="399"/>
      <c r="GL64" s="399"/>
      <c r="GM64" s="399"/>
      <c r="GN64" s="399"/>
      <c r="GO64" s="399"/>
      <c r="GP64" s="399"/>
      <c r="GQ64" s="399"/>
      <c r="GR64" s="399"/>
      <c r="GS64" s="399"/>
      <c r="GT64" s="399"/>
      <c r="GU64" s="399"/>
      <c r="GV64" s="399"/>
      <c r="GW64" s="399"/>
      <c r="GX64" s="399"/>
      <c r="GY64" s="399"/>
      <c r="GZ64" s="399"/>
      <c r="HA64" s="399"/>
      <c r="HB64" s="399"/>
      <c r="HC64" s="399"/>
      <c r="HD64" s="399"/>
      <c r="HE64" s="399"/>
      <c r="HF64" s="399"/>
      <c r="HG64" s="399"/>
      <c r="HH64" s="399"/>
      <c r="HI64" s="399"/>
      <c r="HJ64" s="399"/>
      <c r="HK64" s="399"/>
      <c r="HL64" s="399"/>
      <c r="HM64" s="399"/>
      <c r="HN64" s="399"/>
      <c r="HO64" s="399"/>
      <c r="HP64" s="399"/>
      <c r="HQ64" s="399"/>
      <c r="HR64" s="399"/>
      <c r="HS64" s="399"/>
      <c r="HT64" s="399"/>
      <c r="HU64" s="399"/>
      <c r="HV64" s="399"/>
      <c r="HW64" s="399"/>
      <c r="HX64" s="399"/>
      <c r="HY64" s="399"/>
      <c r="HZ64" s="399"/>
      <c r="IA64" s="399"/>
      <c r="IB64" s="399"/>
      <c r="IC64" s="399"/>
      <c r="ID64" s="399"/>
      <c r="IE64" s="399"/>
      <c r="IF64" s="399"/>
      <c r="IG64" s="399"/>
      <c r="IH64" s="399"/>
      <c r="II64" s="399"/>
      <c r="IJ64" s="399"/>
      <c r="IK64" s="399"/>
      <c r="IL64" s="399"/>
      <c r="IM64" s="399"/>
      <c r="IN64" s="399"/>
      <c r="IO64" s="399"/>
      <c r="IP64" s="399"/>
      <c r="IQ64" s="399"/>
      <c r="IR64" s="399"/>
      <c r="IS64" s="399"/>
    </row>
    <row r="65" spans="1:253" s="399" customFormat="1">
      <c r="A65" s="25"/>
      <c r="B65" s="216" t="s">
        <v>1128</v>
      </c>
      <c r="C65" s="217"/>
      <c r="D65" s="218"/>
      <c r="E65" s="219" t="s">
        <v>1129</v>
      </c>
      <c r="F65" s="394"/>
      <c r="G65" s="525"/>
      <c r="H65" s="396"/>
      <c r="I65" s="612"/>
      <c r="J65" s="670"/>
    </row>
    <row r="66" spans="1:253" s="399" customFormat="1">
      <c r="A66" s="421"/>
      <c r="B66" s="609"/>
      <c r="C66" s="565"/>
      <c r="D66" s="565"/>
      <c r="E66" s="551"/>
      <c r="F66" s="681"/>
      <c r="G66" s="575"/>
      <c r="H66" s="408"/>
      <c r="I66" s="612"/>
      <c r="J66" s="670"/>
    </row>
    <row r="67" spans="1:253" s="650" customFormat="1" ht="25.5">
      <c r="A67" s="524">
        <f>MAX(A$1:A66)+1</f>
        <v>11</v>
      </c>
      <c r="B67" s="682"/>
      <c r="C67" s="683">
        <v>92020101</v>
      </c>
      <c r="D67" s="684"/>
      <c r="E67" s="685" t="s">
        <v>1130</v>
      </c>
      <c r="F67" s="638"/>
      <c r="G67" s="559" t="s">
        <v>7</v>
      </c>
      <c r="H67" s="560">
        <f>H68</f>
        <v>230</v>
      </c>
      <c r="I67" s="658"/>
      <c r="J67" s="454">
        <f>H67*I67</f>
        <v>0</v>
      </c>
      <c r="K67" s="561"/>
      <c r="L67" s="558"/>
      <c r="M67" s="558"/>
    </row>
    <row r="68" spans="1:253" s="399" customFormat="1" ht="25.5">
      <c r="A68" s="421"/>
      <c r="B68" s="686"/>
      <c r="C68" s="687"/>
      <c r="D68" s="688">
        <v>9202010105</v>
      </c>
      <c r="E68" s="366" t="s">
        <v>1131</v>
      </c>
      <c r="F68" s="689"/>
      <c r="G68" s="574" t="s">
        <v>7</v>
      </c>
      <c r="H68" s="570">
        <v>230</v>
      </c>
      <c r="I68" s="614"/>
      <c r="J68" s="667"/>
    </row>
    <row r="69" spans="1:253" s="399" customFormat="1">
      <c r="A69" s="690"/>
      <c r="B69" s="691"/>
      <c r="C69" s="673"/>
      <c r="D69" s="674"/>
      <c r="E69" s="675" t="s">
        <v>1132</v>
      </c>
      <c r="F69" s="415">
        <v>80</v>
      </c>
      <c r="G69" s="539"/>
      <c r="H69" s="573"/>
      <c r="I69" s="612"/>
      <c r="J69" s="670"/>
    </row>
    <row r="70" spans="1:253" s="399" customFormat="1">
      <c r="A70" s="690"/>
      <c r="B70" s="691"/>
      <c r="C70" s="673"/>
      <c r="D70" s="674"/>
      <c r="E70" s="675" t="s">
        <v>1133</v>
      </c>
      <c r="F70" s="415">
        <v>80</v>
      </c>
      <c r="G70" s="539"/>
      <c r="H70" s="573"/>
      <c r="I70" s="612"/>
      <c r="J70" s="670"/>
    </row>
    <row r="71" spans="1:253" s="399" customFormat="1">
      <c r="A71" s="690"/>
      <c r="B71" s="691"/>
      <c r="C71" s="673"/>
      <c r="D71" s="674"/>
      <c r="E71" s="675" t="s">
        <v>1134</v>
      </c>
      <c r="F71" s="631">
        <v>70</v>
      </c>
      <c r="G71" s="539"/>
      <c r="H71" s="573"/>
      <c r="I71" s="612"/>
      <c r="J71" s="670"/>
    </row>
    <row r="72" spans="1:253" s="399" customFormat="1">
      <c r="A72" s="690"/>
      <c r="B72" s="691"/>
      <c r="C72" s="673"/>
      <c r="D72" s="674"/>
      <c r="E72" s="675"/>
      <c r="F72" s="538">
        <f>SUM(F69:F71)</f>
        <v>230</v>
      </c>
      <c r="G72" s="539"/>
      <c r="H72" s="573"/>
      <c r="I72" s="612"/>
      <c r="J72" s="670"/>
    </row>
    <row r="73" spans="1:253" s="399" customFormat="1">
      <c r="A73" s="421"/>
      <c r="B73" s="686"/>
      <c r="C73" s="687"/>
      <c r="D73" s="688"/>
      <c r="E73" s="675"/>
      <c r="F73" s="676"/>
      <c r="G73" s="574"/>
      <c r="H73" s="540"/>
      <c r="I73" s="612"/>
      <c r="J73" s="670"/>
    </row>
    <row r="74" spans="1:253" s="650" customFormat="1" ht="25.5">
      <c r="A74" s="524">
        <f>MAX(A$1:A73)+1</f>
        <v>12</v>
      </c>
      <c r="B74" s="692"/>
      <c r="C74" s="683">
        <v>92020201</v>
      </c>
      <c r="D74" s="684"/>
      <c r="E74" s="685" t="s">
        <v>1135</v>
      </c>
      <c r="F74" s="638"/>
      <c r="G74" s="559" t="s">
        <v>1</v>
      </c>
      <c r="H74" s="560">
        <f>H75</f>
        <v>6</v>
      </c>
      <c r="I74" s="658"/>
      <c r="J74" s="454">
        <f>H74*I74</f>
        <v>0</v>
      </c>
      <c r="K74" s="561"/>
      <c r="L74" s="558"/>
      <c r="M74" s="558"/>
    </row>
    <row r="75" spans="1:253" s="399" customFormat="1" ht="25.5">
      <c r="A75" s="421"/>
      <c r="B75" s="434"/>
      <c r="C75" s="687"/>
      <c r="D75" s="688">
        <v>9202020101</v>
      </c>
      <c r="E75" s="366" t="s">
        <v>1136</v>
      </c>
      <c r="F75" s="689"/>
      <c r="G75" s="574" t="s">
        <v>1</v>
      </c>
      <c r="H75" s="570">
        <v>6</v>
      </c>
      <c r="I75" s="614"/>
      <c r="J75" s="667"/>
    </row>
    <row r="76" spans="1:253" s="399" customFormat="1">
      <c r="A76" s="533"/>
      <c r="B76" s="672"/>
      <c r="C76" s="673"/>
      <c r="D76" s="674"/>
      <c r="E76" s="675" t="s">
        <v>1137</v>
      </c>
      <c r="F76" s="415">
        <v>6</v>
      </c>
      <c r="G76" s="539"/>
      <c r="H76" s="573"/>
      <c r="I76" s="612"/>
      <c r="J76" s="670"/>
    </row>
    <row r="77" spans="1:253" s="632" customFormat="1">
      <c r="A77" s="524"/>
      <c r="B77" s="609"/>
      <c r="C77" s="565"/>
      <c r="D77" s="622"/>
      <c r="E77" s="625"/>
      <c r="F77" s="415"/>
      <c r="G77" s="578"/>
      <c r="H77" s="680"/>
      <c r="I77" s="612"/>
      <c r="J77" s="670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  <c r="BW77" s="399"/>
      <c r="BX77" s="399"/>
      <c r="BY77" s="399"/>
      <c r="BZ77" s="399"/>
      <c r="CA77" s="399"/>
      <c r="CB77" s="399"/>
      <c r="CC77" s="399"/>
      <c r="CD77" s="399"/>
      <c r="CE77" s="399"/>
      <c r="CF77" s="399"/>
      <c r="CG77" s="399"/>
      <c r="CH77" s="399"/>
      <c r="CI77" s="399"/>
      <c r="CJ77" s="399"/>
      <c r="CK77" s="399"/>
      <c r="CL77" s="399"/>
      <c r="CM77" s="399"/>
      <c r="CN77" s="399"/>
      <c r="CO77" s="399"/>
      <c r="CP77" s="399"/>
      <c r="CQ77" s="399"/>
      <c r="CR77" s="399"/>
      <c r="CS77" s="399"/>
      <c r="CT77" s="399"/>
      <c r="CU77" s="399"/>
      <c r="CV77" s="399"/>
      <c r="CW77" s="399"/>
      <c r="CX77" s="399"/>
      <c r="CY77" s="399"/>
      <c r="CZ77" s="399"/>
      <c r="DA77" s="399"/>
      <c r="DB77" s="399"/>
      <c r="DC77" s="399"/>
      <c r="DD77" s="399"/>
      <c r="DE77" s="399"/>
      <c r="DF77" s="399"/>
      <c r="DG77" s="399"/>
      <c r="DH77" s="399"/>
      <c r="DI77" s="399"/>
      <c r="DJ77" s="399"/>
      <c r="DK77" s="399"/>
      <c r="DL77" s="399"/>
      <c r="DM77" s="399"/>
      <c r="DN77" s="399"/>
      <c r="DO77" s="399"/>
      <c r="DP77" s="399"/>
      <c r="DQ77" s="399"/>
      <c r="DR77" s="399"/>
      <c r="DS77" s="399"/>
      <c r="DT77" s="399"/>
      <c r="DU77" s="399"/>
      <c r="DV77" s="399"/>
      <c r="DW77" s="399"/>
      <c r="DX77" s="399"/>
      <c r="DY77" s="399"/>
      <c r="DZ77" s="399"/>
      <c r="EA77" s="399"/>
      <c r="EB77" s="399"/>
      <c r="EC77" s="399"/>
      <c r="ED77" s="399"/>
      <c r="EE77" s="399"/>
      <c r="EF77" s="399"/>
      <c r="EG77" s="399"/>
      <c r="EH77" s="399"/>
      <c r="EI77" s="399"/>
      <c r="EJ77" s="399"/>
      <c r="EK77" s="399"/>
      <c r="EL77" s="399"/>
      <c r="EM77" s="399"/>
      <c r="EN77" s="399"/>
      <c r="EO77" s="399"/>
      <c r="EP77" s="399"/>
      <c r="EQ77" s="399"/>
      <c r="ER77" s="399"/>
      <c r="ES77" s="399"/>
      <c r="ET77" s="399"/>
      <c r="EU77" s="399"/>
      <c r="EV77" s="399"/>
      <c r="EW77" s="399"/>
      <c r="EX77" s="399"/>
      <c r="EY77" s="399"/>
      <c r="EZ77" s="399"/>
      <c r="FA77" s="399"/>
      <c r="FB77" s="399"/>
      <c r="FC77" s="399"/>
      <c r="FD77" s="399"/>
      <c r="FE77" s="399"/>
      <c r="FF77" s="399"/>
      <c r="FG77" s="399"/>
      <c r="FH77" s="399"/>
      <c r="FI77" s="399"/>
      <c r="FJ77" s="399"/>
      <c r="FK77" s="399"/>
      <c r="FL77" s="399"/>
      <c r="FM77" s="399"/>
      <c r="FN77" s="399"/>
      <c r="FO77" s="399"/>
      <c r="FP77" s="399"/>
      <c r="FQ77" s="399"/>
      <c r="FR77" s="399"/>
      <c r="FS77" s="399"/>
      <c r="FT77" s="399"/>
      <c r="FU77" s="399"/>
      <c r="FV77" s="399"/>
      <c r="FW77" s="399"/>
      <c r="FX77" s="399"/>
      <c r="FY77" s="399"/>
      <c r="FZ77" s="399"/>
      <c r="GA77" s="399"/>
      <c r="GB77" s="399"/>
      <c r="GC77" s="399"/>
      <c r="GD77" s="399"/>
      <c r="GE77" s="399"/>
      <c r="GF77" s="399"/>
      <c r="GG77" s="399"/>
      <c r="GH77" s="399"/>
      <c r="GI77" s="399"/>
      <c r="GJ77" s="399"/>
      <c r="GK77" s="399"/>
      <c r="GL77" s="399"/>
      <c r="GM77" s="399"/>
      <c r="GN77" s="399"/>
      <c r="GO77" s="399"/>
      <c r="GP77" s="399"/>
      <c r="GQ77" s="399"/>
      <c r="GR77" s="399"/>
      <c r="GS77" s="399"/>
      <c r="GT77" s="399"/>
      <c r="GU77" s="399"/>
      <c r="GV77" s="399"/>
      <c r="GW77" s="399"/>
      <c r="GX77" s="399"/>
      <c r="GY77" s="399"/>
      <c r="GZ77" s="399"/>
      <c r="HA77" s="399"/>
      <c r="HB77" s="399"/>
      <c r="HC77" s="399"/>
      <c r="HD77" s="399"/>
      <c r="HE77" s="399"/>
      <c r="HF77" s="399"/>
      <c r="HG77" s="399"/>
      <c r="HH77" s="399"/>
      <c r="HI77" s="399"/>
      <c r="HJ77" s="399"/>
      <c r="HK77" s="399"/>
      <c r="HL77" s="399"/>
      <c r="HM77" s="399"/>
      <c r="HN77" s="399"/>
      <c r="HO77" s="399"/>
      <c r="HP77" s="399"/>
      <c r="HQ77" s="399"/>
      <c r="HR77" s="399"/>
      <c r="HS77" s="399"/>
      <c r="HT77" s="399"/>
      <c r="HU77" s="399"/>
      <c r="HV77" s="399"/>
      <c r="HW77" s="399"/>
      <c r="HX77" s="399"/>
      <c r="HY77" s="399"/>
      <c r="HZ77" s="399"/>
      <c r="IA77" s="399"/>
      <c r="IB77" s="399"/>
      <c r="IC77" s="399"/>
      <c r="ID77" s="399"/>
      <c r="IE77" s="399"/>
      <c r="IF77" s="399"/>
      <c r="IG77" s="399"/>
      <c r="IH77" s="399"/>
      <c r="II77" s="399"/>
      <c r="IJ77" s="399"/>
      <c r="IK77" s="399"/>
      <c r="IL77" s="399"/>
      <c r="IM77" s="399"/>
      <c r="IN77" s="399"/>
      <c r="IO77" s="399"/>
      <c r="IP77" s="399"/>
      <c r="IQ77" s="399"/>
      <c r="IR77" s="399"/>
      <c r="IS77" s="399"/>
    </row>
    <row r="78" spans="1:253" s="632" customFormat="1" ht="25.5">
      <c r="A78" s="524">
        <f>MAX(A$1:A77)+1</f>
        <v>13</v>
      </c>
      <c r="B78" s="609"/>
      <c r="C78" s="693">
        <v>92031801</v>
      </c>
      <c r="D78" s="694"/>
      <c r="E78" s="28" t="s">
        <v>1152</v>
      </c>
      <c r="F78" s="29"/>
      <c r="G78" s="559" t="s">
        <v>116</v>
      </c>
      <c r="H78" s="560">
        <f>H79</f>
        <v>1</v>
      </c>
      <c r="I78" s="658"/>
      <c r="J78" s="454">
        <f>H78*I78</f>
        <v>0</v>
      </c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  <c r="BW78" s="399"/>
      <c r="BX78" s="399"/>
      <c r="BY78" s="399"/>
      <c r="BZ78" s="399"/>
      <c r="CA78" s="399"/>
      <c r="CB78" s="399"/>
      <c r="CC78" s="399"/>
      <c r="CD78" s="399"/>
      <c r="CE78" s="399"/>
      <c r="CF78" s="399"/>
      <c r="CG78" s="399"/>
      <c r="CH78" s="399"/>
      <c r="CI78" s="399"/>
      <c r="CJ78" s="399"/>
      <c r="CK78" s="399"/>
      <c r="CL78" s="399"/>
      <c r="CM78" s="399"/>
      <c r="CN78" s="399"/>
      <c r="CO78" s="399"/>
      <c r="CP78" s="399"/>
      <c r="CQ78" s="399"/>
      <c r="CR78" s="399"/>
      <c r="CS78" s="399"/>
      <c r="CT78" s="399"/>
      <c r="CU78" s="399"/>
      <c r="CV78" s="399"/>
      <c r="CW78" s="399"/>
      <c r="CX78" s="399"/>
      <c r="CY78" s="399"/>
      <c r="CZ78" s="399"/>
      <c r="DA78" s="399"/>
      <c r="DB78" s="399"/>
      <c r="DC78" s="399"/>
      <c r="DD78" s="399"/>
      <c r="DE78" s="399"/>
      <c r="DF78" s="399"/>
      <c r="DG78" s="399"/>
      <c r="DH78" s="399"/>
      <c r="DI78" s="399"/>
      <c r="DJ78" s="399"/>
      <c r="DK78" s="399"/>
      <c r="DL78" s="399"/>
      <c r="DM78" s="399"/>
      <c r="DN78" s="399"/>
      <c r="DO78" s="399"/>
      <c r="DP78" s="399"/>
      <c r="DQ78" s="399"/>
      <c r="DR78" s="399"/>
      <c r="DS78" s="399"/>
      <c r="DT78" s="399"/>
      <c r="DU78" s="399"/>
      <c r="DV78" s="399"/>
      <c r="DW78" s="399"/>
      <c r="DX78" s="399"/>
      <c r="DY78" s="399"/>
      <c r="DZ78" s="399"/>
      <c r="EA78" s="399"/>
      <c r="EB78" s="399"/>
      <c r="EC78" s="399"/>
      <c r="ED78" s="399"/>
      <c r="EE78" s="399"/>
      <c r="EF78" s="399"/>
      <c r="EG78" s="399"/>
      <c r="EH78" s="399"/>
      <c r="EI78" s="399"/>
      <c r="EJ78" s="399"/>
      <c r="EK78" s="399"/>
      <c r="EL78" s="399"/>
      <c r="EM78" s="399"/>
      <c r="EN78" s="399"/>
      <c r="EO78" s="399"/>
      <c r="EP78" s="399"/>
      <c r="EQ78" s="399"/>
      <c r="ER78" s="399"/>
      <c r="ES78" s="399"/>
      <c r="ET78" s="399"/>
      <c r="EU78" s="399"/>
      <c r="EV78" s="399"/>
      <c r="EW78" s="399"/>
      <c r="EX78" s="399"/>
      <c r="EY78" s="399"/>
      <c r="EZ78" s="399"/>
      <c r="FA78" s="399"/>
      <c r="FB78" s="399"/>
      <c r="FC78" s="399"/>
      <c r="FD78" s="399"/>
      <c r="FE78" s="399"/>
      <c r="FF78" s="399"/>
      <c r="FG78" s="399"/>
      <c r="FH78" s="399"/>
      <c r="FI78" s="399"/>
      <c r="FJ78" s="399"/>
      <c r="FK78" s="399"/>
      <c r="FL78" s="399"/>
      <c r="FM78" s="399"/>
      <c r="FN78" s="399"/>
      <c r="FO78" s="399"/>
      <c r="FP78" s="399"/>
      <c r="FQ78" s="399"/>
      <c r="FR78" s="399"/>
      <c r="FS78" s="399"/>
      <c r="FT78" s="399"/>
      <c r="FU78" s="399"/>
      <c r="FV78" s="399"/>
      <c r="FW78" s="399"/>
      <c r="FX78" s="399"/>
      <c r="FY78" s="399"/>
      <c r="FZ78" s="399"/>
      <c r="GA78" s="399"/>
      <c r="GB78" s="399"/>
      <c r="GC78" s="399"/>
      <c r="GD78" s="399"/>
      <c r="GE78" s="399"/>
      <c r="GF78" s="399"/>
      <c r="GG78" s="399"/>
      <c r="GH78" s="399"/>
      <c r="GI78" s="399"/>
      <c r="GJ78" s="399"/>
      <c r="GK78" s="399"/>
      <c r="GL78" s="399"/>
      <c r="GM78" s="399"/>
      <c r="GN78" s="399"/>
      <c r="GO78" s="399"/>
      <c r="GP78" s="399"/>
      <c r="GQ78" s="399"/>
      <c r="GR78" s="399"/>
      <c r="GS78" s="399"/>
      <c r="GT78" s="399"/>
      <c r="GU78" s="399"/>
      <c r="GV78" s="399"/>
      <c r="GW78" s="399"/>
      <c r="GX78" s="399"/>
      <c r="GY78" s="399"/>
      <c r="GZ78" s="399"/>
      <c r="HA78" s="399"/>
      <c r="HB78" s="399"/>
      <c r="HC78" s="399"/>
      <c r="HD78" s="399"/>
      <c r="HE78" s="399"/>
      <c r="HF78" s="399"/>
      <c r="HG78" s="399"/>
      <c r="HH78" s="399"/>
      <c r="HI78" s="399"/>
      <c r="HJ78" s="399"/>
      <c r="HK78" s="399"/>
      <c r="HL78" s="399"/>
      <c r="HM78" s="399"/>
      <c r="HN78" s="399"/>
      <c r="HO78" s="399"/>
      <c r="HP78" s="399"/>
      <c r="HQ78" s="399"/>
      <c r="HR78" s="399"/>
      <c r="HS78" s="399"/>
      <c r="HT78" s="399"/>
      <c r="HU78" s="399"/>
      <c r="HV78" s="399"/>
      <c r="HW78" s="399"/>
      <c r="HX78" s="399"/>
      <c r="HY78" s="399"/>
      <c r="HZ78" s="399"/>
      <c r="IA78" s="399"/>
      <c r="IB78" s="399"/>
      <c r="IC78" s="399"/>
      <c r="ID78" s="399"/>
      <c r="IE78" s="399"/>
      <c r="IF78" s="399"/>
      <c r="IG78" s="399"/>
      <c r="IH78" s="399"/>
      <c r="II78" s="399"/>
      <c r="IJ78" s="399"/>
      <c r="IK78" s="399"/>
      <c r="IL78" s="399"/>
      <c r="IM78" s="399"/>
      <c r="IN78" s="399"/>
      <c r="IO78" s="399"/>
      <c r="IP78" s="399"/>
      <c r="IQ78" s="399"/>
      <c r="IR78" s="399"/>
      <c r="IS78" s="399"/>
    </row>
    <row r="79" spans="1:253" s="632" customFormat="1" ht="25.5">
      <c r="A79" s="524"/>
      <c r="B79" s="609"/>
      <c r="C79" s="565"/>
      <c r="D79" s="695">
        <v>9203180118</v>
      </c>
      <c r="E79" s="34" t="s">
        <v>1153</v>
      </c>
      <c r="F79" s="35"/>
      <c r="G79" s="574" t="s">
        <v>116</v>
      </c>
      <c r="H79" s="570">
        <v>1</v>
      </c>
      <c r="I79" s="614"/>
      <c r="J79" s="667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  <c r="BY79" s="399"/>
      <c r="BZ79" s="399"/>
      <c r="CA79" s="399"/>
      <c r="CB79" s="399"/>
      <c r="CC79" s="399"/>
      <c r="CD79" s="399"/>
      <c r="CE79" s="399"/>
      <c r="CF79" s="399"/>
      <c r="CG79" s="399"/>
      <c r="CH79" s="399"/>
      <c r="CI79" s="399"/>
      <c r="CJ79" s="399"/>
      <c r="CK79" s="399"/>
      <c r="CL79" s="399"/>
      <c r="CM79" s="399"/>
      <c r="CN79" s="399"/>
      <c r="CO79" s="399"/>
      <c r="CP79" s="399"/>
      <c r="CQ79" s="399"/>
      <c r="CR79" s="399"/>
      <c r="CS79" s="399"/>
      <c r="CT79" s="399"/>
      <c r="CU79" s="399"/>
      <c r="CV79" s="399"/>
      <c r="CW79" s="399"/>
      <c r="CX79" s="399"/>
      <c r="CY79" s="399"/>
      <c r="CZ79" s="399"/>
      <c r="DA79" s="399"/>
      <c r="DB79" s="399"/>
      <c r="DC79" s="399"/>
      <c r="DD79" s="399"/>
      <c r="DE79" s="399"/>
      <c r="DF79" s="399"/>
      <c r="DG79" s="399"/>
      <c r="DH79" s="399"/>
      <c r="DI79" s="399"/>
      <c r="DJ79" s="399"/>
      <c r="DK79" s="399"/>
      <c r="DL79" s="399"/>
      <c r="DM79" s="399"/>
      <c r="DN79" s="399"/>
      <c r="DO79" s="399"/>
      <c r="DP79" s="399"/>
      <c r="DQ79" s="399"/>
      <c r="DR79" s="399"/>
      <c r="DS79" s="399"/>
      <c r="DT79" s="399"/>
      <c r="DU79" s="399"/>
      <c r="DV79" s="399"/>
      <c r="DW79" s="399"/>
      <c r="DX79" s="399"/>
      <c r="DY79" s="399"/>
      <c r="DZ79" s="399"/>
      <c r="EA79" s="399"/>
      <c r="EB79" s="399"/>
      <c r="EC79" s="399"/>
      <c r="ED79" s="399"/>
      <c r="EE79" s="399"/>
      <c r="EF79" s="399"/>
      <c r="EG79" s="399"/>
      <c r="EH79" s="399"/>
      <c r="EI79" s="399"/>
      <c r="EJ79" s="399"/>
      <c r="EK79" s="399"/>
      <c r="EL79" s="399"/>
      <c r="EM79" s="399"/>
      <c r="EN79" s="399"/>
      <c r="EO79" s="399"/>
      <c r="EP79" s="399"/>
      <c r="EQ79" s="399"/>
      <c r="ER79" s="399"/>
      <c r="ES79" s="399"/>
      <c r="ET79" s="399"/>
      <c r="EU79" s="399"/>
      <c r="EV79" s="399"/>
      <c r="EW79" s="399"/>
      <c r="EX79" s="399"/>
      <c r="EY79" s="399"/>
      <c r="EZ79" s="399"/>
      <c r="FA79" s="399"/>
      <c r="FB79" s="399"/>
      <c r="FC79" s="399"/>
      <c r="FD79" s="399"/>
      <c r="FE79" s="399"/>
      <c r="FF79" s="399"/>
      <c r="FG79" s="399"/>
      <c r="FH79" s="399"/>
      <c r="FI79" s="399"/>
      <c r="FJ79" s="399"/>
      <c r="FK79" s="399"/>
      <c r="FL79" s="399"/>
      <c r="FM79" s="399"/>
      <c r="FN79" s="399"/>
      <c r="FO79" s="399"/>
      <c r="FP79" s="399"/>
      <c r="FQ79" s="399"/>
      <c r="FR79" s="399"/>
      <c r="FS79" s="399"/>
      <c r="FT79" s="399"/>
      <c r="FU79" s="399"/>
      <c r="FV79" s="399"/>
      <c r="FW79" s="399"/>
      <c r="FX79" s="399"/>
      <c r="FY79" s="399"/>
      <c r="FZ79" s="399"/>
      <c r="GA79" s="399"/>
      <c r="GB79" s="399"/>
      <c r="GC79" s="399"/>
      <c r="GD79" s="399"/>
      <c r="GE79" s="399"/>
      <c r="GF79" s="399"/>
      <c r="GG79" s="399"/>
      <c r="GH79" s="399"/>
      <c r="GI79" s="399"/>
      <c r="GJ79" s="399"/>
      <c r="GK79" s="399"/>
      <c r="GL79" s="399"/>
      <c r="GM79" s="399"/>
      <c r="GN79" s="399"/>
      <c r="GO79" s="399"/>
      <c r="GP79" s="399"/>
      <c r="GQ79" s="399"/>
      <c r="GR79" s="399"/>
      <c r="GS79" s="399"/>
      <c r="GT79" s="399"/>
      <c r="GU79" s="399"/>
      <c r="GV79" s="399"/>
      <c r="GW79" s="399"/>
      <c r="GX79" s="399"/>
      <c r="GY79" s="399"/>
      <c r="GZ79" s="399"/>
      <c r="HA79" s="399"/>
      <c r="HB79" s="399"/>
      <c r="HC79" s="399"/>
      <c r="HD79" s="399"/>
      <c r="HE79" s="399"/>
      <c r="HF79" s="399"/>
      <c r="HG79" s="399"/>
      <c r="HH79" s="399"/>
      <c r="HI79" s="399"/>
      <c r="HJ79" s="399"/>
      <c r="HK79" s="399"/>
      <c r="HL79" s="399"/>
      <c r="HM79" s="399"/>
      <c r="HN79" s="399"/>
      <c r="HO79" s="399"/>
      <c r="HP79" s="399"/>
      <c r="HQ79" s="399"/>
      <c r="HR79" s="399"/>
      <c r="HS79" s="399"/>
      <c r="HT79" s="399"/>
      <c r="HU79" s="399"/>
      <c r="HV79" s="399"/>
      <c r="HW79" s="399"/>
      <c r="HX79" s="399"/>
      <c r="HY79" s="399"/>
      <c r="HZ79" s="399"/>
      <c r="IA79" s="399"/>
      <c r="IB79" s="399"/>
      <c r="IC79" s="399"/>
      <c r="ID79" s="399"/>
      <c r="IE79" s="399"/>
      <c r="IF79" s="399"/>
      <c r="IG79" s="399"/>
      <c r="IH79" s="399"/>
      <c r="II79" s="399"/>
      <c r="IJ79" s="399"/>
      <c r="IK79" s="399"/>
      <c r="IL79" s="399"/>
      <c r="IM79" s="399"/>
      <c r="IN79" s="399"/>
      <c r="IO79" s="399"/>
      <c r="IP79" s="399"/>
      <c r="IQ79" s="399"/>
      <c r="IR79" s="399"/>
      <c r="IS79" s="399"/>
    </row>
    <row r="80" spans="1:253" s="632" customFormat="1" ht="25.5">
      <c r="A80" s="524"/>
      <c r="B80" s="609"/>
      <c r="C80" s="565"/>
      <c r="D80" s="622"/>
      <c r="E80" s="675" t="s">
        <v>1126</v>
      </c>
      <c r="F80" s="415">
        <v>1</v>
      </c>
      <c r="G80" s="578"/>
      <c r="H80" s="680"/>
      <c r="I80" s="612"/>
      <c r="J80" s="670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  <c r="BY80" s="399"/>
      <c r="BZ80" s="399"/>
      <c r="CA80" s="399"/>
      <c r="CB80" s="399"/>
      <c r="CC80" s="399"/>
      <c r="CD80" s="399"/>
      <c r="CE80" s="399"/>
      <c r="CF80" s="399"/>
      <c r="CG80" s="399"/>
      <c r="CH80" s="399"/>
      <c r="CI80" s="399"/>
      <c r="CJ80" s="399"/>
      <c r="CK80" s="399"/>
      <c r="CL80" s="399"/>
      <c r="CM80" s="399"/>
      <c r="CN80" s="399"/>
      <c r="CO80" s="399"/>
      <c r="CP80" s="399"/>
      <c r="CQ80" s="399"/>
      <c r="CR80" s="399"/>
      <c r="CS80" s="399"/>
      <c r="CT80" s="399"/>
      <c r="CU80" s="399"/>
      <c r="CV80" s="399"/>
      <c r="CW80" s="399"/>
      <c r="CX80" s="399"/>
      <c r="CY80" s="399"/>
      <c r="CZ80" s="399"/>
      <c r="DA80" s="399"/>
      <c r="DB80" s="399"/>
      <c r="DC80" s="399"/>
      <c r="DD80" s="399"/>
      <c r="DE80" s="399"/>
      <c r="DF80" s="399"/>
      <c r="DG80" s="399"/>
      <c r="DH80" s="399"/>
      <c r="DI80" s="399"/>
      <c r="DJ80" s="399"/>
      <c r="DK80" s="399"/>
      <c r="DL80" s="399"/>
      <c r="DM80" s="399"/>
      <c r="DN80" s="399"/>
      <c r="DO80" s="399"/>
      <c r="DP80" s="399"/>
      <c r="DQ80" s="399"/>
      <c r="DR80" s="399"/>
      <c r="DS80" s="399"/>
      <c r="DT80" s="399"/>
      <c r="DU80" s="399"/>
      <c r="DV80" s="399"/>
      <c r="DW80" s="399"/>
      <c r="DX80" s="399"/>
      <c r="DY80" s="399"/>
      <c r="DZ80" s="399"/>
      <c r="EA80" s="399"/>
      <c r="EB80" s="399"/>
      <c r="EC80" s="399"/>
      <c r="ED80" s="399"/>
      <c r="EE80" s="399"/>
      <c r="EF80" s="399"/>
      <c r="EG80" s="399"/>
      <c r="EH80" s="399"/>
      <c r="EI80" s="399"/>
      <c r="EJ80" s="399"/>
      <c r="EK80" s="399"/>
      <c r="EL80" s="399"/>
      <c r="EM80" s="399"/>
      <c r="EN80" s="399"/>
      <c r="EO80" s="399"/>
      <c r="EP80" s="399"/>
      <c r="EQ80" s="399"/>
      <c r="ER80" s="399"/>
      <c r="ES80" s="399"/>
      <c r="ET80" s="399"/>
      <c r="EU80" s="399"/>
      <c r="EV80" s="399"/>
      <c r="EW80" s="399"/>
      <c r="EX80" s="399"/>
      <c r="EY80" s="399"/>
      <c r="EZ80" s="399"/>
      <c r="FA80" s="399"/>
      <c r="FB80" s="399"/>
      <c r="FC80" s="399"/>
      <c r="FD80" s="399"/>
      <c r="FE80" s="399"/>
      <c r="FF80" s="399"/>
      <c r="FG80" s="399"/>
      <c r="FH80" s="399"/>
      <c r="FI80" s="399"/>
      <c r="FJ80" s="399"/>
      <c r="FK80" s="399"/>
      <c r="FL80" s="399"/>
      <c r="FM80" s="399"/>
      <c r="FN80" s="399"/>
      <c r="FO80" s="399"/>
      <c r="FP80" s="399"/>
      <c r="FQ80" s="399"/>
      <c r="FR80" s="399"/>
      <c r="FS80" s="399"/>
      <c r="FT80" s="399"/>
      <c r="FU80" s="399"/>
      <c r="FV80" s="399"/>
      <c r="FW80" s="399"/>
      <c r="FX80" s="399"/>
      <c r="FY80" s="399"/>
      <c r="FZ80" s="399"/>
      <c r="GA80" s="399"/>
      <c r="GB80" s="399"/>
      <c r="GC80" s="399"/>
      <c r="GD80" s="399"/>
      <c r="GE80" s="399"/>
      <c r="GF80" s="399"/>
      <c r="GG80" s="399"/>
      <c r="GH80" s="399"/>
      <c r="GI80" s="399"/>
      <c r="GJ80" s="399"/>
      <c r="GK80" s="399"/>
      <c r="GL80" s="399"/>
      <c r="GM80" s="399"/>
      <c r="GN80" s="399"/>
      <c r="GO80" s="399"/>
      <c r="GP80" s="399"/>
      <c r="GQ80" s="399"/>
      <c r="GR80" s="399"/>
      <c r="GS80" s="399"/>
      <c r="GT80" s="399"/>
      <c r="GU80" s="399"/>
      <c r="GV80" s="399"/>
      <c r="GW80" s="399"/>
      <c r="GX80" s="399"/>
      <c r="GY80" s="399"/>
      <c r="GZ80" s="399"/>
      <c r="HA80" s="399"/>
      <c r="HB80" s="399"/>
      <c r="HC80" s="399"/>
      <c r="HD80" s="399"/>
      <c r="HE80" s="399"/>
      <c r="HF80" s="399"/>
      <c r="HG80" s="399"/>
      <c r="HH80" s="399"/>
      <c r="HI80" s="399"/>
      <c r="HJ80" s="399"/>
      <c r="HK80" s="399"/>
      <c r="HL80" s="399"/>
      <c r="HM80" s="399"/>
      <c r="HN80" s="399"/>
      <c r="HO80" s="399"/>
      <c r="HP80" s="399"/>
      <c r="HQ80" s="399"/>
      <c r="HR80" s="399"/>
      <c r="HS80" s="399"/>
      <c r="HT80" s="399"/>
      <c r="HU80" s="399"/>
      <c r="HV80" s="399"/>
      <c r="HW80" s="399"/>
      <c r="HX80" s="399"/>
      <c r="HY80" s="399"/>
      <c r="HZ80" s="399"/>
      <c r="IA80" s="399"/>
      <c r="IB80" s="399"/>
      <c r="IC80" s="399"/>
      <c r="ID80" s="399"/>
      <c r="IE80" s="399"/>
      <c r="IF80" s="399"/>
      <c r="IG80" s="399"/>
      <c r="IH80" s="399"/>
      <c r="II80" s="399"/>
      <c r="IJ80" s="399"/>
      <c r="IK80" s="399"/>
      <c r="IL80" s="399"/>
      <c r="IM80" s="399"/>
      <c r="IN80" s="399"/>
      <c r="IO80" s="399"/>
      <c r="IP80" s="399"/>
      <c r="IQ80" s="399"/>
      <c r="IR80" s="399"/>
      <c r="IS80" s="399"/>
    </row>
    <row r="81" spans="1:253" s="632" customFormat="1">
      <c r="A81" s="524"/>
      <c r="B81" s="609"/>
      <c r="C81" s="565"/>
      <c r="D81" s="622"/>
      <c r="E81" s="625"/>
      <c r="F81" s="415"/>
      <c r="G81" s="578"/>
      <c r="H81" s="680"/>
      <c r="I81" s="612"/>
      <c r="J81" s="670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  <c r="BY81" s="399"/>
      <c r="BZ81" s="399"/>
      <c r="CA81" s="399"/>
      <c r="CB81" s="399"/>
      <c r="CC81" s="399"/>
      <c r="CD81" s="399"/>
      <c r="CE81" s="399"/>
      <c r="CF81" s="399"/>
      <c r="CG81" s="399"/>
      <c r="CH81" s="399"/>
      <c r="CI81" s="399"/>
      <c r="CJ81" s="399"/>
      <c r="CK81" s="399"/>
      <c r="CL81" s="399"/>
      <c r="CM81" s="399"/>
      <c r="CN81" s="399"/>
      <c r="CO81" s="399"/>
      <c r="CP81" s="399"/>
      <c r="CQ81" s="399"/>
      <c r="CR81" s="399"/>
      <c r="CS81" s="399"/>
      <c r="CT81" s="399"/>
      <c r="CU81" s="399"/>
      <c r="CV81" s="399"/>
      <c r="CW81" s="399"/>
      <c r="CX81" s="399"/>
      <c r="CY81" s="399"/>
      <c r="CZ81" s="399"/>
      <c r="DA81" s="399"/>
      <c r="DB81" s="399"/>
      <c r="DC81" s="399"/>
      <c r="DD81" s="399"/>
      <c r="DE81" s="399"/>
      <c r="DF81" s="399"/>
      <c r="DG81" s="399"/>
      <c r="DH81" s="399"/>
      <c r="DI81" s="399"/>
      <c r="DJ81" s="399"/>
      <c r="DK81" s="399"/>
      <c r="DL81" s="399"/>
      <c r="DM81" s="399"/>
      <c r="DN81" s="399"/>
      <c r="DO81" s="399"/>
      <c r="DP81" s="399"/>
      <c r="DQ81" s="399"/>
      <c r="DR81" s="399"/>
      <c r="DS81" s="399"/>
      <c r="DT81" s="399"/>
      <c r="DU81" s="399"/>
      <c r="DV81" s="399"/>
      <c r="DW81" s="399"/>
      <c r="DX81" s="399"/>
      <c r="DY81" s="399"/>
      <c r="DZ81" s="399"/>
      <c r="EA81" s="399"/>
      <c r="EB81" s="399"/>
      <c r="EC81" s="399"/>
      <c r="ED81" s="399"/>
      <c r="EE81" s="399"/>
      <c r="EF81" s="399"/>
      <c r="EG81" s="399"/>
      <c r="EH81" s="399"/>
      <c r="EI81" s="399"/>
      <c r="EJ81" s="399"/>
      <c r="EK81" s="399"/>
      <c r="EL81" s="399"/>
      <c r="EM81" s="399"/>
      <c r="EN81" s="399"/>
      <c r="EO81" s="399"/>
      <c r="EP81" s="399"/>
      <c r="EQ81" s="399"/>
      <c r="ER81" s="399"/>
      <c r="ES81" s="399"/>
      <c r="ET81" s="399"/>
      <c r="EU81" s="399"/>
      <c r="EV81" s="399"/>
      <c r="EW81" s="399"/>
      <c r="EX81" s="399"/>
      <c r="EY81" s="399"/>
      <c r="EZ81" s="399"/>
      <c r="FA81" s="399"/>
      <c r="FB81" s="399"/>
      <c r="FC81" s="399"/>
      <c r="FD81" s="399"/>
      <c r="FE81" s="399"/>
      <c r="FF81" s="399"/>
      <c r="FG81" s="399"/>
      <c r="FH81" s="399"/>
      <c r="FI81" s="399"/>
      <c r="FJ81" s="399"/>
      <c r="FK81" s="399"/>
      <c r="FL81" s="399"/>
      <c r="FM81" s="399"/>
      <c r="FN81" s="399"/>
      <c r="FO81" s="399"/>
      <c r="FP81" s="399"/>
      <c r="FQ81" s="399"/>
      <c r="FR81" s="399"/>
      <c r="FS81" s="399"/>
      <c r="FT81" s="399"/>
      <c r="FU81" s="399"/>
      <c r="FV81" s="399"/>
      <c r="FW81" s="399"/>
      <c r="FX81" s="399"/>
      <c r="FY81" s="399"/>
      <c r="FZ81" s="399"/>
      <c r="GA81" s="399"/>
      <c r="GB81" s="399"/>
      <c r="GC81" s="399"/>
      <c r="GD81" s="399"/>
      <c r="GE81" s="399"/>
      <c r="GF81" s="399"/>
      <c r="GG81" s="399"/>
      <c r="GH81" s="399"/>
      <c r="GI81" s="399"/>
      <c r="GJ81" s="399"/>
      <c r="GK81" s="399"/>
      <c r="GL81" s="399"/>
      <c r="GM81" s="399"/>
      <c r="GN81" s="399"/>
      <c r="GO81" s="399"/>
      <c r="GP81" s="399"/>
      <c r="GQ81" s="399"/>
      <c r="GR81" s="399"/>
      <c r="GS81" s="399"/>
      <c r="GT81" s="399"/>
      <c r="GU81" s="399"/>
      <c r="GV81" s="399"/>
      <c r="GW81" s="399"/>
      <c r="GX81" s="399"/>
      <c r="GY81" s="399"/>
      <c r="GZ81" s="399"/>
      <c r="HA81" s="399"/>
      <c r="HB81" s="399"/>
      <c r="HC81" s="399"/>
      <c r="HD81" s="399"/>
      <c r="HE81" s="399"/>
      <c r="HF81" s="399"/>
      <c r="HG81" s="399"/>
      <c r="HH81" s="399"/>
      <c r="HI81" s="399"/>
      <c r="HJ81" s="399"/>
      <c r="HK81" s="399"/>
      <c r="HL81" s="399"/>
      <c r="HM81" s="399"/>
      <c r="HN81" s="399"/>
      <c r="HO81" s="399"/>
      <c r="HP81" s="399"/>
      <c r="HQ81" s="399"/>
      <c r="HR81" s="399"/>
      <c r="HS81" s="399"/>
      <c r="HT81" s="399"/>
      <c r="HU81" s="399"/>
      <c r="HV81" s="399"/>
      <c r="HW81" s="399"/>
      <c r="HX81" s="399"/>
      <c r="HY81" s="399"/>
      <c r="HZ81" s="399"/>
      <c r="IA81" s="399"/>
      <c r="IB81" s="399"/>
      <c r="IC81" s="399"/>
      <c r="ID81" s="399"/>
      <c r="IE81" s="399"/>
      <c r="IF81" s="399"/>
      <c r="IG81" s="399"/>
      <c r="IH81" s="399"/>
      <c r="II81" s="399"/>
      <c r="IJ81" s="399"/>
      <c r="IK81" s="399"/>
      <c r="IL81" s="399"/>
      <c r="IM81" s="399"/>
      <c r="IN81" s="399"/>
      <c r="IO81" s="399"/>
      <c r="IP81" s="399"/>
      <c r="IQ81" s="399"/>
      <c r="IR81" s="399"/>
      <c r="IS81" s="399"/>
    </row>
    <row r="82" spans="1:253" ht="13.5" thickBot="1">
      <c r="A82" s="45"/>
      <c r="B82" s="46"/>
      <c r="C82" s="47"/>
      <c r="D82" s="48"/>
      <c r="E82" s="49"/>
      <c r="F82" s="50"/>
      <c r="G82" s="175"/>
      <c r="H82" s="173"/>
      <c r="I82" s="205"/>
      <c r="J82" s="60"/>
    </row>
    <row r="83" spans="1:253" ht="13.5" thickBot="1">
      <c r="A83" s="66"/>
      <c r="B83" s="67"/>
      <c r="C83" s="67"/>
      <c r="D83" s="67"/>
      <c r="E83" s="67" t="s">
        <v>1138</v>
      </c>
      <c r="F83" s="68"/>
      <c r="G83" s="67"/>
      <c r="H83" s="68"/>
      <c r="I83" s="68"/>
      <c r="J83" s="380">
        <f>SUM(J5:J82)</f>
        <v>0</v>
      </c>
    </row>
  </sheetData>
  <sheetProtection algorithmName="SHA-512" hashValue="9BCNaYGvR2tNN3dlFvF6re/F+xb83xz5J3DzSggC6AwCmLabBwbbu+Pt9IBBzh86X4rO0gwEHkc8gTbLtHENnw==" saltValue="gpU4tEVhUHlemmDcKEZAJQ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- KRUHOVÝ OBJAZD NA KRI6OVATKE ULICE J.KOLLÁRA A CESTY 2460&amp;RO. Výkaz výmer a rozpočet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FF10-E007-4CFC-8737-0AC111CD525F}">
  <dimension ref="A1:IS67"/>
  <sheetViews>
    <sheetView zoomScaleNormal="100" workbookViewId="0"/>
  </sheetViews>
  <sheetFormatPr defaultRowHeight="12.75"/>
  <cols>
    <col min="1" max="1" width="4.7109375" style="7" customWidth="1"/>
    <col min="2" max="2" width="9.28515625" style="7" customWidth="1"/>
    <col min="3" max="3" width="9" style="7" customWidth="1"/>
    <col min="4" max="4" width="10.85546875" style="7" customWidth="1"/>
    <col min="5" max="5" width="52.7109375" style="7" customWidth="1"/>
    <col min="6" max="6" width="9.85546875" style="4" customWidth="1"/>
    <col min="7" max="7" width="5.7109375" style="7" customWidth="1"/>
    <col min="8" max="9" width="10.140625" style="53" customWidth="1"/>
    <col min="10" max="10" width="14.85546875" style="53" customWidth="1"/>
    <col min="11" max="16384" width="9.140625" style="7"/>
  </cols>
  <sheetData>
    <row r="1" spans="1:252">
      <c r="A1" s="1" t="s">
        <v>13</v>
      </c>
      <c r="B1" s="1"/>
      <c r="C1" s="2"/>
      <c r="D1" s="3"/>
      <c r="E1" s="54" t="s">
        <v>1151</v>
      </c>
      <c r="G1" s="5"/>
      <c r="H1" s="6"/>
      <c r="I1" s="6"/>
      <c r="J1" s="6"/>
    </row>
    <row r="2" spans="1:252" ht="13.5" thickBot="1">
      <c r="A2" s="8" t="s">
        <v>14</v>
      </c>
      <c r="B2" s="1"/>
      <c r="C2" s="2"/>
      <c r="D2" s="3"/>
      <c r="E2" s="9">
        <v>2224</v>
      </c>
      <c r="G2" s="10"/>
      <c r="H2" s="11"/>
      <c r="I2" s="11"/>
      <c r="J2" s="11"/>
    </row>
    <row r="3" spans="1:252">
      <c r="A3" s="828" t="s">
        <v>15</v>
      </c>
      <c r="B3" s="829"/>
      <c r="C3" s="829"/>
      <c r="D3" s="12"/>
      <c r="E3" s="830" t="s">
        <v>16</v>
      </c>
      <c r="F3" s="831"/>
      <c r="G3" s="834" t="s">
        <v>17</v>
      </c>
      <c r="H3" s="844" t="s">
        <v>18</v>
      </c>
      <c r="I3" s="826" t="s">
        <v>163</v>
      </c>
      <c r="J3" s="842" t="s">
        <v>164</v>
      </c>
    </row>
    <row r="4" spans="1:252" ht="13.5" thickBot="1">
      <c r="A4" s="13" t="s">
        <v>19</v>
      </c>
      <c r="B4" s="14" t="s">
        <v>22</v>
      </c>
      <c r="C4" s="14" t="s">
        <v>20</v>
      </c>
      <c r="D4" s="14" t="s">
        <v>21</v>
      </c>
      <c r="E4" s="832"/>
      <c r="F4" s="833"/>
      <c r="G4" s="835"/>
      <c r="H4" s="845"/>
      <c r="I4" s="827"/>
      <c r="J4" s="843"/>
    </row>
    <row r="5" spans="1:252" ht="13.5" customHeight="1">
      <c r="A5" s="15"/>
      <c r="B5" s="16"/>
      <c r="C5" s="16"/>
      <c r="D5" s="17"/>
      <c r="E5" s="18"/>
      <c r="F5" s="19"/>
      <c r="G5" s="174"/>
      <c r="H5" s="172"/>
      <c r="I5" s="207"/>
      <c r="J5" s="178"/>
    </row>
    <row r="6" spans="1:252" s="399" customFormat="1">
      <c r="A6" s="392"/>
      <c r="B6" s="216"/>
      <c r="C6" s="217"/>
      <c r="D6" s="218"/>
      <c r="E6" s="219"/>
      <c r="F6" s="394"/>
      <c r="G6" s="659"/>
      <c r="H6" s="396"/>
      <c r="I6" s="614"/>
      <c r="J6" s="696"/>
      <c r="K6" s="366"/>
      <c r="L6" s="366"/>
      <c r="M6" s="366"/>
    </row>
    <row r="7" spans="1:252" s="399" customFormat="1">
      <c r="A7" s="392"/>
      <c r="B7" s="216" t="s">
        <v>107</v>
      </c>
      <c r="C7" s="217"/>
      <c r="D7" s="218"/>
      <c r="E7" s="219" t="s">
        <v>108</v>
      </c>
      <c r="F7" s="394"/>
      <c r="G7" s="395"/>
      <c r="H7" s="396"/>
      <c r="I7" s="614"/>
      <c r="J7" s="696"/>
    </row>
    <row r="8" spans="1:252" s="399" customFormat="1">
      <c r="A8" s="392"/>
      <c r="B8" s="661"/>
      <c r="C8" s="401"/>
      <c r="D8" s="402"/>
      <c r="E8" s="403"/>
      <c r="F8" s="404"/>
      <c r="G8" s="405"/>
      <c r="H8" s="396"/>
      <c r="I8" s="614"/>
      <c r="J8" s="696"/>
    </row>
    <row r="9" spans="1:252" s="399" customFormat="1">
      <c r="A9" s="392"/>
      <c r="B9" s="661"/>
      <c r="C9" s="401"/>
      <c r="D9" s="402"/>
      <c r="E9" s="403"/>
      <c r="F9" s="404"/>
      <c r="G9" s="405"/>
      <c r="H9" s="396"/>
      <c r="I9" s="614"/>
      <c r="J9" s="696"/>
    </row>
    <row r="10" spans="1:252" s="399" customFormat="1">
      <c r="A10" s="227">
        <f>MAX(A$1:A9)+1</f>
        <v>1</v>
      </c>
      <c r="B10" s="228"/>
      <c r="C10" s="239" t="s">
        <v>111</v>
      </c>
      <c r="D10" s="240"/>
      <c r="E10" s="241" t="s">
        <v>112</v>
      </c>
      <c r="F10" s="242"/>
      <c r="G10" s="697" t="s">
        <v>8</v>
      </c>
      <c r="H10" s="698">
        <v>13</v>
      </c>
      <c r="I10" s="507"/>
      <c r="J10" s="699">
        <f>H10*I10</f>
        <v>0</v>
      </c>
    </row>
    <row r="11" spans="1:252" s="399" customFormat="1">
      <c r="A11" s="700"/>
      <c r="B11" s="413"/>
      <c r="C11" s="413"/>
      <c r="D11" s="414"/>
      <c r="E11" s="237" t="s">
        <v>118</v>
      </c>
      <c r="F11" s="415">
        <v>13</v>
      </c>
      <c r="G11" s="395"/>
      <c r="H11" s="701"/>
      <c r="I11" s="614"/>
      <c r="J11" s="696"/>
    </row>
    <row r="12" spans="1:252" s="399" customFormat="1">
      <c r="A12" s="702"/>
      <c r="B12" s="661"/>
      <c r="C12" s="401"/>
      <c r="D12" s="402"/>
      <c r="E12" s="403"/>
      <c r="F12" s="703"/>
      <c r="G12" s="704"/>
      <c r="H12" s="701"/>
      <c r="I12" s="614"/>
      <c r="J12" s="696"/>
    </row>
    <row r="13" spans="1:252" s="399" customFormat="1">
      <c r="A13" s="702"/>
      <c r="B13" s="661"/>
      <c r="C13" s="401"/>
      <c r="D13" s="402"/>
      <c r="E13" s="403"/>
      <c r="F13" s="703"/>
      <c r="G13" s="704"/>
      <c r="H13" s="701"/>
      <c r="I13" s="614"/>
      <c r="J13" s="696"/>
    </row>
    <row r="14" spans="1:252" s="632" customFormat="1">
      <c r="A14" s="702"/>
      <c r="B14" s="216" t="s">
        <v>763</v>
      </c>
      <c r="C14" s="217"/>
      <c r="D14" s="218"/>
      <c r="E14" s="219" t="s">
        <v>764</v>
      </c>
      <c r="F14" s="394"/>
      <c r="G14" s="395"/>
      <c r="H14" s="701"/>
      <c r="I14" s="409"/>
      <c r="J14" s="705"/>
      <c r="K14" s="554"/>
      <c r="L14" s="554"/>
      <c r="M14" s="554"/>
      <c r="N14" s="554"/>
      <c r="O14" s="554"/>
      <c r="P14" s="554"/>
      <c r="Q14" s="554"/>
      <c r="R14" s="554"/>
      <c r="S14" s="554"/>
      <c r="T14" s="554"/>
      <c r="U14" s="554"/>
      <c r="V14" s="554"/>
      <c r="W14" s="554"/>
      <c r="X14" s="554"/>
      <c r="Y14" s="554"/>
      <c r="Z14" s="554"/>
      <c r="AA14" s="554"/>
      <c r="AB14" s="554"/>
      <c r="AC14" s="554"/>
      <c r="AD14" s="554"/>
      <c r="AE14" s="554"/>
      <c r="AF14" s="554"/>
      <c r="AG14" s="554"/>
      <c r="AH14" s="554"/>
      <c r="AI14" s="554"/>
      <c r="AJ14" s="554"/>
      <c r="AK14" s="554"/>
      <c r="AL14" s="554"/>
      <c r="AM14" s="554"/>
      <c r="AN14" s="554"/>
      <c r="AO14" s="554"/>
      <c r="AP14" s="554"/>
      <c r="AQ14" s="554"/>
      <c r="AR14" s="554"/>
      <c r="AS14" s="554"/>
      <c r="AT14" s="554"/>
      <c r="AU14" s="554"/>
      <c r="AV14" s="554"/>
      <c r="AW14" s="554"/>
      <c r="AX14" s="554"/>
      <c r="AY14" s="554"/>
      <c r="AZ14" s="554"/>
      <c r="BA14" s="55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  <c r="DJ14" s="554"/>
      <c r="DK14" s="554"/>
      <c r="DL14" s="554"/>
      <c r="DM14" s="554"/>
      <c r="DN14" s="554"/>
      <c r="DO14" s="554"/>
      <c r="DP14" s="554"/>
      <c r="DQ14" s="554"/>
      <c r="DR14" s="554"/>
      <c r="DS14" s="554"/>
      <c r="DT14" s="554"/>
      <c r="DU14" s="554"/>
      <c r="DV14" s="554"/>
      <c r="DW14" s="554"/>
      <c r="DX14" s="554"/>
      <c r="DY14" s="554"/>
      <c r="DZ14" s="554"/>
      <c r="EA14" s="554"/>
      <c r="EB14" s="554"/>
      <c r="EC14" s="554"/>
      <c r="ED14" s="554"/>
      <c r="EE14" s="554"/>
      <c r="EF14" s="554"/>
      <c r="EG14" s="554"/>
      <c r="EH14" s="554"/>
      <c r="EI14" s="554"/>
      <c r="EJ14" s="554"/>
      <c r="EK14" s="554"/>
      <c r="EL14" s="554"/>
      <c r="EM14" s="554"/>
      <c r="EN14" s="554"/>
      <c r="EO14" s="554"/>
      <c r="EP14" s="554"/>
      <c r="EQ14" s="554"/>
      <c r="ER14" s="554"/>
      <c r="ES14" s="554"/>
      <c r="ET14" s="554"/>
      <c r="EU14" s="554"/>
      <c r="EV14" s="554"/>
      <c r="EW14" s="554"/>
      <c r="EX14" s="554"/>
      <c r="EY14" s="554"/>
      <c r="EZ14" s="554"/>
      <c r="FA14" s="554"/>
      <c r="FB14" s="554"/>
      <c r="FC14" s="554"/>
      <c r="FD14" s="554"/>
      <c r="FE14" s="554"/>
      <c r="FF14" s="554"/>
      <c r="FG14" s="554"/>
      <c r="FH14" s="554"/>
      <c r="FI14" s="554"/>
      <c r="FJ14" s="554"/>
      <c r="FK14" s="554"/>
      <c r="FL14" s="554"/>
      <c r="FM14" s="554"/>
      <c r="FN14" s="554"/>
      <c r="FO14" s="554"/>
      <c r="FP14" s="554"/>
      <c r="FQ14" s="554"/>
      <c r="FR14" s="554"/>
      <c r="FS14" s="554"/>
      <c r="FT14" s="554"/>
      <c r="FU14" s="554"/>
      <c r="FV14" s="554"/>
      <c r="FW14" s="554"/>
      <c r="FX14" s="554"/>
      <c r="FY14" s="554"/>
      <c r="FZ14" s="554"/>
      <c r="GA14" s="554"/>
      <c r="GB14" s="554"/>
      <c r="GC14" s="554"/>
      <c r="GD14" s="554"/>
      <c r="GE14" s="554"/>
      <c r="GF14" s="554"/>
      <c r="GG14" s="554"/>
      <c r="GH14" s="554"/>
      <c r="GI14" s="554"/>
      <c r="GJ14" s="554"/>
      <c r="GK14" s="554"/>
      <c r="GL14" s="554"/>
      <c r="GM14" s="554"/>
      <c r="GN14" s="554"/>
      <c r="GO14" s="554"/>
      <c r="GP14" s="554"/>
      <c r="GQ14" s="554"/>
      <c r="GR14" s="554"/>
      <c r="GS14" s="554"/>
      <c r="GT14" s="554"/>
      <c r="GU14" s="554"/>
      <c r="GV14" s="554"/>
      <c r="GW14" s="554"/>
      <c r="GX14" s="554"/>
      <c r="GY14" s="554"/>
      <c r="GZ14" s="554"/>
      <c r="HA14" s="554"/>
      <c r="HB14" s="554"/>
      <c r="HC14" s="554"/>
      <c r="HD14" s="554"/>
      <c r="HE14" s="554"/>
      <c r="HF14" s="554"/>
      <c r="HG14" s="554"/>
      <c r="HH14" s="554"/>
      <c r="HI14" s="554"/>
      <c r="HJ14" s="554"/>
      <c r="HK14" s="554"/>
      <c r="HL14" s="554"/>
      <c r="HM14" s="554"/>
      <c r="HN14" s="554"/>
      <c r="HO14" s="554"/>
      <c r="HP14" s="554"/>
      <c r="HQ14" s="554"/>
      <c r="HR14" s="554"/>
      <c r="HS14" s="554"/>
      <c r="HT14" s="554"/>
      <c r="HU14" s="554"/>
      <c r="HV14" s="554"/>
      <c r="HW14" s="554"/>
      <c r="HX14" s="554"/>
      <c r="HY14" s="554"/>
      <c r="HZ14" s="554"/>
      <c r="IA14" s="554"/>
      <c r="IB14" s="554"/>
      <c r="IC14" s="554"/>
      <c r="ID14" s="554"/>
      <c r="IE14" s="554"/>
      <c r="IF14" s="554"/>
      <c r="IG14" s="554"/>
      <c r="IH14" s="554"/>
      <c r="II14" s="554"/>
      <c r="IJ14" s="554"/>
      <c r="IK14" s="554"/>
      <c r="IL14" s="554"/>
      <c r="IM14" s="554"/>
      <c r="IN14" s="554"/>
      <c r="IO14" s="554"/>
      <c r="IP14" s="554"/>
      <c r="IQ14" s="554"/>
      <c r="IR14" s="554"/>
    </row>
    <row r="15" spans="1:252" s="632" customFormat="1">
      <c r="A15" s="706"/>
      <c r="B15" s="565"/>
      <c r="C15" s="610"/>
      <c r="D15" s="565"/>
      <c r="E15" s="551"/>
      <c r="F15" s="707"/>
      <c r="G15" s="708"/>
      <c r="H15" s="698"/>
      <c r="I15" s="409"/>
      <c r="J15" s="709"/>
      <c r="K15" s="554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4"/>
      <c r="W15" s="554"/>
      <c r="X15" s="554"/>
      <c r="Y15" s="554"/>
      <c r="Z15" s="554"/>
      <c r="AA15" s="554"/>
      <c r="AB15" s="554"/>
      <c r="AC15" s="554"/>
      <c r="AD15" s="554"/>
      <c r="AE15" s="554"/>
      <c r="AF15" s="554"/>
      <c r="AG15" s="554"/>
      <c r="AH15" s="554"/>
      <c r="AI15" s="554"/>
      <c r="AJ15" s="554"/>
      <c r="AK15" s="554"/>
      <c r="AL15" s="554"/>
      <c r="AM15" s="554"/>
      <c r="AN15" s="554"/>
      <c r="AO15" s="554"/>
      <c r="AP15" s="554"/>
      <c r="AQ15" s="554"/>
      <c r="AR15" s="554"/>
      <c r="AS15" s="554"/>
      <c r="AT15" s="554"/>
      <c r="AU15" s="554"/>
      <c r="AV15" s="554"/>
      <c r="AW15" s="554"/>
      <c r="AX15" s="554"/>
      <c r="AY15" s="554"/>
      <c r="AZ15" s="554"/>
      <c r="BA15" s="554"/>
      <c r="BB15" s="554"/>
      <c r="BC15" s="554"/>
      <c r="BD15" s="554"/>
      <c r="BE15" s="554"/>
      <c r="BF15" s="554"/>
      <c r="BG15" s="554"/>
      <c r="BH15" s="554"/>
      <c r="BI15" s="554"/>
      <c r="BJ15" s="554"/>
      <c r="BK15" s="554"/>
      <c r="BL15" s="554"/>
      <c r="BM15" s="554"/>
      <c r="BN15" s="554"/>
      <c r="BO15" s="554"/>
      <c r="BP15" s="554"/>
      <c r="BQ15" s="554"/>
      <c r="BR15" s="554"/>
      <c r="BS15" s="554"/>
      <c r="BT15" s="554"/>
      <c r="BU15" s="554"/>
      <c r="BV15" s="554"/>
      <c r="BW15" s="554"/>
      <c r="BX15" s="554"/>
      <c r="BY15" s="554"/>
      <c r="BZ15" s="554"/>
      <c r="CA15" s="554"/>
      <c r="CB15" s="554"/>
      <c r="CC15" s="554"/>
      <c r="CD15" s="554"/>
      <c r="CE15" s="554"/>
      <c r="CF15" s="554"/>
      <c r="CG15" s="554"/>
      <c r="CH15" s="554"/>
      <c r="CI15" s="554"/>
      <c r="CJ15" s="554"/>
      <c r="CK15" s="554"/>
      <c r="CL15" s="554"/>
      <c r="CM15" s="554"/>
      <c r="CN15" s="554"/>
      <c r="CO15" s="554"/>
      <c r="CP15" s="554"/>
      <c r="CQ15" s="554"/>
      <c r="CR15" s="554"/>
      <c r="CS15" s="554"/>
      <c r="CT15" s="554"/>
      <c r="CU15" s="554"/>
      <c r="CV15" s="554"/>
      <c r="CW15" s="554"/>
      <c r="CX15" s="554"/>
      <c r="CY15" s="554"/>
      <c r="CZ15" s="554"/>
      <c r="DA15" s="554"/>
      <c r="DB15" s="554"/>
      <c r="DC15" s="554"/>
      <c r="DD15" s="554"/>
      <c r="DE15" s="554"/>
      <c r="DF15" s="554"/>
      <c r="DG15" s="554"/>
      <c r="DH15" s="554"/>
      <c r="DI15" s="554"/>
      <c r="DJ15" s="554"/>
      <c r="DK15" s="554"/>
      <c r="DL15" s="554"/>
      <c r="DM15" s="554"/>
      <c r="DN15" s="554"/>
      <c r="DO15" s="554"/>
      <c r="DP15" s="554"/>
      <c r="DQ15" s="554"/>
      <c r="DR15" s="554"/>
      <c r="DS15" s="554"/>
      <c r="DT15" s="554"/>
      <c r="DU15" s="554"/>
      <c r="DV15" s="554"/>
      <c r="DW15" s="554"/>
      <c r="DX15" s="554"/>
      <c r="DY15" s="554"/>
      <c r="DZ15" s="554"/>
      <c r="EA15" s="554"/>
      <c r="EB15" s="554"/>
      <c r="EC15" s="554"/>
      <c r="ED15" s="554"/>
      <c r="EE15" s="554"/>
      <c r="EF15" s="554"/>
      <c r="EG15" s="554"/>
      <c r="EH15" s="554"/>
      <c r="EI15" s="554"/>
      <c r="EJ15" s="554"/>
      <c r="EK15" s="554"/>
      <c r="EL15" s="554"/>
      <c r="EM15" s="554"/>
      <c r="EN15" s="554"/>
      <c r="EO15" s="554"/>
      <c r="EP15" s="554"/>
      <c r="EQ15" s="554"/>
      <c r="ER15" s="554"/>
      <c r="ES15" s="554"/>
      <c r="ET15" s="554"/>
      <c r="EU15" s="554"/>
      <c r="EV15" s="554"/>
      <c r="EW15" s="554"/>
      <c r="EX15" s="554"/>
      <c r="EY15" s="554"/>
      <c r="EZ15" s="554"/>
      <c r="FA15" s="554"/>
      <c r="FB15" s="554"/>
      <c r="FC15" s="554"/>
      <c r="FD15" s="554"/>
      <c r="FE15" s="554"/>
      <c r="FF15" s="554"/>
      <c r="FG15" s="554"/>
      <c r="FH15" s="554"/>
      <c r="FI15" s="554"/>
      <c r="FJ15" s="554"/>
      <c r="FK15" s="554"/>
      <c r="FL15" s="554"/>
      <c r="FM15" s="554"/>
      <c r="FN15" s="554"/>
      <c r="FO15" s="554"/>
      <c r="FP15" s="554"/>
      <c r="FQ15" s="554"/>
      <c r="FR15" s="554"/>
      <c r="FS15" s="554"/>
      <c r="FT15" s="554"/>
      <c r="FU15" s="554"/>
      <c r="FV15" s="554"/>
      <c r="FW15" s="554"/>
      <c r="FX15" s="554"/>
      <c r="FY15" s="554"/>
      <c r="FZ15" s="554"/>
      <c r="GA15" s="554"/>
      <c r="GB15" s="554"/>
      <c r="GC15" s="554"/>
      <c r="GD15" s="554"/>
      <c r="GE15" s="554"/>
      <c r="GF15" s="554"/>
      <c r="GG15" s="554"/>
      <c r="GH15" s="554"/>
      <c r="GI15" s="554"/>
      <c r="GJ15" s="554"/>
      <c r="GK15" s="554"/>
      <c r="GL15" s="554"/>
      <c r="GM15" s="554"/>
      <c r="GN15" s="554"/>
      <c r="GO15" s="554"/>
      <c r="GP15" s="554"/>
      <c r="GQ15" s="554"/>
      <c r="GR15" s="554"/>
      <c r="GS15" s="554"/>
      <c r="GT15" s="554"/>
      <c r="GU15" s="554"/>
      <c r="GV15" s="554"/>
      <c r="GW15" s="554"/>
      <c r="GX15" s="554"/>
      <c r="GY15" s="554"/>
      <c r="GZ15" s="554"/>
      <c r="HA15" s="554"/>
      <c r="HB15" s="554"/>
      <c r="HC15" s="554"/>
      <c r="HD15" s="554"/>
      <c r="HE15" s="554"/>
      <c r="HF15" s="554"/>
      <c r="HG15" s="554"/>
      <c r="HH15" s="554"/>
      <c r="HI15" s="554"/>
      <c r="HJ15" s="554"/>
      <c r="HK15" s="554"/>
      <c r="HL15" s="554"/>
      <c r="HM15" s="554"/>
      <c r="HN15" s="554"/>
      <c r="HO15" s="554"/>
      <c r="HP15" s="554"/>
      <c r="HQ15" s="554"/>
      <c r="HR15" s="554"/>
      <c r="HS15" s="554"/>
      <c r="HT15" s="554"/>
      <c r="HU15" s="554"/>
      <c r="HV15" s="554"/>
      <c r="HW15" s="554"/>
      <c r="HX15" s="554"/>
      <c r="HY15" s="554"/>
      <c r="HZ15" s="554"/>
      <c r="IA15" s="554"/>
      <c r="IB15" s="554"/>
      <c r="IC15" s="554"/>
      <c r="ID15" s="554"/>
      <c r="IE15" s="554"/>
      <c r="IF15" s="554"/>
      <c r="IG15" s="554"/>
      <c r="IH15" s="554"/>
      <c r="II15" s="554"/>
      <c r="IJ15" s="554"/>
      <c r="IK15" s="554"/>
      <c r="IL15" s="554"/>
      <c r="IM15" s="554"/>
      <c r="IN15" s="554"/>
      <c r="IO15" s="554"/>
      <c r="IP15" s="554"/>
      <c r="IQ15" s="554"/>
      <c r="IR15" s="554"/>
    </row>
    <row r="16" spans="1:252" s="639" customFormat="1">
      <c r="A16" s="524">
        <f>MAX(A$1:A15)+1</f>
        <v>2</v>
      </c>
      <c r="B16" s="565"/>
      <c r="C16" s="610" t="s">
        <v>119</v>
      </c>
      <c r="D16" s="565"/>
      <c r="E16" s="551" t="s">
        <v>120</v>
      </c>
      <c r="F16" s="707"/>
      <c r="G16" s="708" t="s">
        <v>8</v>
      </c>
      <c r="H16" s="698">
        <f>H17</f>
        <v>16</v>
      </c>
      <c r="I16" s="507"/>
      <c r="J16" s="699">
        <f>H16*I16</f>
        <v>0</v>
      </c>
      <c r="K16" s="561"/>
      <c r="L16" s="558"/>
      <c r="M16" s="558"/>
      <c r="N16" s="548"/>
      <c r="O16" s="548"/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548"/>
      <c r="AF16" s="548"/>
      <c r="AG16" s="548"/>
      <c r="AH16" s="548"/>
      <c r="AI16" s="548"/>
      <c r="AJ16" s="548"/>
      <c r="AK16" s="548"/>
      <c r="AL16" s="548"/>
      <c r="AM16" s="548"/>
      <c r="AN16" s="548"/>
      <c r="AO16" s="548"/>
      <c r="AP16" s="548"/>
      <c r="AQ16" s="548"/>
      <c r="AR16" s="548"/>
      <c r="AS16" s="548"/>
      <c r="AT16" s="548"/>
      <c r="AU16" s="548"/>
      <c r="AV16" s="548"/>
      <c r="AW16" s="548"/>
      <c r="AX16" s="548"/>
      <c r="AY16" s="548"/>
      <c r="AZ16" s="548"/>
      <c r="BA16" s="548"/>
      <c r="BB16" s="548"/>
      <c r="BC16" s="548"/>
      <c r="BD16" s="548"/>
      <c r="BE16" s="548"/>
      <c r="BF16" s="548"/>
      <c r="BG16" s="548"/>
      <c r="BH16" s="548"/>
      <c r="BI16" s="548"/>
      <c r="BJ16" s="548"/>
      <c r="BK16" s="548"/>
      <c r="BL16" s="548"/>
      <c r="BM16" s="548"/>
      <c r="BN16" s="548"/>
      <c r="BO16" s="548"/>
      <c r="BP16" s="548"/>
      <c r="BQ16" s="548"/>
      <c r="BR16" s="548"/>
      <c r="BS16" s="548"/>
      <c r="BT16" s="548"/>
      <c r="BU16" s="548"/>
      <c r="BV16" s="548"/>
      <c r="BW16" s="548"/>
      <c r="BX16" s="548"/>
      <c r="BY16" s="548"/>
      <c r="BZ16" s="548"/>
      <c r="CA16" s="548"/>
      <c r="CB16" s="548"/>
      <c r="CC16" s="548"/>
      <c r="CD16" s="548"/>
      <c r="CE16" s="548"/>
      <c r="CF16" s="548"/>
      <c r="CG16" s="548"/>
      <c r="CH16" s="548"/>
      <c r="CI16" s="548"/>
      <c r="CJ16" s="548"/>
      <c r="CK16" s="548"/>
      <c r="CL16" s="548"/>
      <c r="CM16" s="548"/>
      <c r="CN16" s="548"/>
      <c r="CO16" s="548"/>
      <c r="CP16" s="548"/>
      <c r="CQ16" s="548"/>
      <c r="CR16" s="548"/>
      <c r="CS16" s="548"/>
      <c r="CT16" s="548"/>
      <c r="CU16" s="548"/>
      <c r="CV16" s="548"/>
      <c r="CW16" s="548"/>
      <c r="CX16" s="548"/>
      <c r="CY16" s="548"/>
      <c r="CZ16" s="548"/>
      <c r="DA16" s="548"/>
      <c r="DB16" s="548"/>
      <c r="DC16" s="548"/>
      <c r="DD16" s="548"/>
      <c r="DE16" s="548"/>
      <c r="DF16" s="548"/>
      <c r="DG16" s="548"/>
      <c r="DH16" s="548"/>
      <c r="DI16" s="548"/>
      <c r="DJ16" s="548"/>
      <c r="DK16" s="548"/>
      <c r="DL16" s="548"/>
      <c r="DM16" s="548"/>
      <c r="DN16" s="548"/>
      <c r="DO16" s="548"/>
      <c r="DP16" s="548"/>
      <c r="DQ16" s="548"/>
      <c r="DR16" s="548"/>
      <c r="DS16" s="548"/>
      <c r="DT16" s="548"/>
      <c r="DU16" s="548"/>
      <c r="DV16" s="548"/>
      <c r="DW16" s="548"/>
      <c r="DX16" s="548"/>
      <c r="DY16" s="548"/>
      <c r="DZ16" s="548"/>
      <c r="EA16" s="548"/>
      <c r="EB16" s="548"/>
      <c r="EC16" s="548"/>
      <c r="ED16" s="548"/>
      <c r="EE16" s="548"/>
      <c r="EF16" s="548"/>
      <c r="EG16" s="548"/>
      <c r="EH16" s="548"/>
      <c r="EI16" s="548"/>
      <c r="EJ16" s="548"/>
      <c r="EK16" s="548"/>
      <c r="EL16" s="548"/>
      <c r="EM16" s="548"/>
      <c r="EN16" s="548"/>
      <c r="EO16" s="548"/>
      <c r="EP16" s="548"/>
      <c r="EQ16" s="548"/>
      <c r="ER16" s="548"/>
      <c r="ES16" s="548"/>
      <c r="ET16" s="548"/>
      <c r="EU16" s="548"/>
      <c r="EV16" s="548"/>
      <c r="EW16" s="548"/>
      <c r="EX16" s="548"/>
      <c r="EY16" s="548"/>
      <c r="EZ16" s="548"/>
      <c r="FA16" s="548"/>
      <c r="FB16" s="548"/>
      <c r="FC16" s="548"/>
      <c r="FD16" s="548"/>
      <c r="FE16" s="548"/>
      <c r="FF16" s="548"/>
      <c r="FG16" s="548"/>
      <c r="FH16" s="548"/>
      <c r="FI16" s="548"/>
      <c r="FJ16" s="548"/>
      <c r="FK16" s="548"/>
      <c r="FL16" s="548"/>
      <c r="FM16" s="548"/>
      <c r="FN16" s="548"/>
      <c r="FO16" s="548"/>
      <c r="FP16" s="548"/>
      <c r="FQ16" s="548"/>
      <c r="FR16" s="548"/>
      <c r="FS16" s="548"/>
      <c r="FT16" s="548"/>
      <c r="FU16" s="548"/>
      <c r="FV16" s="548"/>
      <c r="FW16" s="548"/>
      <c r="FX16" s="548"/>
      <c r="FY16" s="548"/>
      <c r="FZ16" s="548"/>
      <c r="GA16" s="548"/>
      <c r="GB16" s="548"/>
      <c r="GC16" s="548"/>
      <c r="GD16" s="548"/>
      <c r="GE16" s="548"/>
      <c r="GF16" s="548"/>
      <c r="GG16" s="548"/>
      <c r="GH16" s="548"/>
      <c r="GI16" s="548"/>
      <c r="GJ16" s="548"/>
      <c r="GK16" s="548"/>
      <c r="GL16" s="548"/>
      <c r="GM16" s="548"/>
      <c r="GN16" s="548"/>
      <c r="GO16" s="548"/>
      <c r="GP16" s="548"/>
      <c r="GQ16" s="548"/>
      <c r="GR16" s="548"/>
      <c r="GS16" s="548"/>
      <c r="GT16" s="548"/>
      <c r="GU16" s="548"/>
      <c r="GV16" s="548"/>
      <c r="GW16" s="548"/>
      <c r="GX16" s="548"/>
      <c r="GY16" s="548"/>
      <c r="GZ16" s="548"/>
      <c r="HA16" s="548"/>
      <c r="HB16" s="548"/>
      <c r="HC16" s="548"/>
      <c r="HD16" s="548"/>
      <c r="HE16" s="548"/>
      <c r="HF16" s="548"/>
      <c r="HG16" s="548"/>
      <c r="HH16" s="548"/>
      <c r="HI16" s="548"/>
      <c r="HJ16" s="548"/>
      <c r="HK16" s="548"/>
      <c r="HL16" s="548"/>
      <c r="HM16" s="548"/>
      <c r="HN16" s="548"/>
      <c r="HO16" s="548"/>
      <c r="HP16" s="548"/>
      <c r="HQ16" s="548"/>
      <c r="HR16" s="548"/>
      <c r="HS16" s="548"/>
      <c r="HT16" s="548"/>
      <c r="HU16" s="548"/>
      <c r="HV16" s="548"/>
      <c r="HW16" s="548"/>
      <c r="HX16" s="548"/>
      <c r="HY16" s="548"/>
      <c r="HZ16" s="548"/>
      <c r="IA16" s="548"/>
      <c r="IB16" s="548"/>
      <c r="IC16" s="548"/>
      <c r="ID16" s="548"/>
      <c r="IE16" s="548"/>
      <c r="IF16" s="548"/>
      <c r="IG16" s="548"/>
      <c r="IH16" s="548"/>
      <c r="II16" s="548"/>
      <c r="IJ16" s="548"/>
      <c r="IK16" s="548"/>
      <c r="IL16" s="548"/>
      <c r="IM16" s="548"/>
      <c r="IN16" s="548"/>
      <c r="IO16" s="548"/>
      <c r="IP16" s="548"/>
      <c r="IQ16" s="548"/>
      <c r="IR16" s="548"/>
    </row>
    <row r="17" spans="1:252" s="632" customFormat="1" ht="25.5">
      <c r="A17" s="710"/>
      <c r="B17" s="565"/>
      <c r="C17" s="550"/>
      <c r="D17" s="592" t="s">
        <v>121</v>
      </c>
      <c r="E17" s="593" t="s">
        <v>122</v>
      </c>
      <c r="F17" s="711"/>
      <c r="G17" s="712" t="s">
        <v>8</v>
      </c>
      <c r="H17" s="570">
        <v>16</v>
      </c>
      <c r="I17" s="409"/>
      <c r="J17" s="709"/>
      <c r="K17" s="554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4"/>
      <c r="Z17" s="554"/>
      <c r="AA17" s="554"/>
      <c r="AB17" s="554"/>
      <c r="AC17" s="554"/>
      <c r="AD17" s="554"/>
      <c r="AE17" s="554"/>
      <c r="AF17" s="554"/>
      <c r="AG17" s="554"/>
      <c r="AH17" s="554"/>
      <c r="AI17" s="554"/>
      <c r="AJ17" s="554"/>
      <c r="AK17" s="554"/>
      <c r="AL17" s="554"/>
      <c r="AM17" s="554"/>
      <c r="AN17" s="554"/>
      <c r="AO17" s="554"/>
      <c r="AP17" s="554"/>
      <c r="AQ17" s="554"/>
      <c r="AR17" s="554"/>
      <c r="AS17" s="554"/>
      <c r="AT17" s="554"/>
      <c r="AU17" s="554"/>
      <c r="AV17" s="554"/>
      <c r="AW17" s="554"/>
      <c r="AX17" s="554"/>
      <c r="AY17" s="554"/>
      <c r="AZ17" s="554"/>
      <c r="BA17" s="554"/>
      <c r="BB17" s="554"/>
      <c r="BC17" s="554"/>
      <c r="BD17" s="554"/>
      <c r="BE17" s="554"/>
      <c r="BF17" s="554"/>
      <c r="BG17" s="554"/>
      <c r="BH17" s="554"/>
      <c r="BI17" s="554"/>
      <c r="BJ17" s="554"/>
      <c r="BK17" s="554"/>
      <c r="BL17" s="554"/>
      <c r="BM17" s="554"/>
      <c r="BN17" s="554"/>
      <c r="BO17" s="554"/>
      <c r="BP17" s="554"/>
      <c r="BQ17" s="554"/>
      <c r="BR17" s="554"/>
      <c r="BS17" s="554"/>
      <c r="BT17" s="554"/>
      <c r="BU17" s="554"/>
      <c r="BV17" s="554"/>
      <c r="BW17" s="554"/>
      <c r="BX17" s="554"/>
      <c r="BY17" s="554"/>
      <c r="BZ17" s="554"/>
      <c r="CA17" s="554"/>
      <c r="CB17" s="554"/>
      <c r="CC17" s="554"/>
      <c r="CD17" s="554"/>
      <c r="CE17" s="554"/>
      <c r="CF17" s="554"/>
      <c r="CG17" s="554"/>
      <c r="CH17" s="554"/>
      <c r="CI17" s="554"/>
      <c r="CJ17" s="554"/>
      <c r="CK17" s="554"/>
      <c r="CL17" s="554"/>
      <c r="CM17" s="554"/>
      <c r="CN17" s="554"/>
      <c r="CO17" s="554"/>
      <c r="CP17" s="554"/>
      <c r="CQ17" s="554"/>
      <c r="CR17" s="554"/>
      <c r="CS17" s="554"/>
      <c r="CT17" s="554"/>
      <c r="CU17" s="554"/>
      <c r="CV17" s="554"/>
      <c r="CW17" s="554"/>
      <c r="CX17" s="554"/>
      <c r="CY17" s="554"/>
      <c r="CZ17" s="554"/>
      <c r="DA17" s="554"/>
      <c r="DB17" s="554"/>
      <c r="DC17" s="554"/>
      <c r="DD17" s="554"/>
      <c r="DE17" s="554"/>
      <c r="DF17" s="554"/>
      <c r="DG17" s="554"/>
      <c r="DH17" s="554"/>
      <c r="DI17" s="554"/>
      <c r="DJ17" s="554"/>
      <c r="DK17" s="554"/>
      <c r="DL17" s="554"/>
      <c r="DM17" s="554"/>
      <c r="DN17" s="554"/>
      <c r="DO17" s="554"/>
      <c r="DP17" s="554"/>
      <c r="DQ17" s="554"/>
      <c r="DR17" s="554"/>
      <c r="DS17" s="554"/>
      <c r="DT17" s="554"/>
      <c r="DU17" s="554"/>
      <c r="DV17" s="554"/>
      <c r="DW17" s="554"/>
      <c r="DX17" s="554"/>
      <c r="DY17" s="554"/>
      <c r="DZ17" s="554"/>
      <c r="EA17" s="554"/>
      <c r="EB17" s="554"/>
      <c r="EC17" s="554"/>
      <c r="ED17" s="554"/>
      <c r="EE17" s="554"/>
      <c r="EF17" s="554"/>
      <c r="EG17" s="554"/>
      <c r="EH17" s="554"/>
      <c r="EI17" s="554"/>
      <c r="EJ17" s="554"/>
      <c r="EK17" s="554"/>
      <c r="EL17" s="554"/>
      <c r="EM17" s="554"/>
      <c r="EN17" s="554"/>
      <c r="EO17" s="554"/>
      <c r="EP17" s="554"/>
      <c r="EQ17" s="554"/>
      <c r="ER17" s="554"/>
      <c r="ES17" s="554"/>
      <c r="ET17" s="554"/>
      <c r="EU17" s="554"/>
      <c r="EV17" s="554"/>
      <c r="EW17" s="554"/>
      <c r="EX17" s="554"/>
      <c r="EY17" s="554"/>
      <c r="EZ17" s="554"/>
      <c r="FA17" s="554"/>
      <c r="FB17" s="554"/>
      <c r="FC17" s="554"/>
      <c r="FD17" s="554"/>
      <c r="FE17" s="554"/>
      <c r="FF17" s="554"/>
      <c r="FG17" s="554"/>
      <c r="FH17" s="554"/>
      <c r="FI17" s="554"/>
      <c r="FJ17" s="554"/>
      <c r="FK17" s="554"/>
      <c r="FL17" s="554"/>
      <c r="FM17" s="554"/>
      <c r="FN17" s="554"/>
      <c r="FO17" s="554"/>
      <c r="FP17" s="554"/>
      <c r="FQ17" s="554"/>
      <c r="FR17" s="554"/>
      <c r="FS17" s="554"/>
      <c r="FT17" s="554"/>
      <c r="FU17" s="554"/>
      <c r="FV17" s="554"/>
      <c r="FW17" s="554"/>
      <c r="FX17" s="554"/>
      <c r="FY17" s="554"/>
      <c r="FZ17" s="554"/>
      <c r="GA17" s="554"/>
      <c r="GB17" s="554"/>
      <c r="GC17" s="554"/>
      <c r="GD17" s="554"/>
      <c r="GE17" s="554"/>
      <c r="GF17" s="554"/>
      <c r="GG17" s="554"/>
      <c r="GH17" s="554"/>
      <c r="GI17" s="554"/>
      <c r="GJ17" s="554"/>
      <c r="GK17" s="554"/>
      <c r="GL17" s="554"/>
      <c r="GM17" s="554"/>
      <c r="GN17" s="554"/>
      <c r="GO17" s="554"/>
      <c r="GP17" s="554"/>
      <c r="GQ17" s="554"/>
      <c r="GR17" s="554"/>
      <c r="GS17" s="554"/>
      <c r="GT17" s="554"/>
      <c r="GU17" s="554"/>
      <c r="GV17" s="554"/>
      <c r="GW17" s="554"/>
      <c r="GX17" s="554"/>
      <c r="GY17" s="554"/>
      <c r="GZ17" s="554"/>
      <c r="HA17" s="554"/>
      <c r="HB17" s="554"/>
      <c r="HC17" s="554"/>
      <c r="HD17" s="554"/>
      <c r="HE17" s="554"/>
      <c r="HF17" s="554"/>
      <c r="HG17" s="554"/>
      <c r="HH17" s="554"/>
      <c r="HI17" s="554"/>
      <c r="HJ17" s="554"/>
      <c r="HK17" s="554"/>
      <c r="HL17" s="554"/>
      <c r="HM17" s="554"/>
      <c r="HN17" s="554"/>
      <c r="HO17" s="554"/>
      <c r="HP17" s="554"/>
      <c r="HQ17" s="554"/>
      <c r="HR17" s="554"/>
      <c r="HS17" s="554"/>
      <c r="HT17" s="554"/>
      <c r="HU17" s="554"/>
      <c r="HV17" s="554"/>
      <c r="HW17" s="554"/>
      <c r="HX17" s="554"/>
      <c r="HY17" s="554"/>
      <c r="HZ17" s="554"/>
      <c r="IA17" s="554"/>
      <c r="IB17" s="554"/>
      <c r="IC17" s="554"/>
      <c r="ID17" s="554"/>
      <c r="IE17" s="554"/>
      <c r="IF17" s="554"/>
      <c r="IG17" s="554"/>
      <c r="IH17" s="554"/>
      <c r="II17" s="554"/>
      <c r="IJ17" s="554"/>
      <c r="IK17" s="554"/>
      <c r="IL17" s="554"/>
      <c r="IM17" s="554"/>
      <c r="IN17" s="554"/>
      <c r="IO17" s="554"/>
      <c r="IP17" s="554"/>
      <c r="IQ17" s="554"/>
      <c r="IR17" s="554"/>
    </row>
    <row r="18" spans="1:252" s="632" customFormat="1">
      <c r="A18" s="710"/>
      <c r="B18" s="565"/>
      <c r="C18" s="609"/>
      <c r="D18" s="565"/>
      <c r="E18" s="571" t="s">
        <v>1139</v>
      </c>
      <c r="F18" s="415">
        <v>16</v>
      </c>
      <c r="G18" s="708"/>
      <c r="H18" s="540"/>
      <c r="I18" s="409"/>
      <c r="J18" s="709"/>
      <c r="K18" s="554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4"/>
      <c r="W18" s="554"/>
      <c r="X18" s="554"/>
      <c r="Y18" s="554"/>
      <c r="Z18" s="554"/>
      <c r="AA18" s="554"/>
      <c r="AB18" s="554"/>
      <c r="AC18" s="554"/>
      <c r="AD18" s="554"/>
      <c r="AE18" s="554"/>
      <c r="AF18" s="554"/>
      <c r="AG18" s="554"/>
      <c r="AH18" s="554"/>
      <c r="AI18" s="554"/>
      <c r="AJ18" s="554"/>
      <c r="AK18" s="554"/>
      <c r="AL18" s="554"/>
      <c r="AM18" s="554"/>
      <c r="AN18" s="554"/>
      <c r="AO18" s="554"/>
      <c r="AP18" s="554"/>
      <c r="AQ18" s="554"/>
      <c r="AR18" s="554"/>
      <c r="AS18" s="554"/>
      <c r="AT18" s="554"/>
      <c r="AU18" s="554"/>
      <c r="AV18" s="554"/>
      <c r="AW18" s="554"/>
      <c r="AX18" s="554"/>
      <c r="AY18" s="554"/>
      <c r="AZ18" s="554"/>
      <c r="BA18" s="554"/>
      <c r="BB18" s="554"/>
      <c r="BC18" s="554"/>
      <c r="BD18" s="554"/>
      <c r="BE18" s="554"/>
      <c r="BF18" s="554"/>
      <c r="BG18" s="554"/>
      <c r="BH18" s="554"/>
      <c r="BI18" s="554"/>
      <c r="BJ18" s="554"/>
      <c r="BK18" s="554"/>
      <c r="BL18" s="554"/>
      <c r="BM18" s="554"/>
      <c r="BN18" s="554"/>
      <c r="BO18" s="554"/>
      <c r="BP18" s="554"/>
      <c r="BQ18" s="554"/>
      <c r="BR18" s="554"/>
      <c r="BS18" s="554"/>
      <c r="BT18" s="554"/>
      <c r="BU18" s="554"/>
      <c r="BV18" s="554"/>
      <c r="BW18" s="554"/>
      <c r="BX18" s="554"/>
      <c r="BY18" s="554"/>
      <c r="BZ18" s="554"/>
      <c r="CA18" s="554"/>
      <c r="CB18" s="554"/>
      <c r="CC18" s="554"/>
      <c r="CD18" s="554"/>
      <c r="CE18" s="554"/>
      <c r="CF18" s="554"/>
      <c r="CG18" s="554"/>
      <c r="CH18" s="554"/>
      <c r="CI18" s="554"/>
      <c r="CJ18" s="554"/>
      <c r="CK18" s="554"/>
      <c r="CL18" s="554"/>
      <c r="CM18" s="554"/>
      <c r="CN18" s="554"/>
      <c r="CO18" s="554"/>
      <c r="CP18" s="554"/>
      <c r="CQ18" s="554"/>
      <c r="CR18" s="554"/>
      <c r="CS18" s="554"/>
      <c r="CT18" s="554"/>
      <c r="CU18" s="554"/>
      <c r="CV18" s="554"/>
      <c r="CW18" s="554"/>
      <c r="CX18" s="554"/>
      <c r="CY18" s="554"/>
      <c r="CZ18" s="554"/>
      <c r="DA18" s="554"/>
      <c r="DB18" s="554"/>
      <c r="DC18" s="554"/>
      <c r="DD18" s="554"/>
      <c r="DE18" s="554"/>
      <c r="DF18" s="554"/>
      <c r="DG18" s="554"/>
      <c r="DH18" s="554"/>
      <c r="DI18" s="554"/>
      <c r="DJ18" s="554"/>
      <c r="DK18" s="554"/>
      <c r="DL18" s="554"/>
      <c r="DM18" s="554"/>
      <c r="DN18" s="554"/>
      <c r="DO18" s="554"/>
      <c r="DP18" s="554"/>
      <c r="DQ18" s="554"/>
      <c r="DR18" s="554"/>
      <c r="DS18" s="554"/>
      <c r="DT18" s="554"/>
      <c r="DU18" s="554"/>
      <c r="DV18" s="554"/>
      <c r="DW18" s="554"/>
      <c r="DX18" s="554"/>
      <c r="DY18" s="554"/>
      <c r="DZ18" s="554"/>
      <c r="EA18" s="554"/>
      <c r="EB18" s="554"/>
      <c r="EC18" s="554"/>
      <c r="ED18" s="554"/>
      <c r="EE18" s="554"/>
      <c r="EF18" s="554"/>
      <c r="EG18" s="554"/>
      <c r="EH18" s="554"/>
      <c r="EI18" s="554"/>
      <c r="EJ18" s="554"/>
      <c r="EK18" s="554"/>
      <c r="EL18" s="554"/>
      <c r="EM18" s="554"/>
      <c r="EN18" s="554"/>
      <c r="EO18" s="554"/>
      <c r="EP18" s="554"/>
      <c r="EQ18" s="554"/>
      <c r="ER18" s="554"/>
      <c r="ES18" s="554"/>
      <c r="ET18" s="554"/>
      <c r="EU18" s="554"/>
      <c r="EV18" s="554"/>
      <c r="EW18" s="554"/>
      <c r="EX18" s="554"/>
      <c r="EY18" s="554"/>
      <c r="EZ18" s="554"/>
      <c r="FA18" s="554"/>
      <c r="FB18" s="554"/>
      <c r="FC18" s="554"/>
      <c r="FD18" s="554"/>
      <c r="FE18" s="554"/>
      <c r="FF18" s="554"/>
      <c r="FG18" s="554"/>
      <c r="FH18" s="554"/>
      <c r="FI18" s="554"/>
      <c r="FJ18" s="554"/>
      <c r="FK18" s="554"/>
      <c r="FL18" s="554"/>
      <c r="FM18" s="554"/>
      <c r="FN18" s="554"/>
      <c r="FO18" s="554"/>
      <c r="FP18" s="554"/>
      <c r="FQ18" s="554"/>
      <c r="FR18" s="554"/>
      <c r="FS18" s="554"/>
      <c r="FT18" s="554"/>
      <c r="FU18" s="554"/>
      <c r="FV18" s="554"/>
      <c r="FW18" s="554"/>
      <c r="FX18" s="554"/>
      <c r="FY18" s="554"/>
      <c r="FZ18" s="554"/>
      <c r="GA18" s="554"/>
      <c r="GB18" s="554"/>
      <c r="GC18" s="554"/>
      <c r="GD18" s="554"/>
      <c r="GE18" s="554"/>
      <c r="GF18" s="554"/>
      <c r="GG18" s="554"/>
      <c r="GH18" s="554"/>
      <c r="GI18" s="554"/>
      <c r="GJ18" s="554"/>
      <c r="GK18" s="554"/>
      <c r="GL18" s="554"/>
      <c r="GM18" s="554"/>
      <c r="GN18" s="554"/>
      <c r="GO18" s="554"/>
      <c r="GP18" s="554"/>
      <c r="GQ18" s="554"/>
      <c r="GR18" s="554"/>
      <c r="GS18" s="554"/>
      <c r="GT18" s="554"/>
      <c r="GU18" s="554"/>
      <c r="GV18" s="554"/>
      <c r="GW18" s="554"/>
      <c r="GX18" s="554"/>
      <c r="GY18" s="554"/>
      <c r="GZ18" s="554"/>
      <c r="HA18" s="554"/>
      <c r="HB18" s="554"/>
      <c r="HC18" s="554"/>
      <c r="HD18" s="554"/>
      <c r="HE18" s="554"/>
      <c r="HF18" s="554"/>
      <c r="HG18" s="554"/>
      <c r="HH18" s="554"/>
      <c r="HI18" s="554"/>
      <c r="HJ18" s="554"/>
      <c r="HK18" s="554"/>
      <c r="HL18" s="554"/>
      <c r="HM18" s="554"/>
      <c r="HN18" s="554"/>
      <c r="HO18" s="554"/>
      <c r="HP18" s="554"/>
      <c r="HQ18" s="554"/>
      <c r="HR18" s="554"/>
      <c r="HS18" s="554"/>
      <c r="HT18" s="554"/>
      <c r="HU18" s="554"/>
      <c r="HV18" s="554"/>
      <c r="HW18" s="554"/>
      <c r="HX18" s="554"/>
      <c r="HY18" s="554"/>
      <c r="HZ18" s="554"/>
      <c r="IA18" s="554"/>
      <c r="IB18" s="554"/>
      <c r="IC18" s="554"/>
      <c r="ID18" s="554"/>
      <c r="IE18" s="554"/>
      <c r="IF18" s="554"/>
      <c r="IG18" s="554"/>
      <c r="IH18" s="554"/>
      <c r="II18" s="554"/>
      <c r="IJ18" s="554"/>
      <c r="IK18" s="554"/>
      <c r="IL18" s="554"/>
      <c r="IM18" s="554"/>
      <c r="IN18" s="554"/>
      <c r="IO18" s="554"/>
      <c r="IP18" s="554"/>
      <c r="IQ18" s="554"/>
      <c r="IR18" s="554"/>
    </row>
    <row r="19" spans="1:252" s="554" customFormat="1">
      <c r="A19" s="710"/>
      <c r="B19" s="565"/>
      <c r="C19" s="609"/>
      <c r="D19" s="565"/>
      <c r="E19" s="551"/>
      <c r="F19" s="415"/>
      <c r="G19" s="708"/>
      <c r="H19" s="540"/>
      <c r="I19" s="409"/>
      <c r="J19" s="709"/>
    </row>
    <row r="20" spans="1:252" s="665" customFormat="1">
      <c r="A20" s="524">
        <f>MAX(A$1:A19)+1</f>
        <v>3</v>
      </c>
      <c r="B20" s="565"/>
      <c r="C20" s="610" t="s">
        <v>57</v>
      </c>
      <c r="D20" s="565"/>
      <c r="E20" s="551" t="s">
        <v>58</v>
      </c>
      <c r="F20" s="611"/>
      <c r="G20" s="708" t="s">
        <v>8</v>
      </c>
      <c r="H20" s="408">
        <f>H21</f>
        <v>53.2</v>
      </c>
      <c r="I20" s="507"/>
      <c r="J20" s="699">
        <f>H20*I20</f>
        <v>0</v>
      </c>
      <c r="K20" s="561"/>
      <c r="L20" s="558"/>
      <c r="M20" s="55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8"/>
      <c r="AI20" s="548"/>
      <c r="AJ20" s="548"/>
      <c r="AK20" s="548"/>
      <c r="AL20" s="548"/>
      <c r="AM20" s="548"/>
      <c r="AN20" s="548"/>
      <c r="AO20" s="548"/>
      <c r="AP20" s="548"/>
      <c r="AQ20" s="548"/>
      <c r="AR20" s="548"/>
      <c r="AS20" s="548"/>
      <c r="AT20" s="548"/>
      <c r="AU20" s="548"/>
      <c r="AV20" s="548"/>
      <c r="AW20" s="548"/>
      <c r="AX20" s="548"/>
      <c r="AY20" s="548"/>
      <c r="AZ20" s="548"/>
      <c r="BA20" s="548"/>
      <c r="BB20" s="548"/>
      <c r="BC20" s="548"/>
      <c r="BD20" s="548"/>
      <c r="BE20" s="548"/>
      <c r="BF20" s="548"/>
      <c r="BG20" s="548"/>
      <c r="BH20" s="548"/>
      <c r="BI20" s="548"/>
      <c r="BJ20" s="548"/>
      <c r="BK20" s="548"/>
      <c r="BL20" s="548"/>
      <c r="BM20" s="548"/>
      <c r="BN20" s="548"/>
      <c r="BO20" s="548"/>
      <c r="BP20" s="548"/>
      <c r="BQ20" s="548"/>
      <c r="BR20" s="548"/>
      <c r="BS20" s="548"/>
      <c r="BT20" s="548"/>
      <c r="BU20" s="548"/>
      <c r="BV20" s="548"/>
      <c r="BW20" s="548"/>
      <c r="BX20" s="548"/>
      <c r="BY20" s="548"/>
      <c r="BZ20" s="548"/>
      <c r="CA20" s="548"/>
      <c r="CB20" s="548"/>
      <c r="CC20" s="548"/>
      <c r="CD20" s="548"/>
      <c r="CE20" s="548"/>
      <c r="CF20" s="548"/>
      <c r="CG20" s="548"/>
      <c r="CH20" s="548"/>
      <c r="CI20" s="548"/>
      <c r="CJ20" s="548"/>
      <c r="CK20" s="548"/>
      <c r="CL20" s="548"/>
      <c r="CM20" s="548"/>
      <c r="CN20" s="548"/>
      <c r="CO20" s="548"/>
      <c r="CP20" s="548"/>
      <c r="CQ20" s="548"/>
      <c r="CR20" s="548"/>
      <c r="CS20" s="548"/>
      <c r="CT20" s="548"/>
      <c r="CU20" s="548"/>
      <c r="CV20" s="548"/>
      <c r="CW20" s="548"/>
      <c r="CX20" s="548"/>
      <c r="CY20" s="548"/>
      <c r="CZ20" s="548"/>
      <c r="DA20" s="548"/>
      <c r="DB20" s="548"/>
      <c r="DC20" s="548"/>
      <c r="DD20" s="548"/>
      <c r="DE20" s="548"/>
      <c r="DF20" s="548"/>
      <c r="DG20" s="548"/>
      <c r="DH20" s="548"/>
      <c r="DI20" s="548"/>
      <c r="DJ20" s="548"/>
      <c r="DK20" s="548"/>
      <c r="DL20" s="548"/>
      <c r="DM20" s="548"/>
      <c r="DN20" s="548"/>
      <c r="DO20" s="548"/>
      <c r="DP20" s="548"/>
      <c r="DQ20" s="548"/>
      <c r="DR20" s="548"/>
      <c r="DS20" s="548"/>
      <c r="DT20" s="548"/>
      <c r="DU20" s="548"/>
      <c r="DV20" s="548"/>
      <c r="DW20" s="548"/>
      <c r="DX20" s="548"/>
      <c r="DY20" s="548"/>
      <c r="DZ20" s="548"/>
      <c r="EA20" s="548"/>
      <c r="EB20" s="548"/>
      <c r="EC20" s="548"/>
      <c r="ED20" s="548"/>
      <c r="EE20" s="548"/>
      <c r="EF20" s="548"/>
      <c r="EG20" s="548"/>
      <c r="EH20" s="548"/>
      <c r="EI20" s="548"/>
      <c r="EJ20" s="548"/>
      <c r="EK20" s="548"/>
      <c r="EL20" s="548"/>
      <c r="EM20" s="548"/>
      <c r="EN20" s="548"/>
      <c r="EO20" s="548"/>
      <c r="EP20" s="548"/>
      <c r="EQ20" s="548"/>
      <c r="ER20" s="548"/>
      <c r="ES20" s="548"/>
      <c r="ET20" s="548"/>
      <c r="EU20" s="548"/>
      <c r="EV20" s="548"/>
      <c r="EW20" s="548"/>
      <c r="EX20" s="548"/>
      <c r="EY20" s="548"/>
      <c r="EZ20" s="548"/>
      <c r="FA20" s="548"/>
      <c r="FB20" s="548"/>
      <c r="FC20" s="548"/>
      <c r="FD20" s="548"/>
      <c r="FE20" s="548"/>
      <c r="FF20" s="548"/>
      <c r="FG20" s="548"/>
      <c r="FH20" s="548"/>
      <c r="FI20" s="548"/>
      <c r="FJ20" s="548"/>
      <c r="FK20" s="548"/>
      <c r="FL20" s="548"/>
      <c r="FM20" s="548"/>
      <c r="FN20" s="548"/>
      <c r="FO20" s="548"/>
      <c r="FP20" s="548"/>
      <c r="FQ20" s="548"/>
      <c r="FR20" s="548"/>
      <c r="FS20" s="548"/>
      <c r="FT20" s="548"/>
      <c r="FU20" s="548"/>
      <c r="FV20" s="548"/>
      <c r="FW20" s="548"/>
      <c r="FX20" s="548"/>
      <c r="FY20" s="548"/>
      <c r="FZ20" s="548"/>
      <c r="GA20" s="548"/>
      <c r="GB20" s="548"/>
      <c r="GC20" s="548"/>
      <c r="GD20" s="548"/>
      <c r="GE20" s="548"/>
      <c r="GF20" s="548"/>
      <c r="GG20" s="548"/>
      <c r="GH20" s="548"/>
      <c r="GI20" s="548"/>
      <c r="GJ20" s="548"/>
      <c r="GK20" s="548"/>
      <c r="GL20" s="548"/>
      <c r="GM20" s="548"/>
      <c r="GN20" s="548"/>
      <c r="GO20" s="548"/>
      <c r="GP20" s="548"/>
      <c r="GQ20" s="548"/>
      <c r="GR20" s="548"/>
      <c r="GS20" s="548"/>
      <c r="GT20" s="548"/>
      <c r="GU20" s="548"/>
      <c r="GV20" s="548"/>
      <c r="GW20" s="548"/>
      <c r="GX20" s="548"/>
      <c r="GY20" s="548"/>
      <c r="GZ20" s="548"/>
      <c r="HA20" s="548"/>
      <c r="HB20" s="548"/>
      <c r="HC20" s="548"/>
      <c r="HD20" s="548"/>
      <c r="HE20" s="548"/>
      <c r="HF20" s="548"/>
      <c r="HG20" s="548"/>
      <c r="HH20" s="548"/>
      <c r="HI20" s="548"/>
      <c r="HJ20" s="548"/>
      <c r="HK20" s="548"/>
      <c r="HL20" s="548"/>
      <c r="HM20" s="548"/>
      <c r="HN20" s="548"/>
      <c r="HO20" s="548"/>
      <c r="HP20" s="548"/>
      <c r="HQ20" s="548"/>
      <c r="HR20" s="548"/>
      <c r="HS20" s="548"/>
      <c r="HT20" s="548"/>
      <c r="HU20" s="548"/>
      <c r="HV20" s="548"/>
      <c r="HW20" s="548"/>
      <c r="HX20" s="548"/>
      <c r="HY20" s="548"/>
      <c r="HZ20" s="548"/>
      <c r="IA20" s="548"/>
      <c r="IB20" s="548"/>
      <c r="IC20" s="548"/>
      <c r="ID20" s="548"/>
      <c r="IE20" s="548"/>
      <c r="IF20" s="548"/>
      <c r="IG20" s="548"/>
      <c r="IH20" s="548"/>
      <c r="II20" s="548"/>
      <c r="IJ20" s="548"/>
      <c r="IK20" s="548"/>
      <c r="IL20" s="548"/>
      <c r="IM20" s="548"/>
      <c r="IN20" s="548"/>
      <c r="IO20" s="548"/>
      <c r="IP20" s="548"/>
      <c r="IQ20" s="548"/>
      <c r="IR20" s="548"/>
    </row>
    <row r="21" spans="1:252" s="554" customFormat="1" ht="25.5">
      <c r="A21" s="713"/>
      <c r="B21" s="550"/>
      <c r="C21" s="550"/>
      <c r="D21" s="592" t="s">
        <v>1020</v>
      </c>
      <c r="E21" s="593" t="s">
        <v>1111</v>
      </c>
      <c r="F21" s="624"/>
      <c r="G21" s="712" t="s">
        <v>8</v>
      </c>
      <c r="H21" s="570">
        <v>53.2</v>
      </c>
      <c r="I21" s="409"/>
      <c r="J21" s="709"/>
    </row>
    <row r="22" spans="1:252" s="554" customFormat="1">
      <c r="A22" s="710"/>
      <c r="B22" s="628"/>
      <c r="C22" s="565"/>
      <c r="D22" s="591"/>
      <c r="E22" s="608" t="s">
        <v>1140</v>
      </c>
      <c r="F22" s="415">
        <v>0</v>
      </c>
      <c r="G22" s="712"/>
      <c r="H22" s="540"/>
      <c r="I22" s="409"/>
      <c r="J22" s="709"/>
    </row>
    <row r="23" spans="1:252" s="554" customFormat="1">
      <c r="A23" s="710"/>
      <c r="B23" s="628"/>
      <c r="C23" s="565"/>
      <c r="D23" s="591"/>
      <c r="E23" s="608" t="s">
        <v>1141</v>
      </c>
      <c r="F23" s="415">
        <v>53.2</v>
      </c>
      <c r="G23" s="712"/>
      <c r="H23" s="540"/>
      <c r="I23" s="409"/>
      <c r="J23" s="709"/>
    </row>
    <row r="24" spans="1:252" s="537" customFormat="1">
      <c r="A24" s="710"/>
      <c r="B24" s="628"/>
      <c r="C24" s="565"/>
      <c r="D24" s="550"/>
      <c r="E24" s="625"/>
      <c r="F24" s="415"/>
      <c r="G24" s="712"/>
      <c r="H24" s="540"/>
      <c r="I24" s="409"/>
      <c r="J24" s="709"/>
    </row>
    <row r="25" spans="1:252" s="665" customFormat="1">
      <c r="A25" s="524">
        <f>MAX(A$1:A24)+1</f>
        <v>4</v>
      </c>
      <c r="B25" s="609"/>
      <c r="C25" s="610" t="s">
        <v>1024</v>
      </c>
      <c r="D25" s="565"/>
      <c r="E25" s="551" t="s">
        <v>1025</v>
      </c>
      <c r="F25" s="611"/>
      <c r="G25" s="708" t="s">
        <v>8</v>
      </c>
      <c r="H25" s="408">
        <f>H26</f>
        <v>13.3</v>
      </c>
      <c r="I25" s="658"/>
      <c r="J25" s="699">
        <f>H25*I25</f>
        <v>0</v>
      </c>
      <c r="K25" s="561"/>
      <c r="L25" s="558"/>
      <c r="M25" s="558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39"/>
      <c r="AC25" s="639"/>
      <c r="AD25" s="639"/>
      <c r="AE25" s="639"/>
      <c r="AF25" s="639"/>
      <c r="AG25" s="639"/>
      <c r="AH25" s="639"/>
      <c r="AI25" s="639"/>
      <c r="AJ25" s="639"/>
      <c r="AK25" s="639"/>
      <c r="AL25" s="639"/>
      <c r="AM25" s="639"/>
      <c r="AN25" s="639"/>
      <c r="AO25" s="639"/>
      <c r="AP25" s="639"/>
      <c r="AQ25" s="639"/>
      <c r="AR25" s="639"/>
      <c r="AS25" s="639"/>
      <c r="AT25" s="639"/>
      <c r="AU25" s="639"/>
      <c r="AV25" s="639"/>
      <c r="AW25" s="639"/>
      <c r="AX25" s="639"/>
      <c r="AY25" s="639"/>
      <c r="AZ25" s="639"/>
      <c r="BA25" s="639"/>
      <c r="BB25" s="639"/>
      <c r="BC25" s="639"/>
      <c r="BD25" s="639"/>
      <c r="BE25" s="639"/>
      <c r="BF25" s="639"/>
      <c r="BG25" s="639"/>
      <c r="BH25" s="639"/>
      <c r="BI25" s="639"/>
      <c r="BJ25" s="639"/>
      <c r="BK25" s="639"/>
      <c r="BL25" s="639"/>
      <c r="BM25" s="639"/>
      <c r="BN25" s="639"/>
      <c r="BO25" s="639"/>
      <c r="BP25" s="639"/>
      <c r="BQ25" s="639"/>
      <c r="BR25" s="639"/>
      <c r="BS25" s="639"/>
      <c r="BT25" s="639"/>
      <c r="BU25" s="639"/>
      <c r="BV25" s="639"/>
      <c r="BW25" s="639"/>
      <c r="BX25" s="639"/>
      <c r="BY25" s="639"/>
      <c r="BZ25" s="639"/>
      <c r="CA25" s="639"/>
      <c r="CB25" s="639"/>
      <c r="CC25" s="639"/>
      <c r="CD25" s="639"/>
      <c r="CE25" s="639"/>
      <c r="CF25" s="639"/>
      <c r="CG25" s="639"/>
      <c r="CH25" s="639"/>
      <c r="CI25" s="639"/>
      <c r="CJ25" s="639"/>
      <c r="CK25" s="639"/>
      <c r="CL25" s="639"/>
      <c r="CM25" s="639"/>
      <c r="CN25" s="639"/>
      <c r="CO25" s="639"/>
      <c r="CP25" s="639"/>
      <c r="CQ25" s="639"/>
      <c r="CR25" s="639"/>
      <c r="CS25" s="639"/>
      <c r="CT25" s="639"/>
      <c r="CU25" s="639"/>
      <c r="CV25" s="639"/>
      <c r="CW25" s="639"/>
      <c r="CX25" s="639"/>
      <c r="CY25" s="639"/>
      <c r="CZ25" s="639"/>
      <c r="DA25" s="639"/>
      <c r="DB25" s="639"/>
      <c r="DC25" s="639"/>
      <c r="DD25" s="639"/>
      <c r="DE25" s="639"/>
      <c r="DF25" s="639"/>
      <c r="DG25" s="639"/>
      <c r="DH25" s="639"/>
      <c r="DI25" s="639"/>
      <c r="DJ25" s="639"/>
      <c r="DK25" s="639"/>
      <c r="DL25" s="639"/>
      <c r="DM25" s="639"/>
      <c r="DN25" s="639"/>
      <c r="DO25" s="639"/>
      <c r="DP25" s="639"/>
      <c r="DQ25" s="639"/>
      <c r="DR25" s="639"/>
      <c r="DS25" s="639"/>
      <c r="DT25" s="639"/>
      <c r="DU25" s="639"/>
      <c r="DV25" s="639"/>
      <c r="DW25" s="639"/>
      <c r="DX25" s="639"/>
      <c r="DY25" s="639"/>
      <c r="DZ25" s="639"/>
      <c r="EA25" s="639"/>
      <c r="EB25" s="639"/>
      <c r="EC25" s="639"/>
      <c r="ED25" s="639"/>
      <c r="EE25" s="639"/>
      <c r="EF25" s="639"/>
      <c r="EG25" s="639"/>
      <c r="EH25" s="639"/>
      <c r="EI25" s="639"/>
      <c r="EJ25" s="639"/>
      <c r="EK25" s="639"/>
      <c r="EL25" s="639"/>
      <c r="EM25" s="639"/>
      <c r="EN25" s="639"/>
      <c r="EO25" s="639"/>
      <c r="EP25" s="639"/>
      <c r="EQ25" s="639"/>
      <c r="ER25" s="639"/>
      <c r="ES25" s="639"/>
      <c r="ET25" s="639"/>
      <c r="EU25" s="639"/>
      <c r="EV25" s="639"/>
      <c r="EW25" s="639"/>
      <c r="EX25" s="639"/>
      <c r="EY25" s="639"/>
      <c r="EZ25" s="639"/>
      <c r="FA25" s="639"/>
      <c r="FB25" s="639"/>
      <c r="FC25" s="639"/>
      <c r="FD25" s="639"/>
      <c r="FE25" s="639"/>
      <c r="FF25" s="639"/>
      <c r="FG25" s="639"/>
      <c r="FH25" s="639"/>
      <c r="FI25" s="639"/>
      <c r="FJ25" s="639"/>
      <c r="FK25" s="639"/>
      <c r="FL25" s="639"/>
      <c r="FM25" s="639"/>
      <c r="FN25" s="639"/>
      <c r="FO25" s="639"/>
      <c r="FP25" s="639"/>
      <c r="FQ25" s="639"/>
      <c r="FR25" s="639"/>
      <c r="FS25" s="639"/>
      <c r="FT25" s="639"/>
      <c r="FU25" s="639"/>
      <c r="FV25" s="639"/>
      <c r="FW25" s="639"/>
      <c r="FX25" s="639"/>
      <c r="FY25" s="639"/>
      <c r="FZ25" s="639"/>
      <c r="GA25" s="639"/>
      <c r="GB25" s="639"/>
      <c r="GC25" s="639"/>
      <c r="GD25" s="639"/>
      <c r="GE25" s="639"/>
      <c r="GF25" s="639"/>
      <c r="GG25" s="639"/>
      <c r="GH25" s="639"/>
      <c r="GI25" s="639"/>
      <c r="GJ25" s="639"/>
      <c r="GK25" s="639"/>
      <c r="GL25" s="639"/>
      <c r="GM25" s="639"/>
      <c r="GN25" s="639"/>
      <c r="GO25" s="639"/>
      <c r="GP25" s="639"/>
      <c r="GQ25" s="639"/>
      <c r="GR25" s="639"/>
      <c r="GS25" s="639"/>
      <c r="GT25" s="639"/>
      <c r="GU25" s="639"/>
      <c r="GV25" s="639"/>
      <c r="GW25" s="639"/>
      <c r="GX25" s="639"/>
      <c r="GY25" s="639"/>
      <c r="GZ25" s="639"/>
      <c r="HA25" s="639"/>
      <c r="HB25" s="639"/>
      <c r="HC25" s="639"/>
      <c r="HD25" s="639"/>
      <c r="HE25" s="639"/>
      <c r="HF25" s="639"/>
      <c r="HG25" s="639"/>
      <c r="HH25" s="639"/>
      <c r="HI25" s="639"/>
      <c r="HJ25" s="639"/>
      <c r="HK25" s="639"/>
      <c r="HL25" s="639"/>
      <c r="HM25" s="639"/>
      <c r="HN25" s="639"/>
      <c r="HO25" s="639"/>
      <c r="HP25" s="639"/>
      <c r="HQ25" s="639"/>
      <c r="HR25" s="639"/>
      <c r="HS25" s="639"/>
      <c r="HT25" s="639"/>
      <c r="HU25" s="639"/>
      <c r="HV25" s="639"/>
      <c r="HW25" s="639"/>
      <c r="HX25" s="639"/>
      <c r="HY25" s="639"/>
      <c r="HZ25" s="639"/>
      <c r="IA25" s="639"/>
      <c r="IB25" s="639"/>
      <c r="IC25" s="639"/>
      <c r="ID25" s="639"/>
      <c r="IE25" s="639"/>
      <c r="IF25" s="639"/>
      <c r="IG25" s="639"/>
      <c r="IH25" s="639"/>
      <c r="II25" s="639"/>
      <c r="IJ25" s="639"/>
      <c r="IK25" s="639"/>
      <c r="IL25" s="639"/>
      <c r="IM25" s="639"/>
      <c r="IN25" s="639"/>
      <c r="IO25" s="639"/>
      <c r="IP25" s="639"/>
      <c r="IQ25" s="639"/>
      <c r="IR25" s="639"/>
    </row>
    <row r="26" spans="1:252" s="554" customFormat="1" ht="25.5">
      <c r="A26" s="710"/>
      <c r="B26" s="628"/>
      <c r="C26" s="565"/>
      <c r="D26" s="592" t="s">
        <v>1026</v>
      </c>
      <c r="E26" s="593" t="s">
        <v>1027</v>
      </c>
      <c r="F26" s="624"/>
      <c r="G26" s="712" t="s">
        <v>8</v>
      </c>
      <c r="H26" s="570">
        <v>13.3</v>
      </c>
      <c r="I26" s="614"/>
      <c r="J26" s="714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632"/>
      <c r="AB26" s="632"/>
      <c r="AC26" s="632"/>
      <c r="AD26" s="632"/>
      <c r="AE26" s="632"/>
      <c r="AF26" s="632"/>
      <c r="AG26" s="632"/>
      <c r="AH26" s="632"/>
      <c r="AI26" s="632"/>
      <c r="AJ26" s="632"/>
      <c r="AK26" s="632"/>
      <c r="AL26" s="632"/>
      <c r="AM26" s="632"/>
      <c r="AN26" s="632"/>
      <c r="AO26" s="632"/>
      <c r="AP26" s="632"/>
      <c r="AQ26" s="632"/>
      <c r="AR26" s="632"/>
      <c r="AS26" s="632"/>
      <c r="AT26" s="632"/>
      <c r="AU26" s="632"/>
      <c r="AV26" s="632"/>
      <c r="AW26" s="632"/>
      <c r="AX26" s="632"/>
      <c r="AY26" s="632"/>
      <c r="AZ26" s="632"/>
      <c r="BA26" s="632"/>
      <c r="BB26" s="632"/>
      <c r="BC26" s="632"/>
      <c r="BD26" s="632"/>
      <c r="BE26" s="632"/>
      <c r="BF26" s="632"/>
      <c r="BG26" s="632"/>
      <c r="BH26" s="632"/>
      <c r="BI26" s="632"/>
      <c r="BJ26" s="632"/>
      <c r="BK26" s="632"/>
      <c r="BL26" s="632"/>
      <c r="BM26" s="632"/>
      <c r="BN26" s="632"/>
      <c r="BO26" s="632"/>
      <c r="BP26" s="632"/>
      <c r="BQ26" s="632"/>
      <c r="BR26" s="632"/>
      <c r="BS26" s="632"/>
      <c r="BT26" s="632"/>
      <c r="BU26" s="632"/>
      <c r="BV26" s="632"/>
      <c r="BW26" s="632"/>
      <c r="BX26" s="632"/>
      <c r="BY26" s="632"/>
      <c r="BZ26" s="632"/>
      <c r="CA26" s="632"/>
      <c r="CB26" s="632"/>
      <c r="CC26" s="632"/>
      <c r="CD26" s="632"/>
      <c r="CE26" s="632"/>
      <c r="CF26" s="632"/>
      <c r="CG26" s="632"/>
      <c r="CH26" s="632"/>
      <c r="CI26" s="632"/>
      <c r="CJ26" s="632"/>
      <c r="CK26" s="632"/>
      <c r="CL26" s="632"/>
      <c r="CM26" s="632"/>
      <c r="CN26" s="632"/>
      <c r="CO26" s="632"/>
      <c r="CP26" s="632"/>
      <c r="CQ26" s="632"/>
      <c r="CR26" s="632"/>
      <c r="CS26" s="632"/>
      <c r="CT26" s="632"/>
      <c r="CU26" s="632"/>
      <c r="CV26" s="632"/>
      <c r="CW26" s="632"/>
      <c r="CX26" s="632"/>
      <c r="CY26" s="632"/>
      <c r="CZ26" s="632"/>
      <c r="DA26" s="632"/>
      <c r="DB26" s="632"/>
      <c r="DC26" s="632"/>
      <c r="DD26" s="632"/>
      <c r="DE26" s="632"/>
      <c r="DF26" s="632"/>
      <c r="DG26" s="632"/>
      <c r="DH26" s="632"/>
      <c r="DI26" s="632"/>
      <c r="DJ26" s="632"/>
      <c r="DK26" s="632"/>
      <c r="DL26" s="632"/>
      <c r="DM26" s="632"/>
      <c r="DN26" s="632"/>
      <c r="DO26" s="632"/>
      <c r="DP26" s="632"/>
      <c r="DQ26" s="632"/>
      <c r="DR26" s="632"/>
      <c r="DS26" s="632"/>
      <c r="DT26" s="632"/>
      <c r="DU26" s="632"/>
      <c r="DV26" s="632"/>
      <c r="DW26" s="632"/>
      <c r="DX26" s="632"/>
      <c r="DY26" s="632"/>
      <c r="DZ26" s="632"/>
      <c r="EA26" s="632"/>
      <c r="EB26" s="632"/>
      <c r="EC26" s="632"/>
      <c r="ED26" s="632"/>
      <c r="EE26" s="632"/>
      <c r="EF26" s="632"/>
      <c r="EG26" s="632"/>
      <c r="EH26" s="632"/>
      <c r="EI26" s="632"/>
      <c r="EJ26" s="632"/>
      <c r="EK26" s="632"/>
      <c r="EL26" s="632"/>
      <c r="EM26" s="632"/>
      <c r="EN26" s="632"/>
      <c r="EO26" s="632"/>
      <c r="EP26" s="632"/>
      <c r="EQ26" s="632"/>
      <c r="ER26" s="632"/>
      <c r="ES26" s="632"/>
      <c r="ET26" s="632"/>
      <c r="EU26" s="632"/>
      <c r="EV26" s="632"/>
      <c r="EW26" s="632"/>
      <c r="EX26" s="632"/>
      <c r="EY26" s="632"/>
      <c r="EZ26" s="632"/>
      <c r="FA26" s="632"/>
      <c r="FB26" s="632"/>
      <c r="FC26" s="632"/>
      <c r="FD26" s="632"/>
      <c r="FE26" s="632"/>
      <c r="FF26" s="632"/>
      <c r="FG26" s="632"/>
      <c r="FH26" s="632"/>
      <c r="FI26" s="632"/>
      <c r="FJ26" s="632"/>
      <c r="FK26" s="632"/>
      <c r="FL26" s="632"/>
      <c r="FM26" s="632"/>
      <c r="FN26" s="632"/>
      <c r="FO26" s="632"/>
      <c r="FP26" s="632"/>
      <c r="FQ26" s="632"/>
      <c r="FR26" s="632"/>
      <c r="FS26" s="632"/>
      <c r="FT26" s="632"/>
      <c r="FU26" s="632"/>
      <c r="FV26" s="632"/>
      <c r="FW26" s="632"/>
      <c r="FX26" s="632"/>
      <c r="FY26" s="632"/>
      <c r="FZ26" s="632"/>
      <c r="GA26" s="632"/>
      <c r="GB26" s="632"/>
      <c r="GC26" s="632"/>
      <c r="GD26" s="632"/>
      <c r="GE26" s="632"/>
      <c r="GF26" s="632"/>
      <c r="GG26" s="632"/>
      <c r="GH26" s="632"/>
      <c r="GI26" s="632"/>
      <c r="GJ26" s="632"/>
      <c r="GK26" s="632"/>
      <c r="GL26" s="632"/>
      <c r="GM26" s="632"/>
      <c r="GN26" s="632"/>
      <c r="GO26" s="632"/>
      <c r="GP26" s="632"/>
      <c r="GQ26" s="632"/>
      <c r="GR26" s="632"/>
      <c r="GS26" s="632"/>
      <c r="GT26" s="632"/>
      <c r="GU26" s="632"/>
      <c r="GV26" s="632"/>
      <c r="GW26" s="632"/>
      <c r="GX26" s="632"/>
      <c r="GY26" s="632"/>
      <c r="GZ26" s="632"/>
      <c r="HA26" s="632"/>
      <c r="HB26" s="632"/>
      <c r="HC26" s="632"/>
      <c r="HD26" s="632"/>
      <c r="HE26" s="632"/>
      <c r="HF26" s="632"/>
      <c r="HG26" s="632"/>
      <c r="HH26" s="632"/>
      <c r="HI26" s="632"/>
      <c r="HJ26" s="632"/>
      <c r="HK26" s="632"/>
      <c r="HL26" s="632"/>
      <c r="HM26" s="632"/>
      <c r="HN26" s="632"/>
      <c r="HO26" s="632"/>
      <c r="HP26" s="632"/>
      <c r="HQ26" s="632"/>
      <c r="HR26" s="632"/>
      <c r="HS26" s="632"/>
      <c r="HT26" s="632"/>
      <c r="HU26" s="632"/>
      <c r="HV26" s="632"/>
      <c r="HW26" s="632"/>
      <c r="HX26" s="632"/>
      <c r="HY26" s="632"/>
      <c r="HZ26" s="632"/>
      <c r="IA26" s="632"/>
      <c r="IB26" s="632"/>
      <c r="IC26" s="632"/>
      <c r="ID26" s="632"/>
      <c r="IE26" s="632"/>
      <c r="IF26" s="632"/>
      <c r="IG26" s="632"/>
      <c r="IH26" s="632"/>
      <c r="II26" s="632"/>
      <c r="IJ26" s="632"/>
      <c r="IK26" s="632"/>
      <c r="IL26" s="632"/>
      <c r="IM26" s="632"/>
      <c r="IN26" s="632"/>
      <c r="IO26" s="632"/>
      <c r="IP26" s="632"/>
      <c r="IQ26" s="632"/>
      <c r="IR26" s="632"/>
    </row>
    <row r="27" spans="1:252" s="554" customFormat="1">
      <c r="A27" s="710"/>
      <c r="B27" s="628"/>
      <c r="C27" s="565"/>
      <c r="D27" s="591"/>
      <c r="E27" s="608" t="s">
        <v>1142</v>
      </c>
      <c r="F27" s="415">
        <v>13.3</v>
      </c>
      <c r="G27" s="712"/>
      <c r="H27" s="540"/>
      <c r="I27" s="409"/>
      <c r="J27" s="709"/>
    </row>
    <row r="28" spans="1:252" s="554" customFormat="1">
      <c r="A28" s="710"/>
      <c r="B28" s="628"/>
      <c r="C28" s="565"/>
      <c r="D28" s="591"/>
      <c r="E28" s="608" t="s">
        <v>1143</v>
      </c>
      <c r="F28" s="415"/>
      <c r="G28" s="712"/>
      <c r="H28" s="540"/>
      <c r="I28" s="614"/>
      <c r="J28" s="714"/>
      <c r="K28" s="632"/>
      <c r="L28" s="632"/>
      <c r="M28" s="632"/>
      <c r="N28" s="632"/>
      <c r="O28" s="632"/>
      <c r="P28" s="632"/>
      <c r="Q28" s="632"/>
      <c r="R28" s="632"/>
      <c r="S28" s="632"/>
      <c r="T28" s="632"/>
      <c r="U28" s="632"/>
      <c r="V28" s="632"/>
      <c r="W28" s="632"/>
      <c r="X28" s="632"/>
      <c r="Y28" s="632"/>
      <c r="Z28" s="632"/>
      <c r="AA28" s="632"/>
      <c r="AB28" s="632"/>
      <c r="AC28" s="632"/>
      <c r="AD28" s="632"/>
      <c r="AE28" s="632"/>
      <c r="AF28" s="632"/>
      <c r="AG28" s="632"/>
      <c r="AH28" s="632"/>
      <c r="AI28" s="632"/>
      <c r="AJ28" s="632"/>
      <c r="AK28" s="632"/>
      <c r="AL28" s="632"/>
      <c r="AM28" s="632"/>
      <c r="AN28" s="632"/>
      <c r="AO28" s="632"/>
      <c r="AP28" s="632"/>
      <c r="AQ28" s="632"/>
      <c r="AR28" s="632"/>
      <c r="AS28" s="632"/>
      <c r="AT28" s="632"/>
      <c r="AU28" s="632"/>
      <c r="AV28" s="632"/>
      <c r="AW28" s="632"/>
      <c r="AX28" s="632"/>
      <c r="AY28" s="632"/>
      <c r="AZ28" s="632"/>
      <c r="BA28" s="632"/>
      <c r="BB28" s="632"/>
      <c r="BC28" s="632"/>
      <c r="BD28" s="632"/>
      <c r="BE28" s="632"/>
      <c r="BF28" s="632"/>
      <c r="BG28" s="632"/>
      <c r="BH28" s="632"/>
      <c r="BI28" s="632"/>
      <c r="BJ28" s="632"/>
      <c r="BK28" s="632"/>
      <c r="BL28" s="632"/>
      <c r="BM28" s="632"/>
      <c r="BN28" s="632"/>
      <c r="BO28" s="632"/>
      <c r="BP28" s="632"/>
      <c r="BQ28" s="632"/>
      <c r="BR28" s="632"/>
      <c r="BS28" s="632"/>
      <c r="BT28" s="632"/>
      <c r="BU28" s="632"/>
      <c r="BV28" s="632"/>
      <c r="BW28" s="632"/>
      <c r="BX28" s="632"/>
      <c r="BY28" s="632"/>
      <c r="BZ28" s="632"/>
      <c r="CA28" s="632"/>
      <c r="CB28" s="632"/>
      <c r="CC28" s="632"/>
      <c r="CD28" s="632"/>
      <c r="CE28" s="632"/>
      <c r="CF28" s="632"/>
      <c r="CG28" s="632"/>
      <c r="CH28" s="632"/>
      <c r="CI28" s="632"/>
      <c r="CJ28" s="632"/>
      <c r="CK28" s="632"/>
      <c r="CL28" s="632"/>
      <c r="CM28" s="632"/>
      <c r="CN28" s="632"/>
      <c r="CO28" s="632"/>
      <c r="CP28" s="632"/>
      <c r="CQ28" s="632"/>
      <c r="CR28" s="632"/>
      <c r="CS28" s="632"/>
      <c r="CT28" s="632"/>
      <c r="CU28" s="632"/>
      <c r="CV28" s="632"/>
      <c r="CW28" s="632"/>
      <c r="CX28" s="632"/>
      <c r="CY28" s="632"/>
      <c r="CZ28" s="632"/>
      <c r="DA28" s="632"/>
      <c r="DB28" s="632"/>
      <c r="DC28" s="632"/>
      <c r="DD28" s="632"/>
      <c r="DE28" s="632"/>
      <c r="DF28" s="632"/>
      <c r="DG28" s="632"/>
      <c r="DH28" s="632"/>
      <c r="DI28" s="632"/>
      <c r="DJ28" s="632"/>
      <c r="DK28" s="632"/>
      <c r="DL28" s="632"/>
      <c r="DM28" s="632"/>
      <c r="DN28" s="632"/>
      <c r="DO28" s="632"/>
      <c r="DP28" s="632"/>
      <c r="DQ28" s="632"/>
      <c r="DR28" s="632"/>
      <c r="DS28" s="632"/>
      <c r="DT28" s="632"/>
      <c r="DU28" s="632"/>
      <c r="DV28" s="632"/>
      <c r="DW28" s="632"/>
      <c r="DX28" s="632"/>
      <c r="DY28" s="632"/>
      <c r="DZ28" s="632"/>
      <c r="EA28" s="632"/>
      <c r="EB28" s="632"/>
      <c r="EC28" s="632"/>
      <c r="ED28" s="632"/>
      <c r="EE28" s="632"/>
      <c r="EF28" s="632"/>
      <c r="EG28" s="632"/>
      <c r="EH28" s="632"/>
      <c r="EI28" s="632"/>
      <c r="EJ28" s="632"/>
      <c r="EK28" s="632"/>
      <c r="EL28" s="632"/>
      <c r="EM28" s="632"/>
      <c r="EN28" s="632"/>
      <c r="EO28" s="632"/>
      <c r="EP28" s="632"/>
      <c r="EQ28" s="632"/>
      <c r="ER28" s="632"/>
      <c r="ES28" s="632"/>
      <c r="ET28" s="632"/>
      <c r="EU28" s="632"/>
      <c r="EV28" s="632"/>
      <c r="EW28" s="632"/>
      <c r="EX28" s="632"/>
      <c r="EY28" s="632"/>
      <c r="EZ28" s="632"/>
      <c r="FA28" s="632"/>
      <c r="FB28" s="632"/>
      <c r="FC28" s="632"/>
      <c r="FD28" s="632"/>
      <c r="FE28" s="632"/>
      <c r="FF28" s="632"/>
      <c r="FG28" s="632"/>
      <c r="FH28" s="632"/>
      <c r="FI28" s="632"/>
      <c r="FJ28" s="632"/>
      <c r="FK28" s="632"/>
      <c r="FL28" s="632"/>
      <c r="FM28" s="632"/>
      <c r="FN28" s="632"/>
      <c r="FO28" s="632"/>
      <c r="FP28" s="632"/>
      <c r="FQ28" s="632"/>
      <c r="FR28" s="632"/>
      <c r="FS28" s="632"/>
      <c r="FT28" s="632"/>
      <c r="FU28" s="632"/>
      <c r="FV28" s="632"/>
      <c r="FW28" s="632"/>
      <c r="FX28" s="632"/>
      <c r="FY28" s="632"/>
      <c r="FZ28" s="632"/>
      <c r="GA28" s="632"/>
      <c r="GB28" s="632"/>
      <c r="GC28" s="632"/>
      <c r="GD28" s="632"/>
      <c r="GE28" s="632"/>
      <c r="GF28" s="632"/>
      <c r="GG28" s="632"/>
      <c r="GH28" s="632"/>
      <c r="GI28" s="632"/>
      <c r="GJ28" s="632"/>
      <c r="GK28" s="632"/>
      <c r="GL28" s="632"/>
      <c r="GM28" s="632"/>
      <c r="GN28" s="632"/>
      <c r="GO28" s="632"/>
      <c r="GP28" s="632"/>
      <c r="GQ28" s="632"/>
      <c r="GR28" s="632"/>
      <c r="GS28" s="632"/>
      <c r="GT28" s="632"/>
      <c r="GU28" s="632"/>
      <c r="GV28" s="632"/>
      <c r="GW28" s="632"/>
      <c r="GX28" s="632"/>
      <c r="GY28" s="632"/>
      <c r="GZ28" s="632"/>
      <c r="HA28" s="632"/>
      <c r="HB28" s="632"/>
      <c r="HC28" s="632"/>
      <c r="HD28" s="632"/>
      <c r="HE28" s="632"/>
      <c r="HF28" s="632"/>
      <c r="HG28" s="632"/>
      <c r="HH28" s="632"/>
      <c r="HI28" s="632"/>
      <c r="HJ28" s="632"/>
      <c r="HK28" s="632"/>
      <c r="HL28" s="632"/>
      <c r="HM28" s="632"/>
      <c r="HN28" s="632"/>
      <c r="HO28" s="632"/>
      <c r="HP28" s="632"/>
      <c r="HQ28" s="632"/>
      <c r="HR28" s="632"/>
      <c r="HS28" s="632"/>
      <c r="HT28" s="632"/>
      <c r="HU28" s="632"/>
      <c r="HV28" s="632"/>
      <c r="HW28" s="632"/>
      <c r="HX28" s="632"/>
      <c r="HY28" s="632"/>
      <c r="HZ28" s="632"/>
      <c r="IA28" s="632"/>
      <c r="IB28" s="632"/>
      <c r="IC28" s="632"/>
      <c r="ID28" s="632"/>
      <c r="IE28" s="632"/>
      <c r="IF28" s="632"/>
      <c r="IG28" s="632"/>
      <c r="IH28" s="632"/>
      <c r="II28" s="632"/>
      <c r="IJ28" s="632"/>
      <c r="IK28" s="632"/>
      <c r="IL28" s="632"/>
      <c r="IM28" s="632"/>
      <c r="IN28" s="632"/>
      <c r="IO28" s="632"/>
      <c r="IP28" s="632"/>
      <c r="IQ28" s="632"/>
      <c r="IR28" s="632"/>
    </row>
    <row r="29" spans="1:252" s="537" customFormat="1">
      <c r="A29" s="710"/>
      <c r="B29" s="628"/>
      <c r="C29" s="565"/>
      <c r="D29" s="550"/>
      <c r="E29" s="625"/>
      <c r="F29" s="415"/>
      <c r="G29" s="712"/>
      <c r="H29" s="540"/>
      <c r="I29" s="614"/>
      <c r="J29" s="714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2"/>
      <c r="X29" s="632"/>
      <c r="Y29" s="632"/>
      <c r="Z29" s="632"/>
      <c r="AA29" s="632"/>
      <c r="AB29" s="632"/>
      <c r="AC29" s="632"/>
      <c r="AD29" s="632"/>
      <c r="AE29" s="632"/>
      <c r="AF29" s="632"/>
      <c r="AG29" s="632"/>
      <c r="AH29" s="632"/>
      <c r="AI29" s="632"/>
      <c r="AJ29" s="632"/>
      <c r="AK29" s="632"/>
      <c r="AL29" s="632"/>
      <c r="AM29" s="632"/>
      <c r="AN29" s="632"/>
      <c r="AO29" s="632"/>
      <c r="AP29" s="632"/>
      <c r="AQ29" s="632"/>
      <c r="AR29" s="632"/>
      <c r="AS29" s="632"/>
      <c r="AT29" s="632"/>
      <c r="AU29" s="632"/>
      <c r="AV29" s="632"/>
      <c r="AW29" s="632"/>
      <c r="AX29" s="632"/>
      <c r="AY29" s="632"/>
      <c r="AZ29" s="632"/>
      <c r="BA29" s="632"/>
      <c r="BB29" s="632"/>
      <c r="BC29" s="632"/>
      <c r="BD29" s="632"/>
      <c r="BE29" s="632"/>
      <c r="BF29" s="632"/>
      <c r="BG29" s="632"/>
      <c r="BH29" s="632"/>
      <c r="BI29" s="632"/>
      <c r="BJ29" s="632"/>
      <c r="BK29" s="632"/>
      <c r="BL29" s="632"/>
      <c r="BM29" s="632"/>
      <c r="BN29" s="632"/>
      <c r="BO29" s="632"/>
      <c r="BP29" s="632"/>
      <c r="BQ29" s="632"/>
      <c r="BR29" s="632"/>
      <c r="BS29" s="632"/>
      <c r="BT29" s="632"/>
      <c r="BU29" s="632"/>
      <c r="BV29" s="632"/>
      <c r="BW29" s="632"/>
      <c r="BX29" s="632"/>
      <c r="BY29" s="632"/>
      <c r="BZ29" s="632"/>
      <c r="CA29" s="632"/>
      <c r="CB29" s="632"/>
      <c r="CC29" s="632"/>
      <c r="CD29" s="632"/>
      <c r="CE29" s="632"/>
      <c r="CF29" s="632"/>
      <c r="CG29" s="632"/>
      <c r="CH29" s="632"/>
      <c r="CI29" s="632"/>
      <c r="CJ29" s="632"/>
      <c r="CK29" s="632"/>
      <c r="CL29" s="632"/>
      <c r="CM29" s="632"/>
      <c r="CN29" s="632"/>
      <c r="CO29" s="632"/>
      <c r="CP29" s="632"/>
      <c r="CQ29" s="632"/>
      <c r="CR29" s="632"/>
      <c r="CS29" s="632"/>
      <c r="CT29" s="632"/>
      <c r="CU29" s="632"/>
      <c r="CV29" s="632"/>
      <c r="CW29" s="632"/>
      <c r="CX29" s="632"/>
      <c r="CY29" s="632"/>
      <c r="CZ29" s="632"/>
      <c r="DA29" s="632"/>
      <c r="DB29" s="632"/>
      <c r="DC29" s="632"/>
      <c r="DD29" s="632"/>
      <c r="DE29" s="632"/>
      <c r="DF29" s="632"/>
      <c r="DG29" s="632"/>
      <c r="DH29" s="632"/>
      <c r="DI29" s="632"/>
      <c r="DJ29" s="632"/>
      <c r="DK29" s="632"/>
      <c r="DL29" s="632"/>
      <c r="DM29" s="632"/>
      <c r="DN29" s="632"/>
      <c r="DO29" s="632"/>
      <c r="DP29" s="632"/>
      <c r="DQ29" s="632"/>
      <c r="DR29" s="632"/>
      <c r="DS29" s="632"/>
      <c r="DT29" s="632"/>
      <c r="DU29" s="632"/>
      <c r="DV29" s="632"/>
      <c r="DW29" s="632"/>
      <c r="DX29" s="632"/>
      <c r="DY29" s="632"/>
      <c r="DZ29" s="632"/>
      <c r="EA29" s="632"/>
      <c r="EB29" s="632"/>
      <c r="EC29" s="632"/>
      <c r="ED29" s="632"/>
      <c r="EE29" s="632"/>
      <c r="EF29" s="632"/>
      <c r="EG29" s="632"/>
      <c r="EH29" s="632"/>
      <c r="EI29" s="632"/>
      <c r="EJ29" s="632"/>
      <c r="EK29" s="632"/>
      <c r="EL29" s="632"/>
      <c r="EM29" s="632"/>
      <c r="EN29" s="632"/>
      <c r="EO29" s="632"/>
      <c r="EP29" s="632"/>
      <c r="EQ29" s="632"/>
      <c r="ER29" s="632"/>
      <c r="ES29" s="632"/>
      <c r="ET29" s="632"/>
      <c r="EU29" s="632"/>
      <c r="EV29" s="632"/>
      <c r="EW29" s="632"/>
      <c r="EX29" s="632"/>
      <c r="EY29" s="632"/>
      <c r="EZ29" s="632"/>
      <c r="FA29" s="632"/>
      <c r="FB29" s="632"/>
      <c r="FC29" s="632"/>
      <c r="FD29" s="632"/>
      <c r="FE29" s="632"/>
      <c r="FF29" s="632"/>
      <c r="FG29" s="632"/>
      <c r="FH29" s="632"/>
      <c r="FI29" s="632"/>
      <c r="FJ29" s="632"/>
      <c r="FK29" s="632"/>
      <c r="FL29" s="632"/>
      <c r="FM29" s="632"/>
      <c r="FN29" s="632"/>
      <c r="FO29" s="632"/>
      <c r="FP29" s="632"/>
      <c r="FQ29" s="632"/>
      <c r="FR29" s="632"/>
      <c r="FS29" s="632"/>
      <c r="FT29" s="632"/>
      <c r="FU29" s="632"/>
      <c r="FV29" s="632"/>
      <c r="FW29" s="632"/>
      <c r="FX29" s="632"/>
      <c r="FY29" s="632"/>
      <c r="FZ29" s="632"/>
      <c r="GA29" s="632"/>
      <c r="GB29" s="632"/>
      <c r="GC29" s="632"/>
      <c r="GD29" s="632"/>
      <c r="GE29" s="632"/>
      <c r="GF29" s="632"/>
      <c r="GG29" s="632"/>
      <c r="GH29" s="632"/>
      <c r="GI29" s="632"/>
      <c r="GJ29" s="632"/>
      <c r="GK29" s="632"/>
      <c r="GL29" s="632"/>
      <c r="GM29" s="632"/>
      <c r="GN29" s="632"/>
      <c r="GO29" s="632"/>
      <c r="GP29" s="632"/>
      <c r="GQ29" s="632"/>
      <c r="GR29" s="632"/>
      <c r="GS29" s="632"/>
      <c r="GT29" s="632"/>
      <c r="GU29" s="632"/>
      <c r="GV29" s="632"/>
      <c r="GW29" s="632"/>
      <c r="GX29" s="632"/>
      <c r="GY29" s="632"/>
      <c r="GZ29" s="632"/>
      <c r="HA29" s="632"/>
      <c r="HB29" s="632"/>
      <c r="HC29" s="632"/>
      <c r="HD29" s="632"/>
      <c r="HE29" s="632"/>
      <c r="HF29" s="632"/>
      <c r="HG29" s="632"/>
      <c r="HH29" s="632"/>
      <c r="HI29" s="632"/>
      <c r="HJ29" s="632"/>
      <c r="HK29" s="632"/>
      <c r="HL29" s="632"/>
      <c r="HM29" s="632"/>
      <c r="HN29" s="632"/>
      <c r="HO29" s="632"/>
      <c r="HP29" s="632"/>
      <c r="HQ29" s="632"/>
      <c r="HR29" s="632"/>
      <c r="HS29" s="632"/>
      <c r="HT29" s="632"/>
      <c r="HU29" s="632"/>
      <c r="HV29" s="632"/>
      <c r="HW29" s="632"/>
      <c r="HX29" s="632"/>
      <c r="HY29" s="632"/>
      <c r="HZ29" s="632"/>
      <c r="IA29" s="632"/>
      <c r="IB29" s="632"/>
      <c r="IC29" s="632"/>
      <c r="ID29" s="632"/>
      <c r="IE29" s="632"/>
      <c r="IF29" s="632"/>
      <c r="IG29" s="632"/>
      <c r="IH29" s="632"/>
      <c r="II29" s="632"/>
      <c r="IJ29" s="632"/>
      <c r="IK29" s="632"/>
      <c r="IL29" s="632"/>
      <c r="IM29" s="632"/>
      <c r="IN29" s="632"/>
      <c r="IO29" s="632"/>
      <c r="IP29" s="632"/>
      <c r="IQ29" s="632"/>
      <c r="IR29" s="632"/>
    </row>
    <row r="30" spans="1:252" s="548" customFormat="1">
      <c r="A30" s="524">
        <f>MAX(A$1:A29)+1</f>
        <v>5</v>
      </c>
      <c r="B30" s="609"/>
      <c r="C30" s="610" t="s">
        <v>123</v>
      </c>
      <c r="D30" s="565"/>
      <c r="E30" s="551" t="s">
        <v>124</v>
      </c>
      <c r="F30" s="611"/>
      <c r="G30" s="708" t="s">
        <v>8</v>
      </c>
      <c r="H30" s="408">
        <f>H31</f>
        <v>56</v>
      </c>
      <c r="I30" s="658"/>
      <c r="J30" s="699">
        <f>H30*I30</f>
        <v>0</v>
      </c>
      <c r="K30" s="561"/>
      <c r="L30" s="558"/>
      <c r="M30" s="558"/>
      <c r="N30" s="639"/>
      <c r="O30" s="639"/>
      <c r="P30" s="639"/>
      <c r="Q30" s="639"/>
      <c r="R30" s="639"/>
      <c r="S30" s="639"/>
      <c r="T30" s="639"/>
      <c r="U30" s="639"/>
      <c r="V30" s="639"/>
      <c r="W30" s="639"/>
      <c r="X30" s="639"/>
      <c r="Y30" s="639"/>
      <c r="Z30" s="639"/>
      <c r="AA30" s="639"/>
      <c r="AB30" s="639"/>
      <c r="AC30" s="639"/>
      <c r="AD30" s="639"/>
      <c r="AE30" s="639"/>
      <c r="AF30" s="639"/>
      <c r="AG30" s="639"/>
      <c r="AH30" s="639"/>
      <c r="AI30" s="639"/>
      <c r="AJ30" s="639"/>
      <c r="AK30" s="639"/>
      <c r="AL30" s="639"/>
      <c r="AM30" s="639"/>
      <c r="AN30" s="639"/>
      <c r="AO30" s="639"/>
      <c r="AP30" s="639"/>
      <c r="AQ30" s="639"/>
      <c r="AR30" s="639"/>
      <c r="AS30" s="639"/>
      <c r="AT30" s="639"/>
      <c r="AU30" s="639"/>
      <c r="AV30" s="639"/>
      <c r="AW30" s="639"/>
      <c r="AX30" s="639"/>
      <c r="AY30" s="639"/>
      <c r="AZ30" s="639"/>
      <c r="BA30" s="639"/>
      <c r="BB30" s="639"/>
      <c r="BC30" s="639"/>
      <c r="BD30" s="639"/>
      <c r="BE30" s="639"/>
      <c r="BF30" s="639"/>
      <c r="BG30" s="639"/>
      <c r="BH30" s="639"/>
      <c r="BI30" s="639"/>
      <c r="BJ30" s="639"/>
      <c r="BK30" s="639"/>
      <c r="BL30" s="639"/>
      <c r="BM30" s="639"/>
      <c r="BN30" s="639"/>
      <c r="BO30" s="639"/>
      <c r="BP30" s="639"/>
      <c r="BQ30" s="639"/>
      <c r="BR30" s="639"/>
      <c r="BS30" s="639"/>
      <c r="BT30" s="639"/>
      <c r="BU30" s="639"/>
      <c r="BV30" s="639"/>
      <c r="BW30" s="639"/>
      <c r="BX30" s="639"/>
      <c r="BY30" s="639"/>
      <c r="BZ30" s="639"/>
      <c r="CA30" s="639"/>
      <c r="CB30" s="639"/>
      <c r="CC30" s="639"/>
      <c r="CD30" s="639"/>
      <c r="CE30" s="639"/>
      <c r="CF30" s="639"/>
      <c r="CG30" s="639"/>
      <c r="CH30" s="639"/>
      <c r="CI30" s="639"/>
      <c r="CJ30" s="639"/>
      <c r="CK30" s="639"/>
      <c r="CL30" s="639"/>
      <c r="CM30" s="639"/>
      <c r="CN30" s="639"/>
      <c r="CO30" s="639"/>
      <c r="CP30" s="639"/>
      <c r="CQ30" s="639"/>
      <c r="CR30" s="639"/>
      <c r="CS30" s="639"/>
      <c r="CT30" s="639"/>
      <c r="CU30" s="639"/>
      <c r="CV30" s="639"/>
      <c r="CW30" s="639"/>
      <c r="CX30" s="639"/>
      <c r="CY30" s="639"/>
      <c r="CZ30" s="639"/>
      <c r="DA30" s="639"/>
      <c r="DB30" s="639"/>
      <c r="DC30" s="639"/>
      <c r="DD30" s="639"/>
      <c r="DE30" s="639"/>
      <c r="DF30" s="639"/>
      <c r="DG30" s="639"/>
      <c r="DH30" s="639"/>
      <c r="DI30" s="639"/>
      <c r="DJ30" s="639"/>
      <c r="DK30" s="639"/>
      <c r="DL30" s="639"/>
      <c r="DM30" s="639"/>
      <c r="DN30" s="639"/>
      <c r="DO30" s="639"/>
      <c r="DP30" s="639"/>
      <c r="DQ30" s="639"/>
      <c r="DR30" s="639"/>
      <c r="DS30" s="639"/>
      <c r="DT30" s="639"/>
      <c r="DU30" s="639"/>
      <c r="DV30" s="639"/>
      <c r="DW30" s="639"/>
      <c r="DX30" s="639"/>
      <c r="DY30" s="639"/>
      <c r="DZ30" s="639"/>
      <c r="EA30" s="639"/>
      <c r="EB30" s="639"/>
      <c r="EC30" s="639"/>
      <c r="ED30" s="639"/>
      <c r="EE30" s="639"/>
      <c r="EF30" s="639"/>
      <c r="EG30" s="639"/>
      <c r="EH30" s="639"/>
      <c r="EI30" s="639"/>
      <c r="EJ30" s="639"/>
      <c r="EK30" s="639"/>
      <c r="EL30" s="639"/>
      <c r="EM30" s="639"/>
      <c r="EN30" s="639"/>
      <c r="EO30" s="639"/>
      <c r="EP30" s="639"/>
      <c r="EQ30" s="639"/>
      <c r="ER30" s="639"/>
      <c r="ES30" s="639"/>
      <c r="ET30" s="639"/>
      <c r="EU30" s="639"/>
      <c r="EV30" s="639"/>
      <c r="EW30" s="639"/>
      <c r="EX30" s="639"/>
      <c r="EY30" s="639"/>
      <c r="EZ30" s="639"/>
      <c r="FA30" s="639"/>
      <c r="FB30" s="639"/>
      <c r="FC30" s="639"/>
      <c r="FD30" s="639"/>
      <c r="FE30" s="639"/>
      <c r="FF30" s="639"/>
      <c r="FG30" s="639"/>
      <c r="FH30" s="639"/>
      <c r="FI30" s="639"/>
      <c r="FJ30" s="639"/>
      <c r="FK30" s="639"/>
      <c r="FL30" s="639"/>
      <c r="FM30" s="639"/>
      <c r="FN30" s="639"/>
      <c r="FO30" s="639"/>
      <c r="FP30" s="639"/>
      <c r="FQ30" s="639"/>
      <c r="FR30" s="639"/>
      <c r="FS30" s="639"/>
      <c r="FT30" s="639"/>
      <c r="FU30" s="639"/>
      <c r="FV30" s="639"/>
      <c r="FW30" s="639"/>
      <c r="FX30" s="639"/>
      <c r="FY30" s="639"/>
      <c r="FZ30" s="639"/>
      <c r="GA30" s="639"/>
      <c r="GB30" s="639"/>
      <c r="GC30" s="639"/>
      <c r="GD30" s="639"/>
      <c r="GE30" s="639"/>
      <c r="GF30" s="639"/>
      <c r="GG30" s="639"/>
      <c r="GH30" s="639"/>
      <c r="GI30" s="639"/>
      <c r="GJ30" s="639"/>
      <c r="GK30" s="639"/>
      <c r="GL30" s="639"/>
      <c r="GM30" s="639"/>
      <c r="GN30" s="639"/>
      <c r="GO30" s="639"/>
      <c r="GP30" s="639"/>
      <c r="GQ30" s="639"/>
      <c r="GR30" s="639"/>
      <c r="GS30" s="639"/>
      <c r="GT30" s="639"/>
      <c r="GU30" s="639"/>
      <c r="GV30" s="639"/>
      <c r="GW30" s="639"/>
      <c r="GX30" s="639"/>
      <c r="GY30" s="639"/>
      <c r="GZ30" s="639"/>
      <c r="HA30" s="639"/>
      <c r="HB30" s="639"/>
      <c r="HC30" s="639"/>
      <c r="HD30" s="639"/>
      <c r="HE30" s="639"/>
      <c r="HF30" s="639"/>
      <c r="HG30" s="639"/>
      <c r="HH30" s="639"/>
      <c r="HI30" s="639"/>
      <c r="HJ30" s="639"/>
      <c r="HK30" s="639"/>
      <c r="HL30" s="639"/>
      <c r="HM30" s="639"/>
      <c r="HN30" s="639"/>
      <c r="HO30" s="639"/>
      <c r="HP30" s="639"/>
      <c r="HQ30" s="639"/>
      <c r="HR30" s="639"/>
      <c r="HS30" s="639"/>
      <c r="HT30" s="639"/>
      <c r="HU30" s="639"/>
      <c r="HV30" s="639"/>
      <c r="HW30" s="639"/>
      <c r="HX30" s="639"/>
      <c r="HY30" s="639"/>
      <c r="HZ30" s="639"/>
      <c r="IA30" s="639"/>
      <c r="IB30" s="639"/>
      <c r="IC30" s="639"/>
      <c r="ID30" s="639"/>
      <c r="IE30" s="639"/>
      <c r="IF30" s="639"/>
      <c r="IG30" s="639"/>
      <c r="IH30" s="639"/>
      <c r="II30" s="639"/>
      <c r="IJ30" s="639"/>
      <c r="IK30" s="639"/>
      <c r="IL30" s="639"/>
      <c r="IM30" s="639"/>
      <c r="IN30" s="639"/>
      <c r="IO30" s="639"/>
      <c r="IP30" s="639"/>
      <c r="IQ30" s="639"/>
      <c r="IR30" s="639"/>
    </row>
    <row r="31" spans="1:252" s="554" customFormat="1" ht="25.5">
      <c r="A31" s="710"/>
      <c r="B31" s="628"/>
      <c r="C31" s="565"/>
      <c r="D31" s="592" t="s">
        <v>125</v>
      </c>
      <c r="E31" s="593" t="s">
        <v>1030</v>
      </c>
      <c r="F31" s="624"/>
      <c r="G31" s="712" t="s">
        <v>8</v>
      </c>
      <c r="H31" s="570">
        <v>56</v>
      </c>
      <c r="I31" s="614"/>
      <c r="J31" s="714"/>
      <c r="K31" s="632"/>
      <c r="L31" s="632"/>
      <c r="M31" s="632"/>
      <c r="N31" s="632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32"/>
      <c r="AI31" s="632"/>
      <c r="AJ31" s="632"/>
      <c r="AK31" s="632"/>
      <c r="AL31" s="632"/>
      <c r="AM31" s="632"/>
      <c r="AN31" s="632"/>
      <c r="AO31" s="632"/>
      <c r="AP31" s="632"/>
      <c r="AQ31" s="632"/>
      <c r="AR31" s="632"/>
      <c r="AS31" s="632"/>
      <c r="AT31" s="632"/>
      <c r="AU31" s="632"/>
      <c r="AV31" s="632"/>
      <c r="AW31" s="632"/>
      <c r="AX31" s="632"/>
      <c r="AY31" s="632"/>
      <c r="AZ31" s="632"/>
      <c r="BA31" s="632"/>
      <c r="BB31" s="632"/>
      <c r="BC31" s="632"/>
      <c r="BD31" s="632"/>
      <c r="BE31" s="632"/>
      <c r="BF31" s="632"/>
      <c r="BG31" s="632"/>
      <c r="BH31" s="632"/>
      <c r="BI31" s="632"/>
      <c r="BJ31" s="632"/>
      <c r="BK31" s="632"/>
      <c r="BL31" s="632"/>
      <c r="BM31" s="632"/>
      <c r="BN31" s="632"/>
      <c r="BO31" s="632"/>
      <c r="BP31" s="632"/>
      <c r="BQ31" s="632"/>
      <c r="BR31" s="632"/>
      <c r="BS31" s="632"/>
      <c r="BT31" s="632"/>
      <c r="BU31" s="632"/>
      <c r="BV31" s="632"/>
      <c r="BW31" s="632"/>
      <c r="BX31" s="632"/>
      <c r="BY31" s="632"/>
      <c r="BZ31" s="632"/>
      <c r="CA31" s="632"/>
      <c r="CB31" s="632"/>
      <c r="CC31" s="632"/>
      <c r="CD31" s="632"/>
      <c r="CE31" s="632"/>
      <c r="CF31" s="632"/>
      <c r="CG31" s="632"/>
      <c r="CH31" s="632"/>
      <c r="CI31" s="632"/>
      <c r="CJ31" s="632"/>
      <c r="CK31" s="632"/>
      <c r="CL31" s="632"/>
      <c r="CM31" s="632"/>
      <c r="CN31" s="632"/>
      <c r="CO31" s="632"/>
      <c r="CP31" s="632"/>
      <c r="CQ31" s="632"/>
      <c r="CR31" s="632"/>
      <c r="CS31" s="632"/>
      <c r="CT31" s="632"/>
      <c r="CU31" s="632"/>
      <c r="CV31" s="632"/>
      <c r="CW31" s="632"/>
      <c r="CX31" s="632"/>
      <c r="CY31" s="632"/>
      <c r="CZ31" s="632"/>
      <c r="DA31" s="632"/>
      <c r="DB31" s="632"/>
      <c r="DC31" s="632"/>
      <c r="DD31" s="632"/>
      <c r="DE31" s="632"/>
      <c r="DF31" s="632"/>
      <c r="DG31" s="632"/>
      <c r="DH31" s="632"/>
      <c r="DI31" s="632"/>
      <c r="DJ31" s="632"/>
      <c r="DK31" s="632"/>
      <c r="DL31" s="632"/>
      <c r="DM31" s="632"/>
      <c r="DN31" s="632"/>
      <c r="DO31" s="632"/>
      <c r="DP31" s="632"/>
      <c r="DQ31" s="632"/>
      <c r="DR31" s="632"/>
      <c r="DS31" s="632"/>
      <c r="DT31" s="632"/>
      <c r="DU31" s="632"/>
      <c r="DV31" s="632"/>
      <c r="DW31" s="632"/>
      <c r="DX31" s="632"/>
      <c r="DY31" s="632"/>
      <c r="DZ31" s="632"/>
      <c r="EA31" s="632"/>
      <c r="EB31" s="632"/>
      <c r="EC31" s="632"/>
      <c r="ED31" s="632"/>
      <c r="EE31" s="632"/>
      <c r="EF31" s="632"/>
      <c r="EG31" s="632"/>
      <c r="EH31" s="632"/>
      <c r="EI31" s="632"/>
      <c r="EJ31" s="632"/>
      <c r="EK31" s="632"/>
      <c r="EL31" s="632"/>
      <c r="EM31" s="632"/>
      <c r="EN31" s="632"/>
      <c r="EO31" s="632"/>
      <c r="EP31" s="632"/>
      <c r="EQ31" s="632"/>
      <c r="ER31" s="632"/>
      <c r="ES31" s="632"/>
      <c r="ET31" s="632"/>
      <c r="EU31" s="632"/>
      <c r="EV31" s="632"/>
      <c r="EW31" s="632"/>
      <c r="EX31" s="632"/>
      <c r="EY31" s="632"/>
      <c r="EZ31" s="632"/>
      <c r="FA31" s="632"/>
      <c r="FB31" s="632"/>
      <c r="FC31" s="632"/>
      <c r="FD31" s="632"/>
      <c r="FE31" s="632"/>
      <c r="FF31" s="632"/>
      <c r="FG31" s="632"/>
      <c r="FH31" s="632"/>
      <c r="FI31" s="632"/>
      <c r="FJ31" s="632"/>
      <c r="FK31" s="632"/>
      <c r="FL31" s="632"/>
      <c r="FM31" s="632"/>
      <c r="FN31" s="632"/>
      <c r="FO31" s="632"/>
      <c r="FP31" s="632"/>
      <c r="FQ31" s="632"/>
      <c r="FR31" s="632"/>
      <c r="FS31" s="632"/>
      <c r="FT31" s="632"/>
      <c r="FU31" s="632"/>
      <c r="FV31" s="632"/>
      <c r="FW31" s="632"/>
      <c r="FX31" s="632"/>
      <c r="FY31" s="632"/>
      <c r="FZ31" s="632"/>
      <c r="GA31" s="632"/>
      <c r="GB31" s="632"/>
      <c r="GC31" s="632"/>
      <c r="GD31" s="632"/>
      <c r="GE31" s="632"/>
      <c r="GF31" s="632"/>
      <c r="GG31" s="632"/>
      <c r="GH31" s="632"/>
      <c r="GI31" s="632"/>
      <c r="GJ31" s="632"/>
      <c r="GK31" s="632"/>
      <c r="GL31" s="632"/>
      <c r="GM31" s="632"/>
      <c r="GN31" s="632"/>
      <c r="GO31" s="632"/>
      <c r="GP31" s="632"/>
      <c r="GQ31" s="632"/>
      <c r="GR31" s="632"/>
      <c r="GS31" s="632"/>
      <c r="GT31" s="632"/>
      <c r="GU31" s="632"/>
      <c r="GV31" s="632"/>
      <c r="GW31" s="632"/>
      <c r="GX31" s="632"/>
      <c r="GY31" s="632"/>
      <c r="GZ31" s="632"/>
      <c r="HA31" s="632"/>
      <c r="HB31" s="632"/>
      <c r="HC31" s="632"/>
      <c r="HD31" s="632"/>
      <c r="HE31" s="632"/>
      <c r="HF31" s="632"/>
      <c r="HG31" s="632"/>
      <c r="HH31" s="632"/>
      <c r="HI31" s="632"/>
      <c r="HJ31" s="632"/>
      <c r="HK31" s="632"/>
      <c r="HL31" s="632"/>
      <c r="HM31" s="632"/>
      <c r="HN31" s="632"/>
      <c r="HO31" s="632"/>
      <c r="HP31" s="632"/>
      <c r="HQ31" s="632"/>
      <c r="HR31" s="632"/>
      <c r="HS31" s="632"/>
      <c r="HT31" s="632"/>
      <c r="HU31" s="632"/>
      <c r="HV31" s="632"/>
      <c r="HW31" s="632"/>
      <c r="HX31" s="632"/>
      <c r="HY31" s="632"/>
      <c r="HZ31" s="632"/>
      <c r="IA31" s="632"/>
      <c r="IB31" s="632"/>
      <c r="IC31" s="632"/>
      <c r="ID31" s="632"/>
      <c r="IE31" s="632"/>
      <c r="IF31" s="632"/>
      <c r="IG31" s="632"/>
      <c r="IH31" s="632"/>
      <c r="II31" s="632"/>
      <c r="IJ31" s="632"/>
      <c r="IK31" s="632"/>
      <c r="IL31" s="632"/>
      <c r="IM31" s="632"/>
      <c r="IN31" s="632"/>
      <c r="IO31" s="632"/>
      <c r="IP31" s="632"/>
      <c r="IQ31" s="632"/>
      <c r="IR31" s="632"/>
    </row>
    <row r="32" spans="1:252" s="554" customFormat="1" ht="25.5">
      <c r="A32" s="710"/>
      <c r="B32" s="628"/>
      <c r="C32" s="565"/>
      <c r="D32" s="592"/>
      <c r="E32" s="608" t="s">
        <v>1144</v>
      </c>
      <c r="F32" s="415">
        <v>56</v>
      </c>
      <c r="G32" s="712"/>
      <c r="H32" s="540"/>
      <c r="I32" s="614"/>
      <c r="J32" s="714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632"/>
      <c r="BF32" s="632"/>
      <c r="BG32" s="632"/>
      <c r="BH32" s="632"/>
      <c r="BI32" s="632"/>
      <c r="BJ32" s="632"/>
      <c r="BK32" s="632"/>
      <c r="BL32" s="632"/>
      <c r="BM32" s="632"/>
      <c r="BN32" s="632"/>
      <c r="BO32" s="632"/>
      <c r="BP32" s="632"/>
      <c r="BQ32" s="632"/>
      <c r="BR32" s="632"/>
      <c r="BS32" s="632"/>
      <c r="BT32" s="632"/>
      <c r="BU32" s="632"/>
      <c r="BV32" s="632"/>
      <c r="BW32" s="632"/>
      <c r="BX32" s="632"/>
      <c r="BY32" s="632"/>
      <c r="BZ32" s="632"/>
      <c r="CA32" s="632"/>
      <c r="CB32" s="632"/>
      <c r="CC32" s="632"/>
      <c r="CD32" s="632"/>
      <c r="CE32" s="632"/>
      <c r="CF32" s="632"/>
      <c r="CG32" s="632"/>
      <c r="CH32" s="632"/>
      <c r="CI32" s="632"/>
      <c r="CJ32" s="632"/>
      <c r="CK32" s="632"/>
      <c r="CL32" s="632"/>
      <c r="CM32" s="632"/>
      <c r="CN32" s="632"/>
      <c r="CO32" s="632"/>
      <c r="CP32" s="632"/>
      <c r="CQ32" s="632"/>
      <c r="CR32" s="632"/>
      <c r="CS32" s="632"/>
      <c r="CT32" s="632"/>
      <c r="CU32" s="632"/>
      <c r="CV32" s="632"/>
      <c r="CW32" s="632"/>
      <c r="CX32" s="632"/>
      <c r="CY32" s="632"/>
      <c r="CZ32" s="632"/>
      <c r="DA32" s="632"/>
      <c r="DB32" s="632"/>
      <c r="DC32" s="632"/>
      <c r="DD32" s="632"/>
      <c r="DE32" s="632"/>
      <c r="DF32" s="632"/>
      <c r="DG32" s="632"/>
      <c r="DH32" s="632"/>
      <c r="DI32" s="632"/>
      <c r="DJ32" s="632"/>
      <c r="DK32" s="632"/>
      <c r="DL32" s="632"/>
      <c r="DM32" s="632"/>
      <c r="DN32" s="632"/>
      <c r="DO32" s="632"/>
      <c r="DP32" s="632"/>
      <c r="DQ32" s="632"/>
      <c r="DR32" s="632"/>
      <c r="DS32" s="632"/>
      <c r="DT32" s="632"/>
      <c r="DU32" s="632"/>
      <c r="DV32" s="632"/>
      <c r="DW32" s="632"/>
      <c r="DX32" s="632"/>
      <c r="DY32" s="632"/>
      <c r="DZ32" s="632"/>
      <c r="EA32" s="632"/>
      <c r="EB32" s="632"/>
      <c r="EC32" s="632"/>
      <c r="ED32" s="632"/>
      <c r="EE32" s="632"/>
      <c r="EF32" s="632"/>
      <c r="EG32" s="632"/>
      <c r="EH32" s="632"/>
      <c r="EI32" s="632"/>
      <c r="EJ32" s="632"/>
      <c r="EK32" s="632"/>
      <c r="EL32" s="632"/>
      <c r="EM32" s="632"/>
      <c r="EN32" s="632"/>
      <c r="EO32" s="632"/>
      <c r="EP32" s="632"/>
      <c r="EQ32" s="632"/>
      <c r="ER32" s="632"/>
      <c r="ES32" s="632"/>
      <c r="ET32" s="632"/>
      <c r="EU32" s="632"/>
      <c r="EV32" s="632"/>
      <c r="EW32" s="632"/>
      <c r="EX32" s="632"/>
      <c r="EY32" s="632"/>
      <c r="EZ32" s="632"/>
      <c r="FA32" s="632"/>
      <c r="FB32" s="632"/>
      <c r="FC32" s="632"/>
      <c r="FD32" s="632"/>
      <c r="FE32" s="632"/>
      <c r="FF32" s="632"/>
      <c r="FG32" s="632"/>
      <c r="FH32" s="632"/>
      <c r="FI32" s="632"/>
      <c r="FJ32" s="632"/>
      <c r="FK32" s="632"/>
      <c r="FL32" s="632"/>
      <c r="FM32" s="632"/>
      <c r="FN32" s="632"/>
      <c r="FO32" s="632"/>
      <c r="FP32" s="632"/>
      <c r="FQ32" s="632"/>
      <c r="FR32" s="632"/>
      <c r="FS32" s="632"/>
      <c r="FT32" s="632"/>
      <c r="FU32" s="632"/>
      <c r="FV32" s="632"/>
      <c r="FW32" s="632"/>
      <c r="FX32" s="632"/>
      <c r="FY32" s="632"/>
      <c r="FZ32" s="632"/>
      <c r="GA32" s="632"/>
      <c r="GB32" s="632"/>
      <c r="GC32" s="632"/>
      <c r="GD32" s="632"/>
      <c r="GE32" s="632"/>
      <c r="GF32" s="632"/>
      <c r="GG32" s="632"/>
      <c r="GH32" s="632"/>
      <c r="GI32" s="632"/>
      <c r="GJ32" s="632"/>
      <c r="GK32" s="632"/>
      <c r="GL32" s="632"/>
      <c r="GM32" s="632"/>
      <c r="GN32" s="632"/>
      <c r="GO32" s="632"/>
      <c r="GP32" s="632"/>
      <c r="GQ32" s="632"/>
      <c r="GR32" s="632"/>
      <c r="GS32" s="632"/>
      <c r="GT32" s="632"/>
      <c r="GU32" s="632"/>
      <c r="GV32" s="632"/>
      <c r="GW32" s="632"/>
      <c r="GX32" s="632"/>
      <c r="GY32" s="632"/>
      <c r="GZ32" s="632"/>
      <c r="HA32" s="632"/>
      <c r="HB32" s="632"/>
      <c r="HC32" s="632"/>
      <c r="HD32" s="632"/>
      <c r="HE32" s="632"/>
      <c r="HF32" s="632"/>
      <c r="HG32" s="632"/>
      <c r="HH32" s="632"/>
      <c r="HI32" s="632"/>
      <c r="HJ32" s="632"/>
      <c r="HK32" s="632"/>
      <c r="HL32" s="632"/>
      <c r="HM32" s="632"/>
      <c r="HN32" s="632"/>
      <c r="HO32" s="632"/>
      <c r="HP32" s="632"/>
      <c r="HQ32" s="632"/>
      <c r="HR32" s="632"/>
      <c r="HS32" s="632"/>
      <c r="HT32" s="632"/>
      <c r="HU32" s="632"/>
      <c r="HV32" s="632"/>
      <c r="HW32" s="632"/>
      <c r="HX32" s="632"/>
      <c r="HY32" s="632"/>
      <c r="HZ32" s="632"/>
      <c r="IA32" s="632"/>
      <c r="IB32" s="632"/>
      <c r="IC32" s="632"/>
      <c r="ID32" s="632"/>
      <c r="IE32" s="632"/>
      <c r="IF32" s="632"/>
      <c r="IG32" s="632"/>
      <c r="IH32" s="632"/>
      <c r="II32" s="632"/>
      <c r="IJ32" s="632"/>
      <c r="IK32" s="632"/>
      <c r="IL32" s="632"/>
      <c r="IM32" s="632"/>
      <c r="IN32" s="632"/>
      <c r="IO32" s="632"/>
      <c r="IP32" s="632"/>
      <c r="IQ32" s="632"/>
      <c r="IR32" s="632"/>
    </row>
    <row r="33" spans="1:252" s="554" customFormat="1">
      <c r="A33" s="710"/>
      <c r="B33" s="628"/>
      <c r="C33" s="565"/>
      <c r="D33" s="592"/>
      <c r="E33" s="608" t="s">
        <v>1145</v>
      </c>
      <c r="F33" s="715"/>
      <c r="G33" s="712"/>
      <c r="H33" s="540"/>
      <c r="I33" s="614"/>
      <c r="J33" s="714"/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32"/>
      <c r="AT33" s="632"/>
      <c r="AU33" s="632"/>
      <c r="AV33" s="632"/>
      <c r="AW33" s="632"/>
      <c r="AX33" s="632"/>
      <c r="AY33" s="632"/>
      <c r="AZ33" s="632"/>
      <c r="BA33" s="632"/>
      <c r="BB33" s="632"/>
      <c r="BC33" s="632"/>
      <c r="BD33" s="632"/>
      <c r="BE33" s="632"/>
      <c r="BF33" s="632"/>
      <c r="BG33" s="632"/>
      <c r="BH33" s="632"/>
      <c r="BI33" s="632"/>
      <c r="BJ33" s="632"/>
      <c r="BK33" s="632"/>
      <c r="BL33" s="632"/>
      <c r="BM33" s="632"/>
      <c r="BN33" s="632"/>
      <c r="BO33" s="632"/>
      <c r="BP33" s="632"/>
      <c r="BQ33" s="632"/>
      <c r="BR33" s="632"/>
      <c r="BS33" s="632"/>
      <c r="BT33" s="632"/>
      <c r="BU33" s="632"/>
      <c r="BV33" s="632"/>
      <c r="BW33" s="632"/>
      <c r="BX33" s="632"/>
      <c r="BY33" s="632"/>
      <c r="BZ33" s="632"/>
      <c r="CA33" s="632"/>
      <c r="CB33" s="632"/>
      <c r="CC33" s="632"/>
      <c r="CD33" s="632"/>
      <c r="CE33" s="632"/>
      <c r="CF33" s="632"/>
      <c r="CG33" s="632"/>
      <c r="CH33" s="632"/>
      <c r="CI33" s="632"/>
      <c r="CJ33" s="632"/>
      <c r="CK33" s="632"/>
      <c r="CL33" s="632"/>
      <c r="CM33" s="632"/>
      <c r="CN33" s="632"/>
      <c r="CO33" s="632"/>
      <c r="CP33" s="632"/>
      <c r="CQ33" s="632"/>
      <c r="CR33" s="632"/>
      <c r="CS33" s="632"/>
      <c r="CT33" s="632"/>
      <c r="CU33" s="632"/>
      <c r="CV33" s="632"/>
      <c r="CW33" s="632"/>
      <c r="CX33" s="632"/>
      <c r="CY33" s="632"/>
      <c r="CZ33" s="632"/>
      <c r="DA33" s="632"/>
      <c r="DB33" s="632"/>
      <c r="DC33" s="632"/>
      <c r="DD33" s="632"/>
      <c r="DE33" s="632"/>
      <c r="DF33" s="632"/>
      <c r="DG33" s="632"/>
      <c r="DH33" s="632"/>
      <c r="DI33" s="632"/>
      <c r="DJ33" s="632"/>
      <c r="DK33" s="632"/>
      <c r="DL33" s="632"/>
      <c r="DM33" s="632"/>
      <c r="DN33" s="632"/>
      <c r="DO33" s="632"/>
      <c r="DP33" s="632"/>
      <c r="DQ33" s="632"/>
      <c r="DR33" s="632"/>
      <c r="DS33" s="632"/>
      <c r="DT33" s="632"/>
      <c r="DU33" s="632"/>
      <c r="DV33" s="632"/>
      <c r="DW33" s="632"/>
      <c r="DX33" s="632"/>
      <c r="DY33" s="632"/>
      <c r="DZ33" s="632"/>
      <c r="EA33" s="632"/>
      <c r="EB33" s="632"/>
      <c r="EC33" s="632"/>
      <c r="ED33" s="632"/>
      <c r="EE33" s="632"/>
      <c r="EF33" s="632"/>
      <c r="EG33" s="632"/>
      <c r="EH33" s="632"/>
      <c r="EI33" s="632"/>
      <c r="EJ33" s="632"/>
      <c r="EK33" s="632"/>
      <c r="EL33" s="632"/>
      <c r="EM33" s="632"/>
      <c r="EN33" s="632"/>
      <c r="EO33" s="632"/>
      <c r="EP33" s="632"/>
      <c r="EQ33" s="632"/>
      <c r="ER33" s="632"/>
      <c r="ES33" s="632"/>
      <c r="ET33" s="632"/>
      <c r="EU33" s="632"/>
      <c r="EV33" s="632"/>
      <c r="EW33" s="632"/>
      <c r="EX33" s="632"/>
      <c r="EY33" s="632"/>
      <c r="EZ33" s="632"/>
      <c r="FA33" s="632"/>
      <c r="FB33" s="632"/>
      <c r="FC33" s="632"/>
      <c r="FD33" s="632"/>
      <c r="FE33" s="632"/>
      <c r="FF33" s="632"/>
      <c r="FG33" s="632"/>
      <c r="FH33" s="632"/>
      <c r="FI33" s="632"/>
      <c r="FJ33" s="632"/>
      <c r="FK33" s="632"/>
      <c r="FL33" s="632"/>
      <c r="FM33" s="632"/>
      <c r="FN33" s="632"/>
      <c r="FO33" s="632"/>
      <c r="FP33" s="632"/>
      <c r="FQ33" s="632"/>
      <c r="FR33" s="632"/>
      <c r="FS33" s="632"/>
      <c r="FT33" s="632"/>
      <c r="FU33" s="632"/>
      <c r="FV33" s="632"/>
      <c r="FW33" s="632"/>
      <c r="FX33" s="632"/>
      <c r="FY33" s="632"/>
      <c r="FZ33" s="632"/>
      <c r="GA33" s="632"/>
      <c r="GB33" s="632"/>
      <c r="GC33" s="632"/>
      <c r="GD33" s="632"/>
      <c r="GE33" s="632"/>
      <c r="GF33" s="632"/>
      <c r="GG33" s="632"/>
      <c r="GH33" s="632"/>
      <c r="GI33" s="632"/>
      <c r="GJ33" s="632"/>
      <c r="GK33" s="632"/>
      <c r="GL33" s="632"/>
      <c r="GM33" s="632"/>
      <c r="GN33" s="632"/>
      <c r="GO33" s="632"/>
      <c r="GP33" s="632"/>
      <c r="GQ33" s="632"/>
      <c r="GR33" s="632"/>
      <c r="GS33" s="632"/>
      <c r="GT33" s="632"/>
      <c r="GU33" s="632"/>
      <c r="GV33" s="632"/>
      <c r="GW33" s="632"/>
      <c r="GX33" s="632"/>
      <c r="GY33" s="632"/>
      <c r="GZ33" s="632"/>
      <c r="HA33" s="632"/>
      <c r="HB33" s="632"/>
      <c r="HC33" s="632"/>
      <c r="HD33" s="632"/>
      <c r="HE33" s="632"/>
      <c r="HF33" s="632"/>
      <c r="HG33" s="632"/>
      <c r="HH33" s="632"/>
      <c r="HI33" s="632"/>
      <c r="HJ33" s="632"/>
      <c r="HK33" s="632"/>
      <c r="HL33" s="632"/>
      <c r="HM33" s="632"/>
      <c r="HN33" s="632"/>
      <c r="HO33" s="632"/>
      <c r="HP33" s="632"/>
      <c r="HQ33" s="632"/>
      <c r="HR33" s="632"/>
      <c r="HS33" s="632"/>
      <c r="HT33" s="632"/>
      <c r="HU33" s="632"/>
      <c r="HV33" s="632"/>
      <c r="HW33" s="632"/>
      <c r="HX33" s="632"/>
      <c r="HY33" s="632"/>
      <c r="HZ33" s="632"/>
      <c r="IA33" s="632"/>
      <c r="IB33" s="632"/>
      <c r="IC33" s="632"/>
      <c r="ID33" s="632"/>
      <c r="IE33" s="632"/>
      <c r="IF33" s="632"/>
      <c r="IG33" s="632"/>
      <c r="IH33" s="632"/>
      <c r="II33" s="632"/>
      <c r="IJ33" s="632"/>
      <c r="IK33" s="632"/>
      <c r="IL33" s="632"/>
      <c r="IM33" s="632"/>
      <c r="IN33" s="632"/>
      <c r="IO33" s="632"/>
      <c r="IP33" s="632"/>
      <c r="IQ33" s="632"/>
      <c r="IR33" s="632"/>
    </row>
    <row r="34" spans="1:252" s="554" customFormat="1">
      <c r="A34" s="710"/>
      <c r="B34" s="628"/>
      <c r="C34" s="565"/>
      <c r="D34" s="550"/>
      <c r="E34" s="623"/>
      <c r="F34" s="711"/>
      <c r="G34" s="712"/>
      <c r="H34" s="540"/>
      <c r="I34" s="614"/>
      <c r="J34" s="714"/>
      <c r="K34" s="632"/>
      <c r="L34" s="632"/>
      <c r="M34" s="632"/>
      <c r="N34" s="632"/>
      <c r="O34" s="632"/>
      <c r="P34" s="632"/>
      <c r="Q34" s="632"/>
      <c r="R34" s="632"/>
      <c r="S34" s="632"/>
      <c r="T34" s="632"/>
      <c r="U34" s="632"/>
      <c r="V34" s="632"/>
      <c r="W34" s="632"/>
      <c r="X34" s="632"/>
      <c r="Y34" s="632"/>
      <c r="Z34" s="632"/>
      <c r="AA34" s="632"/>
      <c r="AB34" s="632"/>
      <c r="AC34" s="632"/>
      <c r="AD34" s="632"/>
      <c r="AE34" s="632"/>
      <c r="AF34" s="632"/>
      <c r="AG34" s="632"/>
      <c r="AH34" s="632"/>
      <c r="AI34" s="632"/>
      <c r="AJ34" s="632"/>
      <c r="AK34" s="632"/>
      <c r="AL34" s="632"/>
      <c r="AM34" s="632"/>
      <c r="AN34" s="632"/>
      <c r="AO34" s="632"/>
      <c r="AP34" s="632"/>
      <c r="AQ34" s="632"/>
      <c r="AR34" s="632"/>
      <c r="AS34" s="632"/>
      <c r="AT34" s="632"/>
      <c r="AU34" s="632"/>
      <c r="AV34" s="632"/>
      <c r="AW34" s="632"/>
      <c r="AX34" s="632"/>
      <c r="AY34" s="632"/>
      <c r="AZ34" s="632"/>
      <c r="BA34" s="632"/>
      <c r="BB34" s="632"/>
      <c r="BC34" s="632"/>
      <c r="BD34" s="632"/>
      <c r="BE34" s="632"/>
      <c r="BF34" s="632"/>
      <c r="BG34" s="632"/>
      <c r="BH34" s="632"/>
      <c r="BI34" s="632"/>
      <c r="BJ34" s="632"/>
      <c r="BK34" s="632"/>
      <c r="BL34" s="632"/>
      <c r="BM34" s="632"/>
      <c r="BN34" s="632"/>
      <c r="BO34" s="632"/>
      <c r="BP34" s="632"/>
      <c r="BQ34" s="632"/>
      <c r="BR34" s="632"/>
      <c r="BS34" s="632"/>
      <c r="BT34" s="632"/>
      <c r="BU34" s="632"/>
      <c r="BV34" s="632"/>
      <c r="BW34" s="632"/>
      <c r="BX34" s="632"/>
      <c r="BY34" s="632"/>
      <c r="BZ34" s="632"/>
      <c r="CA34" s="632"/>
      <c r="CB34" s="632"/>
      <c r="CC34" s="632"/>
      <c r="CD34" s="632"/>
      <c r="CE34" s="632"/>
      <c r="CF34" s="632"/>
      <c r="CG34" s="632"/>
      <c r="CH34" s="632"/>
      <c r="CI34" s="632"/>
      <c r="CJ34" s="632"/>
      <c r="CK34" s="632"/>
      <c r="CL34" s="632"/>
      <c r="CM34" s="632"/>
      <c r="CN34" s="632"/>
      <c r="CO34" s="632"/>
      <c r="CP34" s="632"/>
      <c r="CQ34" s="632"/>
      <c r="CR34" s="632"/>
      <c r="CS34" s="632"/>
      <c r="CT34" s="632"/>
      <c r="CU34" s="632"/>
      <c r="CV34" s="632"/>
      <c r="CW34" s="632"/>
      <c r="CX34" s="632"/>
      <c r="CY34" s="632"/>
      <c r="CZ34" s="632"/>
      <c r="DA34" s="632"/>
      <c r="DB34" s="632"/>
      <c r="DC34" s="632"/>
      <c r="DD34" s="632"/>
      <c r="DE34" s="632"/>
      <c r="DF34" s="632"/>
      <c r="DG34" s="632"/>
      <c r="DH34" s="632"/>
      <c r="DI34" s="632"/>
      <c r="DJ34" s="632"/>
      <c r="DK34" s="632"/>
      <c r="DL34" s="632"/>
      <c r="DM34" s="632"/>
      <c r="DN34" s="632"/>
      <c r="DO34" s="632"/>
      <c r="DP34" s="632"/>
      <c r="DQ34" s="632"/>
      <c r="DR34" s="632"/>
      <c r="DS34" s="632"/>
      <c r="DT34" s="632"/>
      <c r="DU34" s="632"/>
      <c r="DV34" s="632"/>
      <c r="DW34" s="632"/>
      <c r="DX34" s="632"/>
      <c r="DY34" s="632"/>
      <c r="DZ34" s="632"/>
      <c r="EA34" s="632"/>
      <c r="EB34" s="632"/>
      <c r="EC34" s="632"/>
      <c r="ED34" s="632"/>
      <c r="EE34" s="632"/>
      <c r="EF34" s="632"/>
      <c r="EG34" s="632"/>
      <c r="EH34" s="632"/>
      <c r="EI34" s="632"/>
      <c r="EJ34" s="632"/>
      <c r="EK34" s="632"/>
      <c r="EL34" s="632"/>
      <c r="EM34" s="632"/>
      <c r="EN34" s="632"/>
      <c r="EO34" s="632"/>
      <c r="EP34" s="632"/>
      <c r="EQ34" s="632"/>
      <c r="ER34" s="632"/>
      <c r="ES34" s="632"/>
      <c r="ET34" s="632"/>
      <c r="EU34" s="632"/>
      <c r="EV34" s="632"/>
      <c r="EW34" s="632"/>
      <c r="EX34" s="632"/>
      <c r="EY34" s="632"/>
      <c r="EZ34" s="632"/>
      <c r="FA34" s="632"/>
      <c r="FB34" s="632"/>
      <c r="FC34" s="632"/>
      <c r="FD34" s="632"/>
      <c r="FE34" s="632"/>
      <c r="FF34" s="632"/>
      <c r="FG34" s="632"/>
      <c r="FH34" s="632"/>
      <c r="FI34" s="632"/>
      <c r="FJ34" s="632"/>
      <c r="FK34" s="632"/>
      <c r="FL34" s="632"/>
      <c r="FM34" s="632"/>
      <c r="FN34" s="632"/>
      <c r="FO34" s="632"/>
      <c r="FP34" s="632"/>
      <c r="FQ34" s="632"/>
      <c r="FR34" s="632"/>
      <c r="FS34" s="632"/>
      <c r="FT34" s="632"/>
      <c r="FU34" s="632"/>
      <c r="FV34" s="632"/>
      <c r="FW34" s="632"/>
      <c r="FX34" s="632"/>
      <c r="FY34" s="632"/>
      <c r="FZ34" s="632"/>
      <c r="GA34" s="632"/>
      <c r="GB34" s="632"/>
      <c r="GC34" s="632"/>
      <c r="GD34" s="632"/>
      <c r="GE34" s="632"/>
      <c r="GF34" s="632"/>
      <c r="GG34" s="632"/>
      <c r="GH34" s="632"/>
      <c r="GI34" s="632"/>
      <c r="GJ34" s="632"/>
      <c r="GK34" s="632"/>
      <c r="GL34" s="632"/>
      <c r="GM34" s="632"/>
      <c r="GN34" s="632"/>
      <c r="GO34" s="632"/>
      <c r="GP34" s="632"/>
      <c r="GQ34" s="632"/>
      <c r="GR34" s="632"/>
      <c r="GS34" s="632"/>
      <c r="GT34" s="632"/>
      <c r="GU34" s="632"/>
      <c r="GV34" s="632"/>
      <c r="GW34" s="632"/>
      <c r="GX34" s="632"/>
      <c r="GY34" s="632"/>
      <c r="GZ34" s="632"/>
      <c r="HA34" s="632"/>
      <c r="HB34" s="632"/>
      <c r="HC34" s="632"/>
      <c r="HD34" s="632"/>
      <c r="HE34" s="632"/>
      <c r="HF34" s="632"/>
      <c r="HG34" s="632"/>
      <c r="HH34" s="632"/>
      <c r="HI34" s="632"/>
      <c r="HJ34" s="632"/>
      <c r="HK34" s="632"/>
      <c r="HL34" s="632"/>
      <c r="HM34" s="632"/>
      <c r="HN34" s="632"/>
      <c r="HO34" s="632"/>
      <c r="HP34" s="632"/>
      <c r="HQ34" s="632"/>
      <c r="HR34" s="632"/>
      <c r="HS34" s="632"/>
      <c r="HT34" s="632"/>
      <c r="HU34" s="632"/>
      <c r="HV34" s="632"/>
      <c r="HW34" s="632"/>
      <c r="HX34" s="632"/>
      <c r="HY34" s="632"/>
      <c r="HZ34" s="632"/>
      <c r="IA34" s="632"/>
      <c r="IB34" s="632"/>
      <c r="IC34" s="632"/>
      <c r="ID34" s="632"/>
      <c r="IE34" s="632"/>
      <c r="IF34" s="632"/>
      <c r="IG34" s="632"/>
      <c r="IH34" s="632"/>
      <c r="II34" s="632"/>
      <c r="IJ34" s="632"/>
      <c r="IK34" s="632"/>
      <c r="IL34" s="632"/>
      <c r="IM34" s="632"/>
      <c r="IN34" s="632"/>
      <c r="IO34" s="632"/>
      <c r="IP34" s="632"/>
      <c r="IQ34" s="632"/>
      <c r="IR34" s="632"/>
    </row>
    <row r="35" spans="1:252" s="548" customFormat="1">
      <c r="A35" s="524">
        <f>MAX(A$1:A34)+1</f>
        <v>6</v>
      </c>
      <c r="B35" s="609"/>
      <c r="C35" s="610" t="s">
        <v>835</v>
      </c>
      <c r="D35" s="565"/>
      <c r="E35" s="551" t="s">
        <v>1032</v>
      </c>
      <c r="F35" s="707"/>
      <c r="G35" s="708" t="s">
        <v>8</v>
      </c>
      <c r="H35" s="408">
        <f>H36</f>
        <v>13</v>
      </c>
      <c r="I35" s="658"/>
      <c r="J35" s="699">
        <f>H35*I35</f>
        <v>0</v>
      </c>
      <c r="K35" s="561"/>
      <c r="L35" s="558"/>
      <c r="M35" s="558"/>
      <c r="N35" s="639"/>
      <c r="O35" s="639"/>
      <c r="P35" s="639"/>
      <c r="Q35" s="639"/>
      <c r="R35" s="639"/>
      <c r="S35" s="639"/>
      <c r="T35" s="639"/>
      <c r="U35" s="639"/>
      <c r="V35" s="639"/>
      <c r="W35" s="639"/>
      <c r="X35" s="639"/>
      <c r="Y35" s="639"/>
      <c r="Z35" s="639"/>
      <c r="AA35" s="639"/>
      <c r="AB35" s="639"/>
      <c r="AC35" s="639"/>
      <c r="AD35" s="639"/>
      <c r="AE35" s="639"/>
      <c r="AF35" s="639"/>
      <c r="AG35" s="639"/>
      <c r="AH35" s="639"/>
      <c r="AI35" s="639"/>
      <c r="AJ35" s="639"/>
      <c r="AK35" s="639"/>
      <c r="AL35" s="639"/>
      <c r="AM35" s="639"/>
      <c r="AN35" s="639"/>
      <c r="AO35" s="639"/>
      <c r="AP35" s="639"/>
      <c r="AQ35" s="639"/>
      <c r="AR35" s="639"/>
      <c r="AS35" s="639"/>
      <c r="AT35" s="639"/>
      <c r="AU35" s="639"/>
      <c r="AV35" s="639"/>
      <c r="AW35" s="639"/>
      <c r="AX35" s="639"/>
      <c r="AY35" s="639"/>
      <c r="AZ35" s="639"/>
      <c r="BA35" s="639"/>
      <c r="BB35" s="639"/>
      <c r="BC35" s="639"/>
      <c r="BD35" s="639"/>
      <c r="BE35" s="639"/>
      <c r="BF35" s="639"/>
      <c r="BG35" s="639"/>
      <c r="BH35" s="639"/>
      <c r="BI35" s="639"/>
      <c r="BJ35" s="639"/>
      <c r="BK35" s="639"/>
      <c r="BL35" s="639"/>
      <c r="BM35" s="639"/>
      <c r="BN35" s="639"/>
      <c r="BO35" s="639"/>
      <c r="BP35" s="639"/>
      <c r="BQ35" s="639"/>
      <c r="BR35" s="639"/>
      <c r="BS35" s="639"/>
      <c r="BT35" s="639"/>
      <c r="BU35" s="639"/>
      <c r="BV35" s="639"/>
      <c r="BW35" s="639"/>
      <c r="BX35" s="639"/>
      <c r="BY35" s="639"/>
      <c r="BZ35" s="639"/>
      <c r="CA35" s="639"/>
      <c r="CB35" s="639"/>
      <c r="CC35" s="639"/>
      <c r="CD35" s="639"/>
      <c r="CE35" s="639"/>
      <c r="CF35" s="639"/>
      <c r="CG35" s="639"/>
      <c r="CH35" s="639"/>
      <c r="CI35" s="639"/>
      <c r="CJ35" s="639"/>
      <c r="CK35" s="639"/>
      <c r="CL35" s="639"/>
      <c r="CM35" s="639"/>
      <c r="CN35" s="639"/>
      <c r="CO35" s="639"/>
      <c r="CP35" s="639"/>
      <c r="CQ35" s="639"/>
      <c r="CR35" s="639"/>
      <c r="CS35" s="639"/>
      <c r="CT35" s="639"/>
      <c r="CU35" s="639"/>
      <c r="CV35" s="639"/>
      <c r="CW35" s="639"/>
      <c r="CX35" s="639"/>
      <c r="CY35" s="639"/>
      <c r="CZ35" s="639"/>
      <c r="DA35" s="639"/>
      <c r="DB35" s="639"/>
      <c r="DC35" s="639"/>
      <c r="DD35" s="639"/>
      <c r="DE35" s="639"/>
      <c r="DF35" s="639"/>
      <c r="DG35" s="639"/>
      <c r="DH35" s="639"/>
      <c r="DI35" s="639"/>
      <c r="DJ35" s="639"/>
      <c r="DK35" s="639"/>
      <c r="DL35" s="639"/>
      <c r="DM35" s="639"/>
      <c r="DN35" s="639"/>
      <c r="DO35" s="639"/>
      <c r="DP35" s="639"/>
      <c r="DQ35" s="639"/>
      <c r="DR35" s="639"/>
      <c r="DS35" s="639"/>
      <c r="DT35" s="639"/>
      <c r="DU35" s="639"/>
      <c r="DV35" s="639"/>
      <c r="DW35" s="639"/>
      <c r="DX35" s="639"/>
      <c r="DY35" s="639"/>
      <c r="DZ35" s="639"/>
      <c r="EA35" s="639"/>
      <c r="EB35" s="639"/>
      <c r="EC35" s="639"/>
      <c r="ED35" s="639"/>
      <c r="EE35" s="639"/>
      <c r="EF35" s="639"/>
      <c r="EG35" s="639"/>
      <c r="EH35" s="639"/>
      <c r="EI35" s="639"/>
      <c r="EJ35" s="639"/>
      <c r="EK35" s="639"/>
      <c r="EL35" s="639"/>
      <c r="EM35" s="639"/>
      <c r="EN35" s="639"/>
      <c r="EO35" s="639"/>
      <c r="EP35" s="639"/>
      <c r="EQ35" s="639"/>
      <c r="ER35" s="639"/>
      <c r="ES35" s="639"/>
      <c r="ET35" s="639"/>
      <c r="EU35" s="639"/>
      <c r="EV35" s="639"/>
      <c r="EW35" s="639"/>
      <c r="EX35" s="639"/>
      <c r="EY35" s="639"/>
      <c r="EZ35" s="639"/>
      <c r="FA35" s="639"/>
      <c r="FB35" s="639"/>
      <c r="FC35" s="639"/>
      <c r="FD35" s="639"/>
      <c r="FE35" s="639"/>
      <c r="FF35" s="639"/>
      <c r="FG35" s="639"/>
      <c r="FH35" s="639"/>
      <c r="FI35" s="639"/>
      <c r="FJ35" s="639"/>
      <c r="FK35" s="639"/>
      <c r="FL35" s="639"/>
      <c r="FM35" s="639"/>
      <c r="FN35" s="639"/>
      <c r="FO35" s="639"/>
      <c r="FP35" s="639"/>
      <c r="FQ35" s="639"/>
      <c r="FR35" s="639"/>
      <c r="FS35" s="639"/>
      <c r="FT35" s="639"/>
      <c r="FU35" s="639"/>
      <c r="FV35" s="639"/>
      <c r="FW35" s="639"/>
      <c r="FX35" s="639"/>
      <c r="FY35" s="639"/>
      <c r="FZ35" s="639"/>
      <c r="GA35" s="639"/>
      <c r="GB35" s="639"/>
      <c r="GC35" s="639"/>
      <c r="GD35" s="639"/>
      <c r="GE35" s="639"/>
      <c r="GF35" s="639"/>
      <c r="GG35" s="639"/>
      <c r="GH35" s="639"/>
      <c r="GI35" s="639"/>
      <c r="GJ35" s="639"/>
      <c r="GK35" s="639"/>
      <c r="GL35" s="639"/>
      <c r="GM35" s="639"/>
      <c r="GN35" s="639"/>
      <c r="GO35" s="639"/>
      <c r="GP35" s="639"/>
      <c r="GQ35" s="639"/>
      <c r="GR35" s="639"/>
      <c r="GS35" s="639"/>
      <c r="GT35" s="639"/>
      <c r="GU35" s="639"/>
      <c r="GV35" s="639"/>
      <c r="GW35" s="639"/>
      <c r="GX35" s="639"/>
      <c r="GY35" s="639"/>
      <c r="GZ35" s="639"/>
      <c r="HA35" s="639"/>
      <c r="HB35" s="639"/>
      <c r="HC35" s="639"/>
      <c r="HD35" s="639"/>
      <c r="HE35" s="639"/>
      <c r="HF35" s="639"/>
      <c r="HG35" s="639"/>
      <c r="HH35" s="639"/>
      <c r="HI35" s="639"/>
      <c r="HJ35" s="639"/>
      <c r="HK35" s="639"/>
      <c r="HL35" s="639"/>
      <c r="HM35" s="639"/>
      <c r="HN35" s="639"/>
      <c r="HO35" s="639"/>
      <c r="HP35" s="639"/>
      <c r="HQ35" s="639"/>
      <c r="HR35" s="639"/>
      <c r="HS35" s="639"/>
      <c r="HT35" s="639"/>
      <c r="HU35" s="639"/>
      <c r="HV35" s="639"/>
      <c r="HW35" s="639"/>
      <c r="HX35" s="639"/>
      <c r="HY35" s="639"/>
      <c r="HZ35" s="639"/>
      <c r="IA35" s="639"/>
      <c r="IB35" s="639"/>
      <c r="IC35" s="639"/>
      <c r="ID35" s="639"/>
      <c r="IE35" s="639"/>
      <c r="IF35" s="639"/>
      <c r="IG35" s="639"/>
      <c r="IH35" s="639"/>
      <c r="II35" s="639"/>
      <c r="IJ35" s="639"/>
      <c r="IK35" s="639"/>
      <c r="IL35" s="639"/>
      <c r="IM35" s="639"/>
      <c r="IN35" s="639"/>
      <c r="IO35" s="639"/>
      <c r="IP35" s="639"/>
      <c r="IQ35" s="639"/>
      <c r="IR35" s="639"/>
    </row>
    <row r="36" spans="1:252" s="554" customFormat="1" ht="25.5">
      <c r="A36" s="710"/>
      <c r="B36" s="628"/>
      <c r="C36" s="550"/>
      <c r="D36" s="592" t="s">
        <v>837</v>
      </c>
      <c r="E36" s="593" t="s">
        <v>1033</v>
      </c>
      <c r="F36" s="711"/>
      <c r="G36" s="712" t="s">
        <v>8</v>
      </c>
      <c r="H36" s="570">
        <v>13</v>
      </c>
      <c r="I36" s="614"/>
      <c r="J36" s="714"/>
      <c r="K36" s="632"/>
      <c r="L36" s="632"/>
      <c r="M36" s="632"/>
      <c r="N36" s="632"/>
      <c r="O36" s="632"/>
      <c r="P36" s="632"/>
      <c r="Q36" s="632"/>
      <c r="R36" s="632"/>
      <c r="S36" s="632"/>
      <c r="T36" s="632"/>
      <c r="U36" s="632"/>
      <c r="V36" s="632"/>
      <c r="W36" s="632"/>
      <c r="X36" s="632"/>
      <c r="Y36" s="632"/>
      <c r="Z36" s="632"/>
      <c r="AA36" s="632"/>
      <c r="AB36" s="632"/>
      <c r="AC36" s="632"/>
      <c r="AD36" s="632"/>
      <c r="AE36" s="632"/>
      <c r="AF36" s="632"/>
      <c r="AG36" s="632"/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2"/>
      <c r="AS36" s="632"/>
      <c r="AT36" s="632"/>
      <c r="AU36" s="632"/>
      <c r="AV36" s="632"/>
      <c r="AW36" s="632"/>
      <c r="AX36" s="632"/>
      <c r="AY36" s="632"/>
      <c r="AZ36" s="632"/>
      <c r="BA36" s="632"/>
      <c r="BB36" s="632"/>
      <c r="BC36" s="632"/>
      <c r="BD36" s="632"/>
      <c r="BE36" s="632"/>
      <c r="BF36" s="632"/>
      <c r="BG36" s="632"/>
      <c r="BH36" s="632"/>
      <c r="BI36" s="632"/>
      <c r="BJ36" s="632"/>
      <c r="BK36" s="632"/>
      <c r="BL36" s="632"/>
      <c r="BM36" s="632"/>
      <c r="BN36" s="632"/>
      <c r="BO36" s="632"/>
      <c r="BP36" s="632"/>
      <c r="BQ36" s="632"/>
      <c r="BR36" s="632"/>
      <c r="BS36" s="632"/>
      <c r="BT36" s="632"/>
      <c r="BU36" s="632"/>
      <c r="BV36" s="632"/>
      <c r="BW36" s="632"/>
      <c r="BX36" s="632"/>
      <c r="BY36" s="632"/>
      <c r="BZ36" s="632"/>
      <c r="CA36" s="632"/>
      <c r="CB36" s="632"/>
      <c r="CC36" s="632"/>
      <c r="CD36" s="632"/>
      <c r="CE36" s="632"/>
      <c r="CF36" s="632"/>
      <c r="CG36" s="632"/>
      <c r="CH36" s="632"/>
      <c r="CI36" s="632"/>
      <c r="CJ36" s="632"/>
      <c r="CK36" s="632"/>
      <c r="CL36" s="632"/>
      <c r="CM36" s="632"/>
      <c r="CN36" s="632"/>
      <c r="CO36" s="632"/>
      <c r="CP36" s="632"/>
      <c r="CQ36" s="632"/>
      <c r="CR36" s="632"/>
      <c r="CS36" s="632"/>
      <c r="CT36" s="632"/>
      <c r="CU36" s="632"/>
      <c r="CV36" s="632"/>
      <c r="CW36" s="632"/>
      <c r="CX36" s="632"/>
      <c r="CY36" s="632"/>
      <c r="CZ36" s="632"/>
      <c r="DA36" s="632"/>
      <c r="DB36" s="632"/>
      <c r="DC36" s="632"/>
      <c r="DD36" s="632"/>
      <c r="DE36" s="632"/>
      <c r="DF36" s="632"/>
      <c r="DG36" s="632"/>
      <c r="DH36" s="632"/>
      <c r="DI36" s="632"/>
      <c r="DJ36" s="632"/>
      <c r="DK36" s="632"/>
      <c r="DL36" s="632"/>
      <c r="DM36" s="632"/>
      <c r="DN36" s="632"/>
      <c r="DO36" s="632"/>
      <c r="DP36" s="632"/>
      <c r="DQ36" s="632"/>
      <c r="DR36" s="632"/>
      <c r="DS36" s="632"/>
      <c r="DT36" s="632"/>
      <c r="DU36" s="632"/>
      <c r="DV36" s="632"/>
      <c r="DW36" s="632"/>
      <c r="DX36" s="632"/>
      <c r="DY36" s="632"/>
      <c r="DZ36" s="632"/>
      <c r="EA36" s="632"/>
      <c r="EB36" s="632"/>
      <c r="EC36" s="632"/>
      <c r="ED36" s="632"/>
      <c r="EE36" s="632"/>
      <c r="EF36" s="632"/>
      <c r="EG36" s="632"/>
      <c r="EH36" s="632"/>
      <c r="EI36" s="632"/>
      <c r="EJ36" s="632"/>
      <c r="EK36" s="632"/>
      <c r="EL36" s="632"/>
      <c r="EM36" s="632"/>
      <c r="EN36" s="632"/>
      <c r="EO36" s="632"/>
      <c r="EP36" s="632"/>
      <c r="EQ36" s="632"/>
      <c r="ER36" s="632"/>
      <c r="ES36" s="632"/>
      <c r="ET36" s="632"/>
      <c r="EU36" s="632"/>
      <c r="EV36" s="632"/>
      <c r="EW36" s="632"/>
      <c r="EX36" s="632"/>
      <c r="EY36" s="632"/>
      <c r="EZ36" s="632"/>
      <c r="FA36" s="632"/>
      <c r="FB36" s="632"/>
      <c r="FC36" s="632"/>
      <c r="FD36" s="632"/>
      <c r="FE36" s="632"/>
      <c r="FF36" s="632"/>
      <c r="FG36" s="632"/>
      <c r="FH36" s="632"/>
      <c r="FI36" s="632"/>
      <c r="FJ36" s="632"/>
      <c r="FK36" s="632"/>
      <c r="FL36" s="632"/>
      <c r="FM36" s="632"/>
      <c r="FN36" s="632"/>
      <c r="FO36" s="632"/>
      <c r="FP36" s="632"/>
      <c r="FQ36" s="632"/>
      <c r="FR36" s="632"/>
      <c r="FS36" s="632"/>
      <c r="FT36" s="632"/>
      <c r="FU36" s="632"/>
      <c r="FV36" s="632"/>
      <c r="FW36" s="632"/>
      <c r="FX36" s="632"/>
      <c r="FY36" s="632"/>
      <c r="FZ36" s="632"/>
      <c r="GA36" s="632"/>
      <c r="GB36" s="632"/>
      <c r="GC36" s="632"/>
      <c r="GD36" s="632"/>
      <c r="GE36" s="632"/>
      <c r="GF36" s="632"/>
      <c r="GG36" s="632"/>
      <c r="GH36" s="632"/>
      <c r="GI36" s="632"/>
      <c r="GJ36" s="632"/>
      <c r="GK36" s="632"/>
      <c r="GL36" s="632"/>
      <c r="GM36" s="632"/>
      <c r="GN36" s="632"/>
      <c r="GO36" s="632"/>
      <c r="GP36" s="632"/>
      <c r="GQ36" s="632"/>
      <c r="GR36" s="632"/>
      <c r="GS36" s="632"/>
      <c r="GT36" s="632"/>
      <c r="GU36" s="632"/>
      <c r="GV36" s="632"/>
      <c r="GW36" s="632"/>
      <c r="GX36" s="632"/>
      <c r="GY36" s="632"/>
      <c r="GZ36" s="632"/>
      <c r="HA36" s="632"/>
      <c r="HB36" s="632"/>
      <c r="HC36" s="632"/>
      <c r="HD36" s="632"/>
      <c r="HE36" s="632"/>
      <c r="HF36" s="632"/>
      <c r="HG36" s="632"/>
      <c r="HH36" s="632"/>
      <c r="HI36" s="632"/>
      <c r="HJ36" s="632"/>
      <c r="HK36" s="632"/>
      <c r="HL36" s="632"/>
      <c r="HM36" s="632"/>
      <c r="HN36" s="632"/>
      <c r="HO36" s="632"/>
      <c r="HP36" s="632"/>
      <c r="HQ36" s="632"/>
      <c r="HR36" s="632"/>
      <c r="HS36" s="632"/>
      <c r="HT36" s="632"/>
      <c r="HU36" s="632"/>
      <c r="HV36" s="632"/>
      <c r="HW36" s="632"/>
      <c r="HX36" s="632"/>
      <c r="HY36" s="632"/>
      <c r="HZ36" s="632"/>
      <c r="IA36" s="632"/>
      <c r="IB36" s="632"/>
      <c r="IC36" s="632"/>
      <c r="ID36" s="632"/>
      <c r="IE36" s="632"/>
      <c r="IF36" s="632"/>
      <c r="IG36" s="632"/>
      <c r="IH36" s="632"/>
      <c r="II36" s="632"/>
      <c r="IJ36" s="632"/>
      <c r="IK36" s="632"/>
      <c r="IL36" s="632"/>
      <c r="IM36" s="632"/>
      <c r="IN36" s="632"/>
      <c r="IO36" s="632"/>
      <c r="IP36" s="632"/>
      <c r="IQ36" s="632"/>
      <c r="IR36" s="632"/>
    </row>
    <row r="37" spans="1:252" s="554" customFormat="1" ht="25.5">
      <c r="A37" s="710"/>
      <c r="B37" s="628"/>
      <c r="C37" s="565"/>
      <c r="D37" s="550"/>
      <c r="E37" s="625" t="s">
        <v>1146</v>
      </c>
      <c r="F37" s="415">
        <v>13</v>
      </c>
      <c r="G37" s="712"/>
      <c r="H37" s="540"/>
      <c r="I37" s="409"/>
      <c r="J37" s="709"/>
    </row>
    <row r="38" spans="1:252" s="554" customFormat="1">
      <c r="A38" s="710"/>
      <c r="B38" s="628"/>
      <c r="C38" s="565"/>
      <c r="D38" s="550"/>
      <c r="E38" s="623"/>
      <c r="F38" s="624"/>
      <c r="G38" s="712"/>
      <c r="H38" s="540"/>
      <c r="I38" s="409"/>
      <c r="J38" s="709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  <c r="BX38" s="537"/>
      <c r="BY38" s="537"/>
      <c r="BZ38" s="537"/>
      <c r="CA38" s="537"/>
      <c r="CB38" s="537"/>
      <c r="CC38" s="537"/>
      <c r="CD38" s="537"/>
      <c r="CE38" s="537"/>
      <c r="CF38" s="537"/>
      <c r="CG38" s="537"/>
      <c r="CH38" s="537"/>
      <c r="CI38" s="537"/>
      <c r="CJ38" s="537"/>
      <c r="CK38" s="537"/>
      <c r="CL38" s="537"/>
      <c r="CM38" s="537"/>
      <c r="CN38" s="537"/>
      <c r="CO38" s="537"/>
      <c r="CP38" s="537"/>
      <c r="CQ38" s="537"/>
      <c r="CR38" s="537"/>
      <c r="CS38" s="537"/>
      <c r="CT38" s="537"/>
      <c r="CU38" s="537"/>
      <c r="CV38" s="537"/>
      <c r="CW38" s="537"/>
      <c r="CX38" s="537"/>
      <c r="CY38" s="537"/>
      <c r="CZ38" s="537"/>
      <c r="DA38" s="537"/>
      <c r="DB38" s="537"/>
      <c r="DC38" s="537"/>
      <c r="DD38" s="537"/>
      <c r="DE38" s="537"/>
      <c r="DF38" s="537"/>
      <c r="DG38" s="537"/>
      <c r="DH38" s="537"/>
      <c r="DI38" s="537"/>
      <c r="DJ38" s="537"/>
      <c r="DK38" s="537"/>
      <c r="DL38" s="537"/>
      <c r="DM38" s="537"/>
      <c r="DN38" s="537"/>
      <c r="DO38" s="537"/>
      <c r="DP38" s="537"/>
      <c r="DQ38" s="537"/>
      <c r="DR38" s="537"/>
      <c r="DS38" s="537"/>
      <c r="DT38" s="537"/>
      <c r="DU38" s="537"/>
      <c r="DV38" s="537"/>
      <c r="DW38" s="537"/>
      <c r="DX38" s="537"/>
      <c r="DY38" s="537"/>
      <c r="DZ38" s="537"/>
      <c r="EA38" s="537"/>
      <c r="EB38" s="537"/>
      <c r="EC38" s="537"/>
      <c r="ED38" s="537"/>
      <c r="EE38" s="537"/>
      <c r="EF38" s="537"/>
      <c r="EG38" s="537"/>
      <c r="EH38" s="537"/>
      <c r="EI38" s="537"/>
      <c r="EJ38" s="537"/>
      <c r="EK38" s="537"/>
      <c r="EL38" s="537"/>
      <c r="EM38" s="537"/>
      <c r="EN38" s="537"/>
      <c r="EO38" s="537"/>
      <c r="EP38" s="537"/>
      <c r="EQ38" s="537"/>
      <c r="ER38" s="537"/>
      <c r="ES38" s="537"/>
      <c r="ET38" s="537"/>
      <c r="EU38" s="537"/>
      <c r="EV38" s="537"/>
      <c r="EW38" s="537"/>
      <c r="EX38" s="537"/>
      <c r="EY38" s="537"/>
      <c r="EZ38" s="537"/>
      <c r="FA38" s="537"/>
      <c r="FB38" s="537"/>
      <c r="FC38" s="537"/>
      <c r="FD38" s="537"/>
      <c r="FE38" s="537"/>
      <c r="FF38" s="537"/>
      <c r="FG38" s="537"/>
      <c r="FH38" s="537"/>
      <c r="FI38" s="537"/>
      <c r="FJ38" s="537"/>
      <c r="FK38" s="537"/>
      <c r="FL38" s="537"/>
      <c r="FM38" s="537"/>
      <c r="FN38" s="537"/>
      <c r="FO38" s="537"/>
      <c r="FP38" s="537"/>
      <c r="FQ38" s="537"/>
      <c r="FR38" s="537"/>
      <c r="FS38" s="537"/>
      <c r="FT38" s="537"/>
      <c r="FU38" s="537"/>
      <c r="FV38" s="537"/>
      <c r="FW38" s="537"/>
      <c r="FX38" s="537"/>
      <c r="FY38" s="537"/>
      <c r="FZ38" s="537"/>
      <c r="GA38" s="537"/>
      <c r="GB38" s="537"/>
      <c r="GC38" s="537"/>
      <c r="GD38" s="537"/>
      <c r="GE38" s="537"/>
      <c r="GF38" s="537"/>
      <c r="GG38" s="537"/>
      <c r="GH38" s="537"/>
      <c r="GI38" s="537"/>
      <c r="GJ38" s="537"/>
      <c r="GK38" s="537"/>
      <c r="GL38" s="537"/>
      <c r="GM38" s="537"/>
      <c r="GN38" s="537"/>
      <c r="GO38" s="537"/>
      <c r="GP38" s="537"/>
      <c r="GQ38" s="537"/>
      <c r="GR38" s="537"/>
      <c r="GS38" s="537"/>
      <c r="GT38" s="537"/>
      <c r="GU38" s="537"/>
      <c r="GV38" s="537"/>
      <c r="GW38" s="537"/>
      <c r="GX38" s="537"/>
      <c r="GY38" s="537"/>
      <c r="GZ38" s="537"/>
      <c r="HA38" s="537"/>
      <c r="HB38" s="537"/>
      <c r="HC38" s="537"/>
      <c r="HD38" s="537"/>
      <c r="HE38" s="537"/>
      <c r="HF38" s="537"/>
      <c r="HG38" s="537"/>
      <c r="HH38" s="537"/>
      <c r="HI38" s="537"/>
      <c r="HJ38" s="537"/>
      <c r="HK38" s="537"/>
      <c r="HL38" s="537"/>
      <c r="HM38" s="537"/>
      <c r="HN38" s="537"/>
      <c r="HO38" s="537"/>
      <c r="HP38" s="537"/>
      <c r="HQ38" s="537"/>
      <c r="HR38" s="537"/>
      <c r="HS38" s="537"/>
      <c r="HT38" s="537"/>
      <c r="HU38" s="537"/>
      <c r="HV38" s="537"/>
      <c r="HW38" s="537"/>
      <c r="HX38" s="537"/>
      <c r="HY38" s="537"/>
      <c r="HZ38" s="537"/>
      <c r="IA38" s="537"/>
      <c r="IB38" s="537"/>
      <c r="IC38" s="537"/>
      <c r="ID38" s="537"/>
      <c r="IE38" s="537"/>
      <c r="IF38" s="537"/>
      <c r="IG38" s="537"/>
      <c r="IH38" s="537"/>
      <c r="II38" s="537"/>
      <c r="IJ38" s="537"/>
      <c r="IK38" s="537"/>
      <c r="IL38" s="537"/>
      <c r="IM38" s="537"/>
      <c r="IN38" s="537"/>
      <c r="IO38" s="537"/>
      <c r="IP38" s="537"/>
      <c r="IQ38" s="537"/>
      <c r="IR38" s="537"/>
    </row>
    <row r="39" spans="1:252" s="613" customFormat="1">
      <c r="A39" s="524">
        <f>MAX(A$1:A38)+1</f>
        <v>7</v>
      </c>
      <c r="B39" s="413"/>
      <c r="C39" s="586" t="s">
        <v>1035</v>
      </c>
      <c r="D39" s="585"/>
      <c r="E39" s="587" t="s">
        <v>1036</v>
      </c>
      <c r="F39" s="588"/>
      <c r="G39" s="708" t="s">
        <v>7</v>
      </c>
      <c r="H39" s="605">
        <f>H40</f>
        <v>50</v>
      </c>
      <c r="I39" s="658"/>
      <c r="J39" s="699">
        <f>H39*I39</f>
        <v>0</v>
      </c>
      <c r="K39" s="561"/>
      <c r="L39" s="558"/>
      <c r="M39" s="558"/>
    </row>
    <row r="40" spans="1:252" s="429" customFormat="1" ht="25.5">
      <c r="A40" s="713"/>
      <c r="B40" s="413"/>
      <c r="C40" s="591"/>
      <c r="D40" s="592" t="s">
        <v>1037</v>
      </c>
      <c r="E40" s="593" t="s">
        <v>1038</v>
      </c>
      <c r="F40" s="594"/>
      <c r="G40" s="712" t="s">
        <v>7</v>
      </c>
      <c r="H40" s="570">
        <v>50</v>
      </c>
      <c r="I40" s="614"/>
      <c r="J40" s="714"/>
    </row>
    <row r="41" spans="1:252" s="619" customFormat="1">
      <c r="A41" s="716"/>
      <c r="B41" s="597"/>
      <c r="C41" s="414"/>
      <c r="D41" s="616"/>
      <c r="E41" s="608" t="s">
        <v>1119</v>
      </c>
      <c r="F41" s="394">
        <v>50</v>
      </c>
      <c r="G41" s="395"/>
      <c r="H41" s="600"/>
      <c r="I41" s="614"/>
      <c r="J41" s="714"/>
    </row>
    <row r="42" spans="1:252" s="429" customFormat="1">
      <c r="A42" s="713"/>
      <c r="B42" s="591"/>
      <c r="C42" s="591"/>
      <c r="D42" s="607"/>
      <c r="E42" s="608"/>
      <c r="F42" s="594"/>
      <c r="G42" s="712"/>
      <c r="H42" s="570"/>
      <c r="I42" s="614"/>
      <c r="J42" s="714"/>
    </row>
    <row r="43" spans="1:252" s="429" customFormat="1">
      <c r="A43" s="713"/>
      <c r="B43" s="591"/>
      <c r="C43" s="591"/>
      <c r="D43" s="607"/>
      <c r="E43" s="529"/>
      <c r="F43" s="594"/>
      <c r="G43" s="712"/>
      <c r="H43" s="570"/>
      <c r="I43" s="614"/>
      <c r="J43" s="714"/>
    </row>
    <row r="44" spans="1:252" s="554" customFormat="1" ht="25.5">
      <c r="A44" s="702"/>
      <c r="B44" s="216" t="s">
        <v>95</v>
      </c>
      <c r="C44" s="217"/>
      <c r="D44" s="218"/>
      <c r="E44" s="219" t="s">
        <v>100</v>
      </c>
      <c r="F44" s="394"/>
      <c r="G44" s="395"/>
      <c r="H44" s="396"/>
      <c r="I44" s="409"/>
      <c r="J44" s="709"/>
    </row>
    <row r="45" spans="1:252" s="399" customFormat="1">
      <c r="A45" s="706"/>
      <c r="B45" s="609"/>
      <c r="C45" s="565"/>
      <c r="D45" s="565"/>
      <c r="E45" s="551"/>
      <c r="F45" s="611"/>
      <c r="G45" s="708"/>
      <c r="H45" s="408"/>
      <c r="I45" s="409"/>
      <c r="J45" s="709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4"/>
      <c r="Y45" s="554"/>
      <c r="Z45" s="554"/>
      <c r="AA45" s="554"/>
      <c r="AB45" s="554"/>
      <c r="AC45" s="554"/>
      <c r="AD45" s="554"/>
      <c r="AE45" s="554"/>
      <c r="AF45" s="554"/>
      <c r="AG45" s="554"/>
      <c r="AH45" s="554"/>
      <c r="AI45" s="554"/>
      <c r="AJ45" s="554"/>
      <c r="AK45" s="554"/>
      <c r="AL45" s="554"/>
      <c r="AM45" s="554"/>
      <c r="AN45" s="554"/>
      <c r="AO45" s="554"/>
      <c r="AP45" s="554"/>
      <c r="AQ45" s="554"/>
      <c r="AR45" s="554"/>
      <c r="AS45" s="554"/>
      <c r="AT45" s="554"/>
      <c r="AU45" s="554"/>
      <c r="AV45" s="554"/>
      <c r="AW45" s="554"/>
      <c r="AX45" s="554"/>
      <c r="AY45" s="554"/>
      <c r="AZ45" s="554"/>
      <c r="BA45" s="554"/>
      <c r="BB45" s="554"/>
      <c r="BC45" s="554"/>
      <c r="BD45" s="554"/>
      <c r="BE45" s="554"/>
      <c r="BF45" s="554"/>
      <c r="BG45" s="554"/>
      <c r="BH45" s="554"/>
      <c r="BI45" s="554"/>
      <c r="BJ45" s="554"/>
      <c r="BK45" s="554"/>
      <c r="BL45" s="554"/>
      <c r="BM45" s="554"/>
      <c r="BN45" s="554"/>
      <c r="BO45" s="554"/>
      <c r="BP45" s="554"/>
      <c r="BQ45" s="554"/>
      <c r="BR45" s="554"/>
      <c r="BS45" s="554"/>
      <c r="BT45" s="554"/>
      <c r="BU45" s="554"/>
      <c r="BV45" s="554"/>
      <c r="BW45" s="554"/>
      <c r="BX45" s="554"/>
      <c r="BY45" s="554"/>
      <c r="BZ45" s="554"/>
      <c r="CA45" s="554"/>
      <c r="CB45" s="554"/>
      <c r="CC45" s="554"/>
      <c r="CD45" s="554"/>
      <c r="CE45" s="554"/>
      <c r="CF45" s="554"/>
      <c r="CG45" s="554"/>
      <c r="CH45" s="554"/>
      <c r="CI45" s="554"/>
      <c r="CJ45" s="554"/>
      <c r="CK45" s="554"/>
      <c r="CL45" s="554"/>
      <c r="CM45" s="554"/>
      <c r="CN45" s="554"/>
      <c r="CO45" s="554"/>
      <c r="CP45" s="554"/>
      <c r="CQ45" s="554"/>
      <c r="CR45" s="554"/>
      <c r="CS45" s="554"/>
      <c r="CT45" s="554"/>
      <c r="CU45" s="554"/>
      <c r="CV45" s="554"/>
      <c r="CW45" s="554"/>
      <c r="CX45" s="554"/>
      <c r="CY45" s="554"/>
      <c r="CZ45" s="554"/>
      <c r="DA45" s="554"/>
      <c r="DB45" s="554"/>
      <c r="DC45" s="554"/>
      <c r="DD45" s="554"/>
      <c r="DE45" s="554"/>
      <c r="DF45" s="554"/>
      <c r="DG45" s="554"/>
      <c r="DH45" s="554"/>
      <c r="DI45" s="554"/>
      <c r="DJ45" s="554"/>
      <c r="DK45" s="554"/>
      <c r="DL45" s="554"/>
      <c r="DM45" s="554"/>
      <c r="DN45" s="554"/>
      <c r="DO45" s="554"/>
      <c r="DP45" s="554"/>
      <c r="DQ45" s="554"/>
      <c r="DR45" s="554"/>
      <c r="DS45" s="554"/>
      <c r="DT45" s="554"/>
      <c r="DU45" s="554"/>
      <c r="DV45" s="554"/>
      <c r="DW45" s="554"/>
      <c r="DX45" s="554"/>
      <c r="DY45" s="554"/>
      <c r="DZ45" s="554"/>
      <c r="EA45" s="554"/>
      <c r="EB45" s="554"/>
      <c r="EC45" s="554"/>
      <c r="ED45" s="554"/>
      <c r="EE45" s="554"/>
      <c r="EF45" s="554"/>
      <c r="EG45" s="554"/>
      <c r="EH45" s="554"/>
      <c r="EI45" s="554"/>
      <c r="EJ45" s="554"/>
      <c r="EK45" s="554"/>
      <c r="EL45" s="554"/>
      <c r="EM45" s="554"/>
      <c r="EN45" s="554"/>
      <c r="EO45" s="554"/>
      <c r="EP45" s="554"/>
      <c r="EQ45" s="554"/>
      <c r="ER45" s="554"/>
      <c r="ES45" s="554"/>
      <c r="ET45" s="554"/>
      <c r="EU45" s="554"/>
      <c r="EV45" s="554"/>
      <c r="EW45" s="554"/>
      <c r="EX45" s="554"/>
      <c r="EY45" s="554"/>
      <c r="EZ45" s="554"/>
      <c r="FA45" s="554"/>
      <c r="FB45" s="554"/>
      <c r="FC45" s="554"/>
      <c r="FD45" s="554"/>
      <c r="FE45" s="554"/>
      <c r="FF45" s="554"/>
      <c r="FG45" s="554"/>
      <c r="FH45" s="554"/>
      <c r="FI45" s="554"/>
      <c r="FJ45" s="554"/>
      <c r="FK45" s="554"/>
      <c r="FL45" s="554"/>
      <c r="FM45" s="554"/>
      <c r="FN45" s="554"/>
      <c r="FO45" s="554"/>
      <c r="FP45" s="554"/>
      <c r="FQ45" s="554"/>
      <c r="FR45" s="554"/>
      <c r="FS45" s="554"/>
      <c r="FT45" s="554"/>
      <c r="FU45" s="554"/>
      <c r="FV45" s="554"/>
      <c r="FW45" s="554"/>
      <c r="FX45" s="554"/>
      <c r="FY45" s="554"/>
      <c r="FZ45" s="554"/>
      <c r="GA45" s="554"/>
      <c r="GB45" s="554"/>
      <c r="GC45" s="554"/>
      <c r="GD45" s="554"/>
      <c r="GE45" s="554"/>
      <c r="GF45" s="554"/>
      <c r="GG45" s="554"/>
      <c r="GH45" s="554"/>
      <c r="GI45" s="554"/>
      <c r="GJ45" s="554"/>
      <c r="GK45" s="554"/>
      <c r="GL45" s="554"/>
      <c r="GM45" s="554"/>
      <c r="GN45" s="554"/>
      <c r="GO45" s="554"/>
      <c r="GP45" s="554"/>
      <c r="GQ45" s="554"/>
      <c r="GR45" s="554"/>
      <c r="GS45" s="554"/>
      <c r="GT45" s="554"/>
      <c r="GU45" s="554"/>
      <c r="GV45" s="554"/>
      <c r="GW45" s="554"/>
      <c r="GX45" s="554"/>
      <c r="GY45" s="554"/>
      <c r="GZ45" s="554"/>
      <c r="HA45" s="554"/>
      <c r="HB45" s="554"/>
      <c r="HC45" s="554"/>
      <c r="HD45" s="554"/>
      <c r="HE45" s="554"/>
      <c r="HF45" s="554"/>
      <c r="HG45" s="554"/>
      <c r="HH45" s="554"/>
      <c r="HI45" s="554"/>
      <c r="HJ45" s="554"/>
      <c r="HK45" s="554"/>
      <c r="HL45" s="554"/>
      <c r="HM45" s="554"/>
      <c r="HN45" s="554"/>
      <c r="HO45" s="554"/>
      <c r="HP45" s="554"/>
      <c r="HQ45" s="554"/>
      <c r="HR45" s="554"/>
      <c r="HS45" s="554"/>
      <c r="HT45" s="554"/>
      <c r="HU45" s="554"/>
      <c r="HV45" s="554"/>
      <c r="HW45" s="554"/>
      <c r="HX45" s="554"/>
      <c r="HY45" s="554"/>
      <c r="HZ45" s="554"/>
      <c r="IA45" s="554"/>
      <c r="IB45" s="554"/>
      <c r="IC45" s="554"/>
      <c r="ID45" s="554"/>
      <c r="IE45" s="554"/>
      <c r="IF45" s="554"/>
      <c r="IG45" s="554"/>
      <c r="IH45" s="554"/>
      <c r="II45" s="554"/>
      <c r="IJ45" s="554"/>
      <c r="IK45" s="554"/>
      <c r="IL45" s="554"/>
      <c r="IM45" s="554"/>
      <c r="IN45" s="554"/>
      <c r="IO45" s="554"/>
      <c r="IP45" s="554"/>
      <c r="IQ45" s="554"/>
      <c r="IR45" s="554"/>
    </row>
    <row r="46" spans="1:252" s="548" customFormat="1">
      <c r="A46" s="524">
        <f>MAX(A$1:A45)+1</f>
        <v>8</v>
      </c>
      <c r="B46" s="565"/>
      <c r="C46" s="586" t="s">
        <v>1040</v>
      </c>
      <c r="D46" s="585"/>
      <c r="E46" s="587" t="s">
        <v>1041</v>
      </c>
      <c r="F46" s="611"/>
      <c r="G46" s="708" t="s">
        <v>7</v>
      </c>
      <c r="H46" s="560">
        <f>H47</f>
        <v>50</v>
      </c>
      <c r="I46" s="507"/>
      <c r="J46" s="699">
        <f>H46*I46</f>
        <v>0</v>
      </c>
      <c r="K46" s="561"/>
      <c r="L46" s="558"/>
      <c r="M46" s="558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5"/>
      <c r="Z46" s="665"/>
      <c r="AA46" s="665"/>
      <c r="AB46" s="665"/>
      <c r="AC46" s="665"/>
      <c r="AD46" s="665"/>
      <c r="AE46" s="665"/>
      <c r="AF46" s="665"/>
      <c r="AG46" s="665"/>
      <c r="AH46" s="665"/>
      <c r="AI46" s="665"/>
      <c r="AJ46" s="665"/>
      <c r="AK46" s="665"/>
      <c r="AL46" s="665"/>
      <c r="AM46" s="665"/>
      <c r="AN46" s="665"/>
      <c r="AO46" s="665"/>
      <c r="AP46" s="665"/>
      <c r="AQ46" s="665"/>
      <c r="AR46" s="665"/>
      <c r="AS46" s="665"/>
      <c r="AT46" s="665"/>
      <c r="AU46" s="665"/>
      <c r="AV46" s="665"/>
      <c r="AW46" s="665"/>
      <c r="AX46" s="665"/>
      <c r="AY46" s="665"/>
      <c r="AZ46" s="665"/>
      <c r="BA46" s="665"/>
      <c r="BB46" s="665"/>
      <c r="BC46" s="665"/>
      <c r="BD46" s="665"/>
      <c r="BE46" s="665"/>
      <c r="BF46" s="665"/>
      <c r="BG46" s="665"/>
      <c r="BH46" s="665"/>
      <c r="BI46" s="665"/>
      <c r="BJ46" s="665"/>
      <c r="BK46" s="665"/>
      <c r="BL46" s="665"/>
      <c r="BM46" s="665"/>
      <c r="BN46" s="665"/>
      <c r="BO46" s="665"/>
      <c r="BP46" s="665"/>
      <c r="BQ46" s="665"/>
      <c r="BR46" s="665"/>
      <c r="BS46" s="665"/>
      <c r="BT46" s="665"/>
      <c r="BU46" s="665"/>
      <c r="BV46" s="665"/>
      <c r="BW46" s="665"/>
      <c r="BX46" s="665"/>
      <c r="BY46" s="665"/>
      <c r="BZ46" s="665"/>
      <c r="CA46" s="665"/>
      <c r="CB46" s="665"/>
      <c r="CC46" s="665"/>
      <c r="CD46" s="665"/>
      <c r="CE46" s="665"/>
      <c r="CF46" s="665"/>
      <c r="CG46" s="665"/>
      <c r="CH46" s="665"/>
      <c r="CI46" s="665"/>
      <c r="CJ46" s="665"/>
      <c r="CK46" s="665"/>
      <c r="CL46" s="665"/>
      <c r="CM46" s="665"/>
      <c r="CN46" s="665"/>
      <c r="CO46" s="665"/>
      <c r="CP46" s="665"/>
      <c r="CQ46" s="665"/>
      <c r="CR46" s="665"/>
      <c r="CS46" s="665"/>
      <c r="CT46" s="665"/>
      <c r="CU46" s="665"/>
      <c r="CV46" s="665"/>
      <c r="CW46" s="665"/>
      <c r="CX46" s="665"/>
      <c r="CY46" s="665"/>
      <c r="CZ46" s="665"/>
      <c r="DA46" s="665"/>
      <c r="DB46" s="665"/>
      <c r="DC46" s="665"/>
      <c r="DD46" s="665"/>
      <c r="DE46" s="665"/>
      <c r="DF46" s="665"/>
      <c r="DG46" s="665"/>
      <c r="DH46" s="665"/>
      <c r="DI46" s="665"/>
      <c r="DJ46" s="665"/>
      <c r="DK46" s="665"/>
      <c r="DL46" s="665"/>
      <c r="DM46" s="665"/>
      <c r="DN46" s="665"/>
      <c r="DO46" s="665"/>
      <c r="DP46" s="665"/>
      <c r="DQ46" s="665"/>
      <c r="DR46" s="665"/>
      <c r="DS46" s="665"/>
      <c r="DT46" s="665"/>
      <c r="DU46" s="665"/>
      <c r="DV46" s="665"/>
      <c r="DW46" s="665"/>
      <c r="DX46" s="665"/>
      <c r="DY46" s="665"/>
      <c r="DZ46" s="665"/>
      <c r="EA46" s="665"/>
      <c r="EB46" s="665"/>
      <c r="EC46" s="665"/>
      <c r="ED46" s="665"/>
      <c r="EE46" s="665"/>
      <c r="EF46" s="665"/>
      <c r="EG46" s="665"/>
      <c r="EH46" s="665"/>
      <c r="EI46" s="665"/>
      <c r="EJ46" s="665"/>
      <c r="EK46" s="665"/>
      <c r="EL46" s="665"/>
      <c r="EM46" s="665"/>
      <c r="EN46" s="665"/>
      <c r="EO46" s="665"/>
      <c r="EP46" s="665"/>
      <c r="EQ46" s="665"/>
      <c r="ER46" s="665"/>
      <c r="ES46" s="665"/>
      <c r="ET46" s="665"/>
      <c r="EU46" s="665"/>
      <c r="EV46" s="665"/>
      <c r="EW46" s="665"/>
      <c r="EX46" s="665"/>
      <c r="EY46" s="665"/>
      <c r="EZ46" s="665"/>
      <c r="FA46" s="665"/>
      <c r="FB46" s="665"/>
      <c r="FC46" s="665"/>
      <c r="FD46" s="665"/>
      <c r="FE46" s="665"/>
      <c r="FF46" s="665"/>
      <c r="FG46" s="665"/>
      <c r="FH46" s="665"/>
      <c r="FI46" s="665"/>
      <c r="FJ46" s="665"/>
      <c r="FK46" s="665"/>
      <c r="FL46" s="665"/>
      <c r="FM46" s="665"/>
      <c r="FN46" s="665"/>
      <c r="FO46" s="665"/>
      <c r="FP46" s="665"/>
      <c r="FQ46" s="665"/>
      <c r="FR46" s="665"/>
      <c r="FS46" s="665"/>
      <c r="FT46" s="665"/>
      <c r="FU46" s="665"/>
      <c r="FV46" s="665"/>
      <c r="FW46" s="665"/>
      <c r="FX46" s="665"/>
      <c r="FY46" s="665"/>
      <c r="FZ46" s="665"/>
      <c r="GA46" s="665"/>
      <c r="GB46" s="665"/>
      <c r="GC46" s="665"/>
      <c r="GD46" s="665"/>
      <c r="GE46" s="665"/>
      <c r="GF46" s="665"/>
      <c r="GG46" s="665"/>
      <c r="GH46" s="665"/>
      <c r="GI46" s="665"/>
      <c r="GJ46" s="665"/>
      <c r="GK46" s="665"/>
      <c r="GL46" s="665"/>
      <c r="GM46" s="665"/>
      <c r="GN46" s="665"/>
      <c r="GO46" s="665"/>
      <c r="GP46" s="665"/>
      <c r="GQ46" s="665"/>
      <c r="GR46" s="665"/>
      <c r="GS46" s="665"/>
      <c r="GT46" s="665"/>
      <c r="GU46" s="665"/>
      <c r="GV46" s="665"/>
      <c r="GW46" s="665"/>
      <c r="GX46" s="665"/>
      <c r="GY46" s="665"/>
      <c r="GZ46" s="665"/>
      <c r="HA46" s="665"/>
      <c r="HB46" s="665"/>
      <c r="HC46" s="665"/>
      <c r="HD46" s="665"/>
      <c r="HE46" s="665"/>
      <c r="HF46" s="665"/>
      <c r="HG46" s="665"/>
      <c r="HH46" s="665"/>
      <c r="HI46" s="665"/>
      <c r="HJ46" s="665"/>
      <c r="HK46" s="665"/>
      <c r="HL46" s="665"/>
      <c r="HM46" s="665"/>
      <c r="HN46" s="665"/>
      <c r="HO46" s="665"/>
      <c r="HP46" s="665"/>
      <c r="HQ46" s="665"/>
      <c r="HR46" s="665"/>
      <c r="HS46" s="665"/>
      <c r="HT46" s="665"/>
      <c r="HU46" s="665"/>
      <c r="HV46" s="665"/>
      <c r="HW46" s="665"/>
      <c r="HX46" s="665"/>
      <c r="HY46" s="665"/>
      <c r="HZ46" s="665"/>
      <c r="IA46" s="665"/>
      <c r="IB46" s="665"/>
      <c r="IC46" s="665"/>
      <c r="ID46" s="665"/>
      <c r="IE46" s="665"/>
      <c r="IF46" s="665"/>
      <c r="IG46" s="665"/>
      <c r="IH46" s="665"/>
      <c r="II46" s="665"/>
      <c r="IJ46" s="665"/>
      <c r="IK46" s="665"/>
      <c r="IL46" s="665"/>
      <c r="IM46" s="665"/>
      <c r="IN46" s="665"/>
      <c r="IO46" s="665"/>
      <c r="IP46" s="665"/>
      <c r="IQ46" s="665"/>
      <c r="IR46" s="665"/>
    </row>
    <row r="47" spans="1:252" s="554" customFormat="1" ht="25.5">
      <c r="A47" s="706"/>
      <c r="B47" s="550"/>
      <c r="C47" s="591"/>
      <c r="D47" s="592" t="s">
        <v>1042</v>
      </c>
      <c r="E47" s="593" t="s">
        <v>1043</v>
      </c>
      <c r="F47" s="624"/>
      <c r="G47" s="712" t="s">
        <v>7</v>
      </c>
      <c r="H47" s="570">
        <v>50</v>
      </c>
      <c r="I47" s="409"/>
      <c r="J47" s="709"/>
    </row>
    <row r="48" spans="1:252" s="399" customFormat="1">
      <c r="A48" s="717"/>
      <c r="B48" s="642"/>
      <c r="C48" s="572"/>
      <c r="D48" s="572"/>
      <c r="E48" s="625" t="s">
        <v>1147</v>
      </c>
      <c r="F48" s="415">
        <v>50</v>
      </c>
      <c r="G48" s="395"/>
      <c r="H48" s="573"/>
      <c r="I48" s="614"/>
      <c r="J48" s="714"/>
    </row>
    <row r="49" spans="1:13" s="399" customFormat="1">
      <c r="A49" s="717"/>
      <c r="B49" s="642"/>
      <c r="C49" s="572"/>
      <c r="D49" s="572"/>
      <c r="E49" s="537"/>
      <c r="F49" s="715"/>
      <c r="G49" s="395"/>
      <c r="H49" s="573"/>
      <c r="I49" s="614"/>
      <c r="J49" s="714"/>
    </row>
    <row r="50" spans="1:13" s="429" customFormat="1">
      <c r="A50" s="713"/>
      <c r="B50" s="591"/>
      <c r="C50" s="591"/>
      <c r="D50" s="607"/>
      <c r="E50" s="529"/>
      <c r="F50" s="718"/>
      <c r="G50" s="712"/>
      <c r="H50" s="570"/>
      <c r="I50" s="614"/>
      <c r="J50" s="714"/>
    </row>
    <row r="51" spans="1:13" s="399" customFormat="1">
      <c r="A51" s="702"/>
      <c r="B51" s="216" t="s">
        <v>1128</v>
      </c>
      <c r="C51" s="217"/>
      <c r="D51" s="218"/>
      <c r="E51" s="219" t="s">
        <v>1129</v>
      </c>
      <c r="F51" s="394"/>
      <c r="G51" s="395"/>
      <c r="H51" s="396"/>
      <c r="I51" s="614"/>
      <c r="J51" s="714"/>
    </row>
    <row r="52" spans="1:13" s="399" customFormat="1">
      <c r="A52" s="706"/>
      <c r="B52" s="609"/>
      <c r="C52" s="565"/>
      <c r="D52" s="565"/>
      <c r="E52" s="551"/>
      <c r="F52" s="707"/>
      <c r="G52" s="708"/>
      <c r="H52" s="408"/>
      <c r="I52" s="614"/>
      <c r="J52" s="714"/>
    </row>
    <row r="53" spans="1:13" s="54" customFormat="1" ht="25.5">
      <c r="A53" s="524">
        <f>MAX(A$1:A52)+1</f>
        <v>9</v>
      </c>
      <c r="B53" s="719"/>
      <c r="C53" s="720">
        <v>92020101</v>
      </c>
      <c r="D53" s="721"/>
      <c r="E53" s="722" t="s">
        <v>1130</v>
      </c>
      <c r="F53" s="723"/>
      <c r="G53" s="724" t="s">
        <v>7</v>
      </c>
      <c r="H53" s="560">
        <f>H54</f>
        <v>400</v>
      </c>
      <c r="I53" s="658"/>
      <c r="J53" s="699">
        <f>H53*I53</f>
        <v>0</v>
      </c>
      <c r="K53" s="561"/>
      <c r="L53" s="558"/>
      <c r="M53" s="558"/>
    </row>
    <row r="54" spans="1:13" s="399" customFormat="1" ht="25.5">
      <c r="A54" s="706"/>
      <c r="B54" s="686"/>
      <c r="C54" s="687"/>
      <c r="D54" s="688">
        <v>9202010105</v>
      </c>
      <c r="E54" s="366" t="s">
        <v>1131</v>
      </c>
      <c r="F54" s="725"/>
      <c r="G54" s="726" t="s">
        <v>7</v>
      </c>
      <c r="H54" s="570">
        <v>400</v>
      </c>
      <c r="I54" s="614"/>
      <c r="J54" s="714"/>
    </row>
    <row r="55" spans="1:13" s="399" customFormat="1">
      <c r="A55" s="727"/>
      <c r="B55" s="691"/>
      <c r="C55" s="673"/>
      <c r="D55" s="674"/>
      <c r="E55" s="675" t="s">
        <v>1148</v>
      </c>
      <c r="F55" s="415">
        <v>400</v>
      </c>
      <c r="G55" s="704"/>
      <c r="H55" s="573"/>
      <c r="I55" s="614"/>
      <c r="J55" s="714"/>
    </row>
    <row r="56" spans="1:13" s="399" customFormat="1">
      <c r="A56" s="706"/>
      <c r="B56" s="686"/>
      <c r="C56" s="687"/>
      <c r="D56" s="688"/>
      <c r="E56" s="675"/>
      <c r="F56" s="728"/>
      <c r="G56" s="726"/>
      <c r="H56" s="540"/>
      <c r="I56" s="614"/>
      <c r="J56" s="714"/>
    </row>
    <row r="57" spans="1:13" s="54" customFormat="1" ht="25.5">
      <c r="A57" s="524">
        <f>MAX(A$1:A56)+1</f>
        <v>10</v>
      </c>
      <c r="B57" s="729"/>
      <c r="C57" s="720">
        <v>92020201</v>
      </c>
      <c r="D57" s="721"/>
      <c r="E57" s="722" t="s">
        <v>1135</v>
      </c>
      <c r="F57" s="723"/>
      <c r="G57" s="724" t="s">
        <v>1</v>
      </c>
      <c r="H57" s="560">
        <f>H58</f>
        <v>4</v>
      </c>
      <c r="I57" s="658"/>
      <c r="J57" s="699">
        <f>H57*I57</f>
        <v>0</v>
      </c>
      <c r="K57" s="561"/>
      <c r="L57" s="558"/>
      <c r="M57" s="558"/>
    </row>
    <row r="58" spans="1:13" s="399" customFormat="1" ht="25.5">
      <c r="A58" s="706"/>
      <c r="B58" s="434"/>
      <c r="C58" s="687"/>
      <c r="D58" s="688">
        <v>9202020101</v>
      </c>
      <c r="E58" s="366" t="s">
        <v>1136</v>
      </c>
      <c r="F58" s="725"/>
      <c r="G58" s="726" t="s">
        <v>1</v>
      </c>
      <c r="H58" s="570">
        <v>4</v>
      </c>
      <c r="I58" s="614"/>
      <c r="J58" s="714"/>
    </row>
    <row r="59" spans="1:13" s="399" customFormat="1">
      <c r="A59" s="716"/>
      <c r="B59" s="672"/>
      <c r="C59" s="673"/>
      <c r="D59" s="674"/>
      <c r="E59" s="675" t="s">
        <v>1149</v>
      </c>
      <c r="F59" s="415">
        <v>4</v>
      </c>
      <c r="G59" s="704"/>
      <c r="H59" s="573"/>
      <c r="I59" s="614"/>
      <c r="J59" s="714"/>
    </row>
    <row r="60" spans="1:13" s="399" customFormat="1">
      <c r="A60" s="716"/>
      <c r="B60" s="672"/>
      <c r="C60" s="673"/>
      <c r="D60" s="674"/>
      <c r="E60" s="675"/>
      <c r="F60" s="728"/>
      <c r="G60" s="704"/>
      <c r="H60" s="573"/>
      <c r="I60" s="614"/>
      <c r="J60" s="714"/>
    </row>
    <row r="61" spans="1:13" s="54" customFormat="1" ht="25.5">
      <c r="A61" s="524">
        <f>MAX(A$1:A60)+1</f>
        <v>11</v>
      </c>
      <c r="B61" s="729"/>
      <c r="C61" s="693">
        <v>92031801</v>
      </c>
      <c r="D61" s="694"/>
      <c r="E61" s="28" t="s">
        <v>1152</v>
      </c>
      <c r="F61" s="29"/>
      <c r="G61" s="724" t="s">
        <v>116</v>
      </c>
      <c r="H61" s="560">
        <f>H62</f>
        <v>1</v>
      </c>
      <c r="I61" s="658"/>
      <c r="J61" s="699">
        <f>H61*I61</f>
        <v>0</v>
      </c>
      <c r="K61" s="561"/>
      <c r="L61" s="558"/>
      <c r="M61" s="558"/>
    </row>
    <row r="62" spans="1:13" s="399" customFormat="1" ht="25.5">
      <c r="A62" s="706"/>
      <c r="B62" s="434"/>
      <c r="C62" s="565"/>
      <c r="D62" s="695">
        <v>9203180118</v>
      </c>
      <c r="E62" s="34" t="s">
        <v>1153</v>
      </c>
      <c r="F62" s="35"/>
      <c r="G62" s="726" t="s">
        <v>116</v>
      </c>
      <c r="H62" s="570">
        <v>1</v>
      </c>
      <c r="I62" s="614"/>
      <c r="J62" s="714"/>
    </row>
    <row r="63" spans="1:13" s="399" customFormat="1" ht="25.5">
      <c r="A63" s="716"/>
      <c r="B63" s="672"/>
      <c r="C63" s="673"/>
      <c r="D63" s="674"/>
      <c r="E63" s="675" t="s">
        <v>1126</v>
      </c>
      <c r="F63" s="415">
        <v>1</v>
      </c>
      <c r="G63" s="704"/>
      <c r="H63" s="573"/>
      <c r="I63" s="614"/>
      <c r="J63" s="714"/>
    </row>
    <row r="64" spans="1:13" s="399" customFormat="1">
      <c r="A64" s="716"/>
      <c r="B64" s="672"/>
      <c r="C64" s="673"/>
      <c r="D64" s="674"/>
      <c r="E64" s="675"/>
      <c r="F64" s="728"/>
      <c r="G64" s="704"/>
      <c r="H64" s="573"/>
      <c r="I64" s="730"/>
      <c r="J64" s="714"/>
    </row>
    <row r="65" spans="1:253" s="632" customFormat="1">
      <c r="A65" s="700"/>
      <c r="B65" s="609"/>
      <c r="C65" s="610"/>
      <c r="D65" s="622"/>
      <c r="E65" s="623"/>
      <c r="F65" s="624"/>
      <c r="G65" s="712"/>
      <c r="H65" s="570"/>
      <c r="I65" s="409"/>
      <c r="J65" s="709"/>
      <c r="K65" s="554"/>
      <c r="L65" s="554"/>
      <c r="M65" s="554"/>
      <c r="N65" s="554"/>
      <c r="O65" s="554"/>
      <c r="P65" s="554"/>
      <c r="Q65" s="554"/>
      <c r="R65" s="554"/>
      <c r="S65" s="554"/>
      <c r="T65" s="554"/>
      <c r="U65" s="554"/>
      <c r="V65" s="554"/>
      <c r="W65" s="554"/>
      <c r="X65" s="554"/>
      <c r="Y65" s="554"/>
      <c r="Z65" s="554"/>
      <c r="AA65" s="554"/>
      <c r="AB65" s="554"/>
      <c r="AC65" s="554"/>
      <c r="AD65" s="554"/>
      <c r="AE65" s="554"/>
      <c r="AF65" s="554"/>
      <c r="AG65" s="554"/>
      <c r="AH65" s="554"/>
      <c r="AI65" s="554"/>
      <c r="AJ65" s="554"/>
      <c r="AK65" s="554"/>
      <c r="AL65" s="554"/>
      <c r="AM65" s="554"/>
      <c r="AN65" s="554"/>
      <c r="AO65" s="554"/>
      <c r="AP65" s="554"/>
      <c r="AQ65" s="554"/>
      <c r="AR65" s="554"/>
      <c r="AS65" s="554"/>
      <c r="AT65" s="554"/>
      <c r="AU65" s="554"/>
      <c r="AV65" s="554"/>
      <c r="AW65" s="554"/>
      <c r="AX65" s="554"/>
      <c r="AY65" s="554"/>
      <c r="AZ65" s="554"/>
      <c r="BA65" s="554"/>
      <c r="BB65" s="554"/>
      <c r="BC65" s="554"/>
      <c r="BD65" s="554"/>
      <c r="BE65" s="554"/>
      <c r="BF65" s="554"/>
      <c r="BG65" s="554"/>
      <c r="BH65" s="554"/>
      <c r="BI65" s="554"/>
      <c r="BJ65" s="554"/>
      <c r="BK65" s="554"/>
      <c r="BL65" s="554"/>
      <c r="BM65" s="554"/>
      <c r="BN65" s="554"/>
      <c r="BO65" s="554"/>
      <c r="BP65" s="554"/>
      <c r="BQ65" s="554"/>
      <c r="BR65" s="554"/>
      <c r="BS65" s="554"/>
      <c r="BT65" s="554"/>
      <c r="BU65" s="554"/>
      <c r="BV65" s="554"/>
      <c r="BW65" s="554"/>
      <c r="BX65" s="554"/>
      <c r="BY65" s="554"/>
      <c r="BZ65" s="554"/>
      <c r="CA65" s="554"/>
      <c r="CB65" s="554"/>
      <c r="CC65" s="554"/>
      <c r="CD65" s="554"/>
      <c r="CE65" s="554"/>
      <c r="CF65" s="554"/>
      <c r="CG65" s="554"/>
      <c r="CH65" s="554"/>
      <c r="CI65" s="554"/>
      <c r="CJ65" s="554"/>
      <c r="CK65" s="554"/>
      <c r="CL65" s="554"/>
      <c r="CM65" s="554"/>
      <c r="CN65" s="554"/>
      <c r="CO65" s="554"/>
      <c r="CP65" s="554"/>
      <c r="CQ65" s="554"/>
      <c r="CR65" s="554"/>
      <c r="CS65" s="554"/>
      <c r="CT65" s="554"/>
      <c r="CU65" s="554"/>
      <c r="CV65" s="554"/>
      <c r="CW65" s="554"/>
      <c r="CX65" s="554"/>
      <c r="CY65" s="554"/>
      <c r="CZ65" s="554"/>
      <c r="DA65" s="554"/>
      <c r="DB65" s="554"/>
      <c r="DC65" s="554"/>
      <c r="DD65" s="554"/>
      <c r="DE65" s="554"/>
      <c r="DF65" s="554"/>
      <c r="DG65" s="554"/>
      <c r="DH65" s="554"/>
      <c r="DI65" s="554"/>
      <c r="DJ65" s="554"/>
      <c r="DK65" s="554"/>
      <c r="DL65" s="554"/>
      <c r="DM65" s="554"/>
      <c r="DN65" s="554"/>
      <c r="DO65" s="554"/>
      <c r="DP65" s="554"/>
      <c r="DQ65" s="554"/>
      <c r="DR65" s="554"/>
      <c r="DS65" s="554"/>
      <c r="DT65" s="554"/>
      <c r="DU65" s="554"/>
      <c r="DV65" s="554"/>
      <c r="DW65" s="554"/>
      <c r="DX65" s="554"/>
      <c r="DY65" s="554"/>
      <c r="DZ65" s="554"/>
      <c r="EA65" s="554"/>
      <c r="EB65" s="554"/>
      <c r="EC65" s="554"/>
      <c r="ED65" s="554"/>
      <c r="EE65" s="554"/>
      <c r="EF65" s="554"/>
      <c r="EG65" s="554"/>
      <c r="EH65" s="554"/>
      <c r="EI65" s="554"/>
      <c r="EJ65" s="554"/>
      <c r="EK65" s="554"/>
      <c r="EL65" s="554"/>
      <c r="EM65" s="554"/>
      <c r="EN65" s="554"/>
      <c r="EO65" s="554"/>
      <c r="EP65" s="554"/>
      <c r="EQ65" s="554"/>
      <c r="ER65" s="554"/>
      <c r="ES65" s="554"/>
      <c r="ET65" s="554"/>
      <c r="EU65" s="554"/>
      <c r="EV65" s="554"/>
      <c r="EW65" s="554"/>
      <c r="EX65" s="554"/>
      <c r="EY65" s="554"/>
      <c r="EZ65" s="554"/>
      <c r="FA65" s="554"/>
      <c r="FB65" s="554"/>
      <c r="FC65" s="554"/>
      <c r="FD65" s="554"/>
      <c r="FE65" s="554"/>
      <c r="FF65" s="554"/>
      <c r="FG65" s="554"/>
      <c r="FH65" s="554"/>
      <c r="FI65" s="554"/>
      <c r="FJ65" s="554"/>
      <c r="FK65" s="554"/>
      <c r="FL65" s="554"/>
      <c r="FM65" s="554"/>
      <c r="FN65" s="554"/>
      <c r="FO65" s="554"/>
      <c r="FP65" s="554"/>
      <c r="FQ65" s="554"/>
      <c r="FR65" s="554"/>
      <c r="FS65" s="554"/>
      <c r="FT65" s="554"/>
      <c r="FU65" s="554"/>
      <c r="FV65" s="554"/>
      <c r="FW65" s="554"/>
      <c r="FX65" s="554"/>
      <c r="FY65" s="554"/>
      <c r="FZ65" s="554"/>
      <c r="GA65" s="554"/>
      <c r="GB65" s="554"/>
      <c r="GC65" s="554"/>
      <c r="GD65" s="554"/>
      <c r="GE65" s="554"/>
      <c r="GF65" s="554"/>
      <c r="GG65" s="554"/>
      <c r="GH65" s="554"/>
      <c r="GI65" s="554"/>
      <c r="GJ65" s="554"/>
      <c r="GK65" s="554"/>
      <c r="GL65" s="554"/>
      <c r="GM65" s="554"/>
      <c r="GN65" s="554"/>
      <c r="GO65" s="554"/>
      <c r="GP65" s="554"/>
      <c r="GQ65" s="554"/>
      <c r="GR65" s="554"/>
      <c r="GS65" s="554"/>
      <c r="GT65" s="554"/>
      <c r="GU65" s="554"/>
      <c r="GV65" s="554"/>
      <c r="GW65" s="554"/>
      <c r="GX65" s="554"/>
      <c r="GY65" s="554"/>
      <c r="GZ65" s="554"/>
      <c r="HA65" s="554"/>
      <c r="HB65" s="554"/>
      <c r="HC65" s="554"/>
      <c r="HD65" s="554"/>
      <c r="HE65" s="554"/>
      <c r="HF65" s="554"/>
      <c r="HG65" s="554"/>
      <c r="HH65" s="554"/>
      <c r="HI65" s="554"/>
      <c r="HJ65" s="554"/>
      <c r="HK65" s="554"/>
      <c r="HL65" s="554"/>
      <c r="HM65" s="554"/>
      <c r="HN65" s="554"/>
      <c r="HO65" s="554"/>
      <c r="HP65" s="554"/>
      <c r="HQ65" s="554"/>
      <c r="HR65" s="554"/>
      <c r="HS65" s="554"/>
      <c r="HT65" s="554"/>
      <c r="HU65" s="554"/>
      <c r="HV65" s="554"/>
      <c r="HW65" s="554"/>
      <c r="HX65" s="554"/>
      <c r="HY65" s="554"/>
      <c r="HZ65" s="554"/>
      <c r="IA65" s="554"/>
      <c r="IB65" s="554"/>
      <c r="IC65" s="554"/>
      <c r="ID65" s="554"/>
      <c r="IE65" s="554"/>
      <c r="IF65" s="554"/>
      <c r="IG65" s="554"/>
      <c r="IH65" s="554"/>
      <c r="II65" s="554"/>
      <c r="IJ65" s="554"/>
      <c r="IK65" s="554"/>
      <c r="IL65" s="554"/>
      <c r="IM65" s="554"/>
      <c r="IN65" s="554"/>
      <c r="IO65" s="554"/>
      <c r="IP65" s="554"/>
      <c r="IQ65" s="554"/>
      <c r="IR65" s="554"/>
      <c r="IS65" s="554"/>
    </row>
    <row r="66" spans="1:253" ht="13.5" thickBot="1">
      <c r="A66" s="45"/>
      <c r="B66" s="46"/>
      <c r="C66" s="47"/>
      <c r="D66" s="48"/>
      <c r="E66" s="49"/>
      <c r="F66" s="50"/>
      <c r="G66" s="175"/>
      <c r="H66" s="173"/>
      <c r="I66" s="205"/>
      <c r="J66" s="60"/>
    </row>
    <row r="67" spans="1:253" ht="13.5" thickBot="1">
      <c r="A67" s="66"/>
      <c r="B67" s="67"/>
      <c r="C67" s="67"/>
      <c r="D67" s="67"/>
      <c r="E67" s="67" t="s">
        <v>1150</v>
      </c>
      <c r="F67" s="68"/>
      <c r="G67" s="67"/>
      <c r="H67" s="68"/>
      <c r="I67" s="68"/>
      <c r="J67" s="380">
        <f>SUM(J5:J66)</f>
        <v>0</v>
      </c>
    </row>
  </sheetData>
  <sheetProtection algorithmName="SHA-512" hashValue="qXSIYsDu/C/c/4qrQHASB2qv9CypTF9SSaBE6eKaJPla+3q5a6NesIB8KjY2+OBpCFmexlIGAk0/W+Mug5ZFeA==" saltValue="E+z1++EE6BFMn8FEBvf56A==" spinCount="100000" sheet="1" objects="1" scenarios="1"/>
  <mergeCells count="6">
    <mergeCell ref="J3:J4"/>
    <mergeCell ref="A3:C3"/>
    <mergeCell ref="E3:F4"/>
    <mergeCell ref="G3:G4"/>
    <mergeCell ref="H3:H4"/>
    <mergeCell ref="I3:I4"/>
  </mergeCells>
  <pageMargins left="0.39370078740157483" right="0.19685039370078741" top="0.98425196850393704" bottom="0.98425196850393704" header="0.51181102362204722" footer="0.51181102362204722"/>
  <pageSetup paperSize="9" scale="72" orientation="portrait" r:id="rId1"/>
  <headerFooter>
    <oddHeader>&amp;LNÁZOV STAVBY: ZVOLEN . KRUHOVÝ OBJAZD NA KRIŽOVATKE ULICE J. KOLLÁRA A CESTY 2460&amp;RO. Výkaz výmer a rozpočet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15</vt:i4>
      </vt:variant>
    </vt:vector>
  </HeadingPairs>
  <TitlesOfParts>
    <vt:vector size="27" baseType="lpstr">
      <vt:lpstr>Rekapitulácia</vt:lpstr>
      <vt:lpstr>Rekapitulácia objektov</vt:lpstr>
      <vt:lpstr>01.1</vt:lpstr>
      <vt:lpstr>01.2</vt:lpstr>
      <vt:lpstr>01.3</vt:lpstr>
      <vt:lpstr>01.4</vt:lpstr>
      <vt:lpstr>02</vt:lpstr>
      <vt:lpstr>03</vt:lpstr>
      <vt:lpstr>04</vt:lpstr>
      <vt:lpstr>05</vt:lpstr>
      <vt:lpstr>06</vt:lpstr>
      <vt:lpstr>07</vt:lpstr>
      <vt:lpstr>'01.1'!Názvy_tlače</vt:lpstr>
      <vt:lpstr>'01.2'!Názvy_tlače</vt:lpstr>
      <vt:lpstr>'01.3'!Názvy_tlače</vt:lpstr>
      <vt:lpstr>'01.4'!Názvy_tlače</vt:lpstr>
      <vt:lpstr>'02'!Názvy_tlače</vt:lpstr>
      <vt:lpstr>'03'!Názvy_tlače</vt:lpstr>
      <vt:lpstr>'05'!Názvy_tlače</vt:lpstr>
      <vt:lpstr>'06'!Názvy_tlače</vt:lpstr>
      <vt:lpstr>'07'!Názvy_tlače</vt:lpstr>
      <vt:lpstr>'Rekapitulácia objektov'!Názvy_tlače</vt:lpstr>
      <vt:lpstr>'01.1'!Oblasť_tlače</vt:lpstr>
      <vt:lpstr>'01.2'!Oblasť_tlače</vt:lpstr>
      <vt:lpstr>'01.3'!Oblasť_tlače</vt:lpstr>
      <vt:lpstr>'06'!Oblasť_tlače</vt:lpstr>
      <vt:lpstr>'07'!Oblasť_tlače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Ažaltovičová Alena Ing.</dc:creator>
  <cp:lastModifiedBy>Partelová Nadežda Ing.</cp:lastModifiedBy>
  <cp:lastPrinted>2023-09-20T11:45:35Z</cp:lastPrinted>
  <dcterms:created xsi:type="dcterms:W3CDTF">2006-07-18T11:06:48Z</dcterms:created>
  <dcterms:modified xsi:type="dcterms:W3CDTF">2023-09-20T11:46:36Z</dcterms:modified>
</cp:coreProperties>
</file>