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Data\9119-00 Rekonštrukcia a obnova mostov na cestách III.triedy BBSK, oblasť Juh\Zadanie_ev_c_2561-5\"/>
    </mc:Choice>
  </mc:AlternateContent>
  <xr:revisionPtr revIDLastSave="0" documentId="13_ncr:1_{73E974E1-EBE1-4430-AFCE-337688D023DA}" xr6:coauthVersionLast="45" xr6:coauthVersionMax="45" xr10:uidLastSave="{00000000-0000-0000-0000-000000000000}"/>
  <workbookProtection workbookAlgorithmName="SHA-512" workbookHashValue="hhMzOSj++1q1lJMl9DRDj8VBYbJZ5V/UZhJEbhE3HjFViy5BjuEFjb/G/FS3wPgVnbT5HTMW8cTvKKT+K6/w+w==" workbookSaltValue="oDx/90dg0uGTOrMJii9IJg==" workbookSpinCount="100000" lockStructure="1"/>
  <bookViews>
    <workbookView xWindow="-120" yWindow="-120" windowWidth="29040" windowHeight="17790" tabRatio="940" xr2:uid="{00000000-000D-0000-FFFF-FFFF00000000}"/>
  </bookViews>
  <sheets>
    <sheet name="Rekapitulácia" sheetId="19" r:id="rId1"/>
    <sheet name="Rekapitulácia objektov" sheetId="20" r:id="rId2"/>
    <sheet name="001-00" sheetId="21" r:id="rId3"/>
    <sheet name="203-00" sheetId="18" r:id="rId4"/>
  </sheets>
  <definedNames>
    <definedName name="_xlnm.Print_Titles" localSheetId="2">'001-00'!$1:$4</definedName>
    <definedName name="_xlnm.Print_Titles" localSheetId="3">'203-00'!$1:$4</definedName>
    <definedName name="_xlnm.Print_Titles" localSheetId="1">'Rekapitulácia objektov'!$1:$3</definedName>
    <definedName name="_xlnm.Print_Area" localSheetId="2">'001-00'!$A$1:$J$32</definedName>
    <definedName name="_xlnm.Print_Area" localSheetId="3">'203-00'!$A$1:$J$643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5" i="21" l="1"/>
  <c r="J22" i="21" l="1"/>
  <c r="J19" i="21"/>
  <c r="J16" i="21"/>
  <c r="J13" i="21"/>
  <c r="J8" i="21"/>
  <c r="A8" i="21"/>
  <c r="J32" i="21" l="1"/>
  <c r="F5" i="19" s="1"/>
  <c r="A13" i="21"/>
  <c r="A16" i="21" s="1"/>
  <c r="J297" i="18"/>
  <c r="G5" i="19" l="1"/>
  <c r="A19" i="21"/>
  <c r="J193" i="18"/>
  <c r="J619" i="18"/>
  <c r="J638" i="18"/>
  <c r="J627" i="18"/>
  <c r="J614" i="18"/>
  <c r="J607" i="18"/>
  <c r="J603" i="18"/>
  <c r="J600" i="18"/>
  <c r="J587" i="18"/>
  <c r="J579" i="18"/>
  <c r="J563" i="18"/>
  <c r="J551" i="18"/>
  <c r="J546" i="18"/>
  <c r="J541" i="18"/>
  <c r="J534" i="18"/>
  <c r="J527" i="18"/>
  <c r="J518" i="18"/>
  <c r="J511" i="18"/>
  <c r="J503" i="18"/>
  <c r="J496" i="18"/>
  <c r="J493" i="18"/>
  <c r="J490" i="18"/>
  <c r="J484" i="18"/>
  <c r="J476" i="18"/>
  <c r="J469" i="18"/>
  <c r="J465" i="18"/>
  <c r="J453" i="18"/>
  <c r="J445" i="18"/>
  <c r="J434" i="18"/>
  <c r="J427" i="18"/>
  <c r="J417" i="18"/>
  <c r="J408" i="18"/>
  <c r="J403" i="18"/>
  <c r="J396" i="18"/>
  <c r="J391" i="18"/>
  <c r="J389" i="18"/>
  <c r="J380" i="18"/>
  <c r="J375" i="18"/>
  <c r="J372" i="18"/>
  <c r="J367" i="18"/>
  <c r="J360" i="18"/>
  <c r="J356" i="18"/>
  <c r="J347" i="18"/>
  <c r="J338" i="18"/>
  <c r="J329" i="18"/>
  <c r="J322" i="18"/>
  <c r="J313" i="18"/>
  <c r="J304" i="18"/>
  <c r="J290" i="18"/>
  <c r="J283" i="18"/>
  <c r="J267" i="18"/>
  <c r="J253" i="18"/>
  <c r="J235" i="18"/>
  <c r="J232" i="18"/>
  <c r="J225" i="18"/>
  <c r="J217" i="18"/>
  <c r="J209" i="18"/>
  <c r="J201" i="18"/>
  <c r="J184" i="18"/>
  <c r="J176" i="18"/>
  <c r="J165" i="18"/>
  <c r="J158" i="18"/>
  <c r="J150" i="18"/>
  <c r="J144" i="18"/>
  <c r="J135" i="18"/>
  <c r="J128" i="18"/>
  <c r="J116" i="18"/>
  <c r="J107" i="18"/>
  <c r="J102" i="18"/>
  <c r="J92" i="18"/>
  <c r="J78" i="18"/>
  <c r="J75" i="18"/>
  <c r="J71" i="18"/>
  <c r="J65" i="18"/>
  <c r="J62" i="18"/>
  <c r="J59" i="18"/>
  <c r="J56" i="18"/>
  <c r="J46" i="18"/>
  <c r="J39" i="18"/>
  <c r="J28" i="18"/>
  <c r="J16" i="18"/>
  <c r="J8" i="18"/>
  <c r="J643" i="18" l="1"/>
  <c r="E4" i="20" s="1"/>
  <c r="E5" i="20" s="1"/>
  <c r="F6" i="19" s="1"/>
  <c r="A22" i="21"/>
  <c r="A25" i="21" s="1"/>
  <c r="H5" i="19"/>
  <c r="F376" i="18"/>
  <c r="A8" i="18"/>
  <c r="A16" i="18" s="1"/>
  <c r="F358" i="18"/>
  <c r="F411" i="18"/>
  <c r="F21" i="18"/>
  <c r="F85" i="18"/>
  <c r="F34" i="18"/>
  <c r="F191" i="18"/>
  <c r="F132" i="18"/>
  <c r="F131" i="18"/>
  <c r="F162" i="18"/>
  <c r="F161" i="18"/>
  <c r="F163" i="18" s="1"/>
  <c r="F25" i="18"/>
  <c r="F24" i="18"/>
  <c r="F23" i="18"/>
  <c r="F22" i="18"/>
  <c r="F20" i="18"/>
  <c r="F19" i="18"/>
  <c r="F18" i="18"/>
  <c r="F17" i="18"/>
  <c r="F344" i="18"/>
  <c r="F494" i="18"/>
  <c r="F491" i="18"/>
  <c r="F498" i="18"/>
  <c r="F421" i="18"/>
  <c r="F414" i="18"/>
  <c r="F406" i="18"/>
  <c r="F87" i="18"/>
  <c r="F73" i="18"/>
  <c r="F86" i="18"/>
  <c r="F68" i="18"/>
  <c r="F89" i="18"/>
  <c r="F99" i="18"/>
  <c r="F94" i="18"/>
  <c r="F105" i="18"/>
  <c r="F442" i="18"/>
  <c r="F601" i="18"/>
  <c r="F605" i="18"/>
  <c r="F624" i="18"/>
  <c r="F623" i="18"/>
  <c r="F625" i="18" s="1"/>
  <c r="F622" i="18"/>
  <c r="F632" i="18"/>
  <c r="F631" i="18"/>
  <c r="F630" i="18"/>
  <c r="F617" i="18"/>
  <c r="F437" i="18"/>
  <c r="F394" i="18"/>
  <c r="F122" i="18"/>
  <c r="F121" i="18"/>
  <c r="F120" i="18"/>
  <c r="F113" i="18"/>
  <c r="F111" i="18"/>
  <c r="F88" i="18"/>
  <c r="F84" i="18"/>
  <c r="F83" i="18"/>
  <c r="F82" i="18"/>
  <c r="F81" i="18"/>
  <c r="F155" i="18"/>
  <c r="F153" i="18"/>
  <c r="F154" i="18"/>
  <c r="F141" i="18"/>
  <c r="F140" i="18"/>
  <c r="F147" i="18"/>
  <c r="F146" i="18"/>
  <c r="F139" i="18"/>
  <c r="F138" i="18"/>
  <c r="F137" i="18"/>
  <c r="F53" i="18"/>
  <c r="F67" i="18"/>
  <c r="F50" i="18"/>
  <c r="F48" i="18"/>
  <c r="F49" i="18"/>
  <c r="F60" i="18"/>
  <c r="F57" i="18"/>
  <c r="F98" i="18"/>
  <c r="F100" i="18" s="1"/>
  <c r="F96" i="18"/>
  <c r="F42" i="18"/>
  <c r="F41" i="18"/>
  <c r="F43" i="18"/>
  <c r="F76" i="18"/>
  <c r="F574" i="18"/>
  <c r="F575" i="18"/>
  <c r="F573" i="18"/>
  <c r="F567" i="18"/>
  <c r="F576" i="18"/>
  <c r="F569" i="18"/>
  <c r="F373" i="18"/>
  <c r="F585" i="18"/>
  <c r="F611" i="18"/>
  <c r="F478" i="18"/>
  <c r="F549" i="18"/>
  <c r="F544" i="18"/>
  <c r="F538" i="18"/>
  <c r="F537" i="18"/>
  <c r="F539" i="18" s="1"/>
  <c r="F531" i="18"/>
  <c r="F530" i="18"/>
  <c r="F524" i="18"/>
  <c r="F523" i="18"/>
  <c r="F522" i="18"/>
  <c r="F521" i="18"/>
  <c r="F557" i="18"/>
  <c r="F556" i="18"/>
  <c r="F555" i="18"/>
  <c r="F554" i="18"/>
  <c r="F276" i="18"/>
  <c r="F272" i="18"/>
  <c r="F262" i="18"/>
  <c r="F257" i="18"/>
  <c r="F243" i="18"/>
  <c r="F239" i="18"/>
  <c r="F641" i="18"/>
  <c r="F462" i="18"/>
  <c r="F460" i="18"/>
  <c r="F458" i="18"/>
  <c r="F456" i="18"/>
  <c r="F170" i="18"/>
  <c r="F169" i="18"/>
  <c r="F168" i="18"/>
  <c r="F212" i="18"/>
  <c r="F215" i="18"/>
  <c r="F206" i="18"/>
  <c r="F205" i="18"/>
  <c r="F204" i="18"/>
  <c r="F593" i="18"/>
  <c r="F594" i="18"/>
  <c r="F591" i="18"/>
  <c r="F590" i="18"/>
  <c r="F343" i="18"/>
  <c r="F342" i="18"/>
  <c r="F341" i="18"/>
  <c r="F340" i="18"/>
  <c r="F353" i="18"/>
  <c r="F352" i="18"/>
  <c r="F351" i="18"/>
  <c r="F350" i="18"/>
  <c r="F334" i="18"/>
  <c r="F335" i="18"/>
  <c r="F333" i="18"/>
  <c r="F332" i="18"/>
  <c r="F331" i="18"/>
  <c r="F450" i="18"/>
  <c r="F424" i="18"/>
  <c r="F420" i="18"/>
  <c r="F422" i="18" s="1"/>
  <c r="F413" i="18"/>
  <c r="F436" i="18"/>
  <c r="F438" i="18"/>
  <c r="F441" i="18"/>
  <c r="F430" i="18"/>
  <c r="F431" i="18"/>
  <c r="F429" i="18"/>
  <c r="F365" i="18"/>
  <c r="F370" i="18"/>
  <c r="F397" i="18"/>
  <c r="F301" i="18"/>
  <c r="F300" i="18"/>
  <c r="F293" i="18"/>
  <c r="F292" i="18"/>
  <c r="F286" i="18"/>
  <c r="F285" i="18"/>
  <c r="F287" i="18" s="1"/>
  <c r="F326" i="18"/>
  <c r="F325" i="18"/>
  <c r="F319" i="18"/>
  <c r="F318" i="18"/>
  <c r="F316" i="18"/>
  <c r="F315" i="18"/>
  <c r="F310" i="18"/>
  <c r="F309" i="18"/>
  <c r="F307" i="18"/>
  <c r="F306" i="18"/>
  <c r="F233" i="18"/>
  <c r="F229" i="18"/>
  <c r="F228" i="18"/>
  <c r="F230" i="18" s="1"/>
  <c r="F223" i="18"/>
  <c r="F220" i="18"/>
  <c r="F275" i="18"/>
  <c r="F277" i="18" s="1"/>
  <c r="F271" i="18"/>
  <c r="F261" i="18"/>
  <c r="F264" i="18" s="1"/>
  <c r="F263" i="18"/>
  <c r="F258" i="18"/>
  <c r="F256" i="18"/>
  <c r="F259" i="18" s="1"/>
  <c r="F250" i="18"/>
  <c r="F249" i="18"/>
  <c r="F242" i="18"/>
  <c r="F244" i="18" s="1"/>
  <c r="F238" i="18"/>
  <c r="F473" i="18"/>
  <c r="F472" i="18"/>
  <c r="F487" i="18"/>
  <c r="F486" i="18"/>
  <c r="F515" i="18"/>
  <c r="F514" i="18"/>
  <c r="F507" i="18"/>
  <c r="F506" i="18"/>
  <c r="F180" i="18"/>
  <c r="F182" i="18" s="1"/>
  <c r="F385" i="18"/>
  <c r="F474" i="18"/>
  <c r="F148" i="18"/>
  <c r="F345" i="18" l="1"/>
  <c r="F156" i="18"/>
  <c r="F633" i="18"/>
  <c r="F251" i="18"/>
  <c r="F570" i="18"/>
  <c r="F327" i="18"/>
  <c r="G6" i="19"/>
  <c r="F7" i="19"/>
  <c r="F508" i="18"/>
  <c r="F207" i="18"/>
  <c r="F44" i="18"/>
  <c r="F69" i="18"/>
  <c r="F488" i="18"/>
  <c r="F273" i="18"/>
  <c r="F142" i="18"/>
  <c r="F90" i="18"/>
  <c r="F320" i="18"/>
  <c r="F443" i="18"/>
  <c r="F425" i="18"/>
  <c r="F336" i="18"/>
  <c r="F354" i="18"/>
  <c r="F595" i="18"/>
  <c r="F558" i="18"/>
  <c r="F532" i="18"/>
  <c r="F51" i="18"/>
  <c r="F54" i="18" s="1"/>
  <c r="F265" i="18"/>
  <c r="F278" i="18"/>
  <c r="F463" i="18"/>
  <c r="F240" i="18"/>
  <c r="F245" i="18" s="1"/>
  <c r="F294" i="18"/>
  <c r="F123" i="18"/>
  <c r="F26" i="18"/>
  <c r="F516" i="18"/>
  <c r="F311" i="18"/>
  <c r="F302" i="18"/>
  <c r="F432" i="18"/>
  <c r="F439" i="18"/>
  <c r="F525" i="18"/>
  <c r="F577" i="18"/>
  <c r="F114" i="18"/>
  <c r="F133" i="18"/>
  <c r="F171" i="18"/>
  <c r="F415" i="18"/>
  <c r="A28" i="18"/>
  <c r="A39" i="18" s="1"/>
  <c r="H6" i="19" l="1"/>
  <c r="H7" i="19" s="1"/>
  <c r="G7" i="19"/>
  <c r="A46" i="18"/>
  <c r="A56" i="18" l="1"/>
  <c r="A59" i="18" l="1"/>
  <c r="A62" i="18" l="1"/>
  <c r="A65" i="18" l="1"/>
  <c r="A71" i="18" l="1"/>
  <c r="A75" i="18" l="1"/>
  <c r="A78" i="18" s="1"/>
  <c r="A92" i="18" s="1"/>
  <c r="A102" i="18" s="1"/>
  <c r="A107" i="18" s="1"/>
  <c r="A116" i="18" s="1"/>
  <c r="A128" i="18" s="1"/>
  <c r="A135" i="18" s="1"/>
  <c r="A144" i="18" s="1"/>
  <c r="A150" i="18" s="1"/>
  <c r="A158" i="18" s="1"/>
  <c r="A165" i="18" s="1"/>
  <c r="A176" i="18" s="1"/>
  <c r="A184" i="18" s="1"/>
  <c r="A193" i="18" s="1"/>
  <c r="A201" i="18" s="1"/>
  <c r="A209" i="18" s="1"/>
  <c r="A217" i="18" s="1"/>
  <c r="A225" i="18" s="1"/>
  <c r="A232" i="18" s="1"/>
  <c r="A235" i="18" s="1"/>
  <c r="A253" i="18" s="1"/>
  <c r="A267" i="18" s="1"/>
  <c r="A283" i="18" s="1"/>
  <c r="A290" i="18" s="1"/>
  <c r="A297" i="18" s="1"/>
  <c r="A304" i="18" s="1"/>
  <c r="A313" i="18" s="1"/>
  <c r="A322" i="18" s="1"/>
  <c r="A329" i="18" s="1"/>
  <c r="A338" i="18" s="1"/>
  <c r="A347" i="18" s="1"/>
  <c r="A356" i="18" s="1"/>
  <c r="A360" i="18" s="1"/>
  <c r="A367" i="18" s="1"/>
  <c r="A372" i="18" s="1"/>
  <c r="A375" i="18" s="1"/>
  <c r="A380" i="18" s="1"/>
  <c r="A389" i="18" s="1"/>
  <c r="A391" i="18" s="1"/>
  <c r="A396" i="18" s="1"/>
  <c r="A403" i="18" s="1"/>
  <c r="A408" i="18" s="1"/>
  <c r="A417" i="18" s="1"/>
  <c r="A427" i="18" s="1"/>
  <c r="A434" i="18" s="1"/>
  <c r="A445" i="18" s="1"/>
  <c r="A453" i="18" s="1"/>
  <c r="A465" i="18" s="1"/>
  <c r="A469" i="18" s="1"/>
  <c r="A476" i="18" s="1"/>
  <c r="A484" i="18" s="1"/>
  <c r="A490" i="18" s="1"/>
  <c r="A493" i="18" s="1"/>
  <c r="A496" i="18" s="1"/>
  <c r="A503" i="18" s="1"/>
  <c r="A511" i="18" s="1"/>
  <c r="A518" i="18" s="1"/>
  <c r="A527" i="18" s="1"/>
  <c r="A534" i="18" s="1"/>
  <c r="A541" i="18" s="1"/>
  <c r="A546" i="18" s="1"/>
  <c r="A551" i="18" s="1"/>
  <c r="A563" i="18" s="1"/>
  <c r="A579" i="18" s="1"/>
  <c r="A587" i="18" s="1"/>
  <c r="A600" i="18" s="1"/>
  <c r="A603" i="18" s="1"/>
  <c r="A607" i="18" s="1"/>
  <c r="A614" i="18" s="1"/>
  <c r="A619" i="18" s="1"/>
  <c r="A627" i="18" s="1"/>
  <c r="A638" i="18" s="1"/>
</calcChain>
</file>

<file path=xl/sharedStrings.xml><?xml version="1.0" encoding="utf-8"?>
<sst xmlns="http://schemas.openxmlformats.org/spreadsheetml/2006/main" count="925" uniqueCount="644">
  <si>
    <t>Konštrukcie z hornín - zásypy so zhutnením, tr. horniny 1-4</t>
  </si>
  <si>
    <t>t</t>
  </si>
  <si>
    <t>ks</t>
  </si>
  <si>
    <t>Izolácie proti vode a zemnej vlhkosti, bežných konštrukcií ochrannými a podkladnými textíliami</t>
  </si>
  <si>
    <t>Izolácie proti vode a zemnej vlhkosti, bežných konštrukcií ochrannými a podkladnými textíliami na ploche zvislej</t>
  </si>
  <si>
    <t>m2</t>
  </si>
  <si>
    <t>Konštrukcie z hornín - zásypy so zhutnením</t>
  </si>
  <si>
    <t>Izolácie proti vode a zemnej vlhkosti, mostoviek pásmi na ploche vodorovnej</t>
  </si>
  <si>
    <t>Izolácie proti vode a zemnej vlhkosti, mostoviek pásmi</t>
  </si>
  <si>
    <t>01040402</t>
  </si>
  <si>
    <t>0104040207</t>
  </si>
  <si>
    <t>m</t>
  </si>
  <si>
    <t>61010101</t>
  </si>
  <si>
    <t>6101010101</t>
  </si>
  <si>
    <t>6101010102</t>
  </si>
  <si>
    <t>Izolácie proti vode a zemnej vlhkosti, bežných konštrukcií náterivami a tmelmi na ploche vodorovnej</t>
  </si>
  <si>
    <t>Izolácie proti vode a zemnej vlhkosti, bežných konštrukcií náterivami a tmelmi na ploche zvislej</t>
  </si>
  <si>
    <t>61010105</t>
  </si>
  <si>
    <t>6101010502</t>
  </si>
  <si>
    <t>61010502</t>
  </si>
  <si>
    <t>6101050201</t>
  </si>
  <si>
    <t>Izolácie proti vode a zemnej vlhkosti, bežných konštrukcií náterivami a tmelmi</t>
  </si>
  <si>
    <t>m3</t>
  </si>
  <si>
    <t>84010807</t>
  </si>
  <si>
    <t>Náter omietok a betónových povrchov, farba epoxidová</t>
  </si>
  <si>
    <t>8401080703</t>
  </si>
  <si>
    <t>Náter omietok a betónových povrchov, farba epoxidová, mostoviek</t>
  </si>
  <si>
    <t>11200101</t>
  </si>
  <si>
    <t>Podkladné konštrukcie, podkladné vrstvy, z betónu prostého</t>
  </si>
  <si>
    <t>45.24.70</t>
  </si>
  <si>
    <t>Práce na hrubej stavbe úprav tokov, hrádzí, zavlažovacích kanálov a akvaduktov</t>
  </si>
  <si>
    <t>31210303</t>
  </si>
  <si>
    <t>Spevnené plochy, dlažby z  lomového  kameňa</t>
  </si>
  <si>
    <t>3121030302</t>
  </si>
  <si>
    <t>Spevnené plochy, dlažby z lomového kameňa na cementovú maltu</t>
  </si>
  <si>
    <t>45.26.14</t>
  </si>
  <si>
    <t>Izolačné práce proti vode</t>
  </si>
  <si>
    <t>45.26.22</t>
  </si>
  <si>
    <t>Základové práce a vŕtanie vodných studní</t>
  </si>
  <si>
    <t>02010309</t>
  </si>
  <si>
    <t>Zlepšovanie základovej pôdy, trativody kompletné z potrubia plastického</t>
  </si>
  <si>
    <t>11050202</t>
  </si>
  <si>
    <t>Zvislé konštrukcie inžinierskych stavieb, opory z betónu železového</t>
  </si>
  <si>
    <t>1105020207</t>
  </si>
  <si>
    <t>Zvislé konštrukcie inžinierskych stavieb, opory z betónu železového, tr. C 30/37 (B 35)</t>
  </si>
  <si>
    <t>11050211</t>
  </si>
  <si>
    <t>Zvislé konštrukcie inžinierskych stavieb, opory, debnenie tradičné</t>
  </si>
  <si>
    <t>1105021101</t>
  </si>
  <si>
    <t>Zvislé konštrukcie inžinierskych stavieb, opory, debnenie tradičné drevené</t>
  </si>
  <si>
    <t>11050221</t>
  </si>
  <si>
    <t>Zvislé konštrukcie inžinierskych stavieb, opory, výstuž z betonárskej ocele</t>
  </si>
  <si>
    <t>1105022106</t>
  </si>
  <si>
    <t>Zvislé konštrukcie inžinierskych stavieb, opory, výstuž z betonárskej ocele 10505</t>
  </si>
  <si>
    <t>11050602</t>
  </si>
  <si>
    <t>Zvislé konštrukcie inžinierskych stavieb, rímsy z betónu železového</t>
  </si>
  <si>
    <t>1105060208</t>
  </si>
  <si>
    <t>Zvislé konštrukcie inžinierskych stavieb, rímsy z betónu železového, tr. C 35/45 (B 45)</t>
  </si>
  <si>
    <t>11050611</t>
  </si>
  <si>
    <t>1105061101</t>
  </si>
  <si>
    <t>11050621</t>
  </si>
  <si>
    <t>1105062106</t>
  </si>
  <si>
    <t>11080102</t>
  </si>
  <si>
    <t>11080111</t>
  </si>
  <si>
    <t>Vodorovné nosné konštrukcie inžinierskych stavieb, prechodové dosky, debnenie tradičné</t>
  </si>
  <si>
    <t>1108011101</t>
  </si>
  <si>
    <t>Vodorovné nosné konštrukcie inžinierskych stavieb, prechodové dosky, debnenie tradičné drevené</t>
  </si>
  <si>
    <t>11080121</t>
  </si>
  <si>
    <t>Vodorovné nosné konštrukcie inžinierskych stavieb, prechodové dosky, výstuž z betonárskej ocele</t>
  </si>
  <si>
    <t>1108012106</t>
  </si>
  <si>
    <t>Vodorovné nosné konštrukcie inžinierskych stavieb, prechodové dosky, výstuž z betonárskej ocele 10505</t>
  </si>
  <si>
    <t>11080211</t>
  </si>
  <si>
    <t>1108021101</t>
  </si>
  <si>
    <t>11080221</t>
  </si>
  <si>
    <t>1108022106</t>
  </si>
  <si>
    <t>45.44.20</t>
  </si>
  <si>
    <t>Nanášanie ochranných vrstiev - maliarske a natieračské práce</t>
  </si>
  <si>
    <t>ČASŤ STAVBY :</t>
  </si>
  <si>
    <t>KS:</t>
  </si>
  <si>
    <t>POLOŽKA</t>
  </si>
  <si>
    <t>VÝKAZ VÝMER</t>
  </si>
  <si>
    <t>M.J.</t>
  </si>
  <si>
    <t>MNOŽ.</t>
  </si>
  <si>
    <t>Č.</t>
  </si>
  <si>
    <t>KÓD SP</t>
  </si>
  <si>
    <t>KÓD SPP</t>
  </si>
  <si>
    <t>KÓD CPV</t>
  </si>
  <si>
    <t>45.00.00</t>
  </si>
  <si>
    <t>45.22.11</t>
  </si>
  <si>
    <t>Všeobecné položky v procese obstarávania stavieb</t>
  </si>
  <si>
    <t>00010403</t>
  </si>
  <si>
    <t>Zmluvné požiadavky poplatky za skládky zeminy</t>
  </si>
  <si>
    <t>01060202</t>
  </si>
  <si>
    <t>Premiestnenie  , vodorovné do 1 000 m</t>
  </si>
  <si>
    <t>0106020201</t>
  </si>
  <si>
    <t>Premiestnenie  výkopku resp. rúbaniny, vodorovné do 1 000 m, tr. horniny 1-4</t>
  </si>
  <si>
    <t>01060204</t>
  </si>
  <si>
    <t>Premiestnenie  vodorovné nad 3 000 m</t>
  </si>
  <si>
    <t>0106020401</t>
  </si>
  <si>
    <t>Premiestnenie  výkopku resp. rúbaniny, vodorovné nad 3 000 m, tr. horniny 1-4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</si>
  <si>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</si>
  <si>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</si>
  <si>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</si>
  <si>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</si>
  <si>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01030102</t>
  </si>
  <si>
    <t>Hĺbené vykopávky jám nezapažených</t>
  </si>
  <si>
    <t>0103010207</t>
  </si>
  <si>
    <t>Hĺbené vykopávky jám nezapažených, tr. horniny 1-4</t>
  </si>
  <si>
    <t>01030201</t>
  </si>
  <si>
    <t>Hĺbené vykopávky rýh š. do 600 mm</t>
  </si>
  <si>
    <t>0103020107</t>
  </si>
  <si>
    <t>Hĺbené vykopávky rýh š. do 600 mm, tr. horniny 1-4</t>
  </si>
  <si>
    <t xml:space="preserve">45.11.24 </t>
  </si>
  <si>
    <t>Výkopové práce</t>
  </si>
  <si>
    <t>45.11.25</t>
  </si>
  <si>
    <t>Presun zemín</t>
  </si>
  <si>
    <t>Stavebné práce na mostoch</t>
  </si>
  <si>
    <t>Zvislé konštrukcie inžinierskych stavieb, rímsy, debnenie tradičné</t>
  </si>
  <si>
    <t>Zvislé konštrukcie inžinierskych stavieb, rímsy, debnenie tradičné drevené</t>
  </si>
  <si>
    <t>Zvislé konštrukcie inžinierskych stavieb, rímsy, výstuž z betonárskej ocele</t>
  </si>
  <si>
    <t>Zvislé konštrukcie inžinierskych stavieb, rímsy, výstuž z betonárskej ocele 10505</t>
  </si>
  <si>
    <t xml:space="preserve">Vodorovné nosné konštrukcie inžinierskych stavieb, prechodové dosky z betónu železového </t>
  </si>
  <si>
    <t>Vodorovné nosné konštrukcie inžinierskych stavieb, mostné dosky, debnenie tradičné</t>
  </si>
  <si>
    <t>Vodorovné nosné konštrukcie inžinierskych stavieb, mostné dosky, debnenie tradičné drevené</t>
  </si>
  <si>
    <t>Vodorovné nosné konštrukcie inžinierskych stavieb, mostné dosky, výstuž z betonárskej ocele</t>
  </si>
  <si>
    <t>Vodorovné nosné konštrukcie inžinierskych stavieb, mostné dosky, výstuž z betonárskej ocele 10505</t>
  </si>
  <si>
    <t>21080409</t>
  </si>
  <si>
    <t>Vodorovné nosné konštrukcie, kĺby a ložiská, kĺb zo železobetónu</t>
  </si>
  <si>
    <t>2108040901</t>
  </si>
  <si>
    <t>Vodorovné nosné konštrukcie, kĺby a ložiská, kĺb zo železobetónu, zvislé zaťaženie do 1 MN</t>
  </si>
  <si>
    <t>21200116</t>
  </si>
  <si>
    <t>Podkladné a vedľajšie konštrukcie, výplň za oporami a protimrazové kliny zo štrkopiesku</t>
  </si>
  <si>
    <t>21250106</t>
  </si>
  <si>
    <t>Doplňujúce konštrukcie, zvodidlá oceľové</t>
  </si>
  <si>
    <t>2125010602</t>
  </si>
  <si>
    <t>Doplňujúce konštrukcie, zvodidlá oceľové zábradeľné</t>
  </si>
  <si>
    <t>21250906</t>
  </si>
  <si>
    <t>Doplňujúce konštrukcie, drobné zariadenia oceľové</t>
  </si>
  <si>
    <t>22010102</t>
  </si>
  <si>
    <t>Podkladné a krycie vrstvy bez spojiva nestmelené, štrkopiesok</t>
  </si>
  <si>
    <t>22030330</t>
  </si>
  <si>
    <t>Podkladné a krycie vrstvy z asfaltových zmesí, bitúmenové postreky, nátery, posypy spojovací postrek</t>
  </si>
  <si>
    <t>22040852</t>
  </si>
  <si>
    <t>2204085201</t>
  </si>
  <si>
    <t>22250184</t>
  </si>
  <si>
    <t>Doplňujúce konštrukcie,  zábradlie , plastové</t>
  </si>
  <si>
    <t>2225018401</t>
  </si>
  <si>
    <t>Doplňujúce konštrukcie, zábradlie plastové, mostov a múrov</t>
  </si>
  <si>
    <t>22250671</t>
  </si>
  <si>
    <t>Doplňujúce konštrukcie,  zvislé dopravné značky, normálny alebo zväčšený rozmer</t>
  </si>
  <si>
    <t>2225067106</t>
  </si>
  <si>
    <t>Doplňujúce konštrukcie,  zvislé dopravné značky, normálny alebo zväčšený rozmer hliníkové reflexné</t>
  </si>
  <si>
    <t>22250980</t>
  </si>
  <si>
    <t>Doplňujúce konštrukcie,  obrubníky chodníkové</t>
  </si>
  <si>
    <t>2225098001</t>
  </si>
  <si>
    <t>Doplňujúce konštrukcie,  obrubníky chodníkové betónové</t>
  </si>
  <si>
    <t>45.23.32</t>
  </si>
  <si>
    <t>Práce na vrchnej stavbe diaľníc, ciest, ulíc, chodníkov a nekrytých parkovísk</t>
  </si>
  <si>
    <t>45.23.33</t>
  </si>
  <si>
    <t>Práce na spodnej stavby diaľnic, ciest, ulíc a chodníkov a nekrytých parkovísk</t>
  </si>
  <si>
    <t>spolu</t>
  </si>
  <si>
    <t>zemina na spätné zásypy  - odvoz na medziskládku a späť</t>
  </si>
  <si>
    <t>spolu na medziskládku</t>
  </si>
  <si>
    <t>z medziskládky</t>
  </si>
  <si>
    <t>zemina na spätné zásypy z medziskládky</t>
  </si>
  <si>
    <t>podkladný betón</t>
  </si>
  <si>
    <t>OCEĽ B 500B</t>
  </si>
  <si>
    <t>opora 1</t>
  </si>
  <si>
    <t>trny pre prechodovú dosku s povrchovou úpravou podľa PD</t>
  </si>
  <si>
    <t>pracovné škáry vyplnené pružným tmelom vrátane penetračného náteru na zvýšenie priľnavosti</t>
  </si>
  <si>
    <t>kĺb prechodovej dosky</t>
  </si>
  <si>
    <t>(kotevné platne je potrebné osadiť do vrstvy plastmalty a utesniť tmelom)</t>
  </si>
  <si>
    <t>s povrchovou úpravou podľa PD</t>
  </si>
  <si>
    <t>kotevné platne je potrebné osadiť do vrstvy plastmalty a utesniť tmelom</t>
  </si>
  <si>
    <t>Kryty dláždené,chodníkov komunikácií,rigolov - úprava škár pri opravách a vyplnenie škár elastickou zálievkou</t>
  </si>
  <si>
    <t>Kryty dláždené,chodníkov komunikácií,rigolov - úprava škár pri opravách a vyplnenie škár elastickou zálievkou s predtesnením</t>
  </si>
  <si>
    <t>kompozitné zábradlie na obslužnom schodisku (s nerezovými kotevnými platňami)</t>
  </si>
  <si>
    <t>evidenčné číslo mosta - osadené na moste</t>
  </si>
  <si>
    <t>za mostnými krídlami</t>
  </si>
  <si>
    <t>podklad pod obslužné schodisko</t>
  </si>
  <si>
    <t>dlažba hr.200mm</t>
  </si>
  <si>
    <t>1x PN+2xAN</t>
  </si>
  <si>
    <t>plošná drenáž rubu mostných opôr</t>
  </si>
  <si>
    <t>mostná izolácia</t>
  </si>
  <si>
    <t xml:space="preserve">ochrana mostnej izolácie </t>
  </si>
  <si>
    <t>zapečaťujúca vrstva mostovky</t>
  </si>
  <si>
    <t>11200201</t>
  </si>
  <si>
    <t>Podkladné konštrukcie, tesniace vrstvy, prahy, z betónu prostého</t>
  </si>
  <si>
    <t>1120020107</t>
  </si>
  <si>
    <t>Podkladné konštrukcie, tesniace vrstvy, prahy z betónu prostého, tr. C 30/37 (B 35)</t>
  </si>
  <si>
    <t>11200211</t>
  </si>
  <si>
    <t>Podkladné konštrukcie, tesniace vrstvy, prahy, debnenie tradičné</t>
  </si>
  <si>
    <t>1120021101</t>
  </si>
  <si>
    <t>Podkladné konštrukcie, tesniace vrstvy, prahy, debnenie tradičné drevené</t>
  </si>
  <si>
    <t>11010101</t>
  </si>
  <si>
    <t>Základy, pásy z betónu prostého</t>
  </si>
  <si>
    <t>1101010107</t>
  </si>
  <si>
    <t>Základy, pásy z betónu prostého, tr. C 30/37 (B 35)</t>
  </si>
  <si>
    <t>podklad pod dlažbu hr.100mm</t>
  </si>
  <si>
    <t>1120010106</t>
  </si>
  <si>
    <t>Podkladné konštrukcie, podkladné vrstvy z betónu prostého, tr. C 25/30 (B 30)</t>
  </si>
  <si>
    <t>11090201</t>
  </si>
  <si>
    <t>Schodiskové konštrukcie, stupne z betónu prostého</t>
  </si>
  <si>
    <t>1109020106</t>
  </si>
  <si>
    <t>Schodiskové konštrukcie, stupne z betónu prostého, tr. C 25/30 (B 30)</t>
  </si>
  <si>
    <t>11090211</t>
  </si>
  <si>
    <t>Schodiskové konštrukcie, stupne, debnenie tradičné</t>
  </si>
  <si>
    <t>1109021101</t>
  </si>
  <si>
    <t>Schodiskové konštrukcie, stupne, debnenie tradičné drevené</t>
  </si>
  <si>
    <t>obslužné schodisko pri opore</t>
  </si>
  <si>
    <t>úprava potoka</t>
  </si>
  <si>
    <t xml:space="preserve">spojenie ložnej a obrusnej vrstvy vozovky </t>
  </si>
  <si>
    <t>2203033003</t>
  </si>
  <si>
    <t>Podkladné a krycie vrstvy z asfaltových zmesí, bitúmenové postreky, nátery, posypy spojovací postrek z emulzie</t>
  </si>
  <si>
    <t>22030329</t>
  </si>
  <si>
    <t>Podkladné a krycie vrstvy z asfaltových zmesí, bitúmenové postreky, nátery, posypy infiltračný postrek</t>
  </si>
  <si>
    <t>2203032903</t>
  </si>
  <si>
    <t>Podkladné a krycie vrstvy z asfaltových zmesí, bitúmenové postreky, nátery, posypy infiltračný postrek z emulzie</t>
  </si>
  <si>
    <t xml:space="preserve">spojenie izolácie a ložnej vrstvy vozovky </t>
  </si>
  <si>
    <t>22030640</t>
  </si>
  <si>
    <t>Podkladné a krycie vrstvy z asfaltových zmesí, bitúmenové vrstvy, asfaltový betón</t>
  </si>
  <si>
    <t>ložná vrstva vozovky - Acl 16-II</t>
  </si>
  <si>
    <t>obrusná vrstva vozovky - Aco 11-II</t>
  </si>
  <si>
    <t>45.11.11</t>
  </si>
  <si>
    <t>Demolačné práce</t>
  </si>
  <si>
    <t>05010202</t>
  </si>
  <si>
    <t>Búranie konštrukcií muriva, priečok, pilierov,prekladov kamenných</t>
  </si>
  <si>
    <t>05010405</t>
  </si>
  <si>
    <t>Búranie konštrukcií trámov, nosníkov, prievlakov, konzolových prvkov železobetónových</t>
  </si>
  <si>
    <t>05010401</t>
  </si>
  <si>
    <t>Búranie konštrukcií trámov, nosníkov, prievlakov, konzolových prvkov z dielcov prefabrikovaných</t>
  </si>
  <si>
    <t>05010205</t>
  </si>
  <si>
    <t>Búranie konštrukcií muriva, priečok, pilierov,prekladov železobetónových</t>
  </si>
  <si>
    <t>05030407</t>
  </si>
  <si>
    <t>Odstránenie spevnených plôch vozoviek a doplňujúcich konštrukcií zvodidiel, zábradlia, stien, oplotení kovových</t>
  </si>
  <si>
    <t>05080200</t>
  </si>
  <si>
    <t>Doprava vybúraných hmôt vodorovná</t>
  </si>
  <si>
    <t>0508020003</t>
  </si>
  <si>
    <t>Doprava vybúraných hmôt vodorovná, nad 1 km</t>
  </si>
  <si>
    <t>05090362</t>
  </si>
  <si>
    <t>Doplňujúce práce, frézovanie bitúmenového krytu, podkladu</t>
  </si>
  <si>
    <t>0509036203</t>
  </si>
  <si>
    <t>Doplňujúce práce, frézovanie bitúmenového krytu, podkladu hr. 40 mm</t>
  </si>
  <si>
    <t>0509036204</t>
  </si>
  <si>
    <t>Doplňujúce práce, frézovanie bitúmenového krytu, podkladu hr. 50 mm</t>
  </si>
  <si>
    <t>pracovné a dilatačné škáry vyplnené pružným tmelom a opatrené izoláciou v zmysle PD</t>
  </si>
  <si>
    <t>opora 1 = 1,885*0,60+2,243*0,10*2 =</t>
  </si>
  <si>
    <t>opora 3 = 1,963*0,60+2,346*0,10*2 =</t>
  </si>
  <si>
    <t>vystužené KARI sieťou = 40,14 kg</t>
  </si>
  <si>
    <t>opora 1 = 2,243*2+(2,243-1,885)*2+0,165*0,60*14+3,165*0,80 =</t>
  </si>
  <si>
    <t>opora 3 = 2,346*2+(2,346-1,963)*2+0,165*0,60*14+3,165*0,80 =</t>
  </si>
  <si>
    <t>opora 1 = 0,85*0,80+1,12*2*5,80 =</t>
  </si>
  <si>
    <t>opora 3 = 0,90*0,80+1,12*2*6,10 =</t>
  </si>
  <si>
    <t>opora 1 = 4,10+4,90+4,35*1,12 =</t>
  </si>
  <si>
    <t>opora 3 = 4,10+4,90+4,75*1,12 =</t>
  </si>
  <si>
    <t>úložný prah = 5,41*1,50+7,18*0,523+0,035*8,60-0,077*7,0 =</t>
  </si>
  <si>
    <t>opora 3</t>
  </si>
  <si>
    <t>úložný prah = 5,41*1,50+6,71*0,523+0,035*8,60-0,077*7,0 =</t>
  </si>
  <si>
    <t>1105020208</t>
  </si>
  <si>
    <t>Zvislé konštrukcie inžinierskych stavieb, opory z betónu železového, tr. C 35/45 (B 45)</t>
  </si>
  <si>
    <t>podložiskové bloky opôr</t>
  </si>
  <si>
    <t>opora 1 = (0,239+0,323)/2*0,50*0,40*10 =</t>
  </si>
  <si>
    <t>opora 3 = (0,239+0,323)/2*0,50*0,40*10 =</t>
  </si>
  <si>
    <t xml:space="preserve">úložný prah = 12,48*2+1,39*2 = </t>
  </si>
  <si>
    <t>podložiskové bloky = ((0,50+0,40)*2*(0,239+0,323)/2)*10 =</t>
  </si>
  <si>
    <t xml:space="preserve">úložný prah = 11,87*2+1,39*2 = </t>
  </si>
  <si>
    <t>úložný prah = 2352,52*0,001 =</t>
  </si>
  <si>
    <t>11050102</t>
  </si>
  <si>
    <t>Zvislé konštrukcie inžinierskych stavieb, piliere z betónu železového</t>
  </si>
  <si>
    <t>1105010207</t>
  </si>
  <si>
    <t>Zvislé konštrukcie inžinierskych stavieb, piliere z betónu železového, tr. C 30/37 (B 35)</t>
  </si>
  <si>
    <t>pilier 2</t>
  </si>
  <si>
    <t>úložný prah = (0,60+0,623)/2*1,50*8,80 =</t>
  </si>
  <si>
    <t>1105010208</t>
  </si>
  <si>
    <t>Zvislé konštrukcie inžinierskych stavieb, piliere z betónu železového, tr. C 35/45 (B 45)</t>
  </si>
  <si>
    <t>podložiskové bloky = (0,239+0,323)/2*0,60*0,40*10*2 =</t>
  </si>
  <si>
    <t>11050111</t>
  </si>
  <si>
    <t>Zvislé konštrukcie inžinierskych stavieb, piliere, debnenie tradičné</t>
  </si>
  <si>
    <t>1105011101</t>
  </si>
  <si>
    <t>Zvislé konštrukcie inžinierskych stavieb, piliere, debnenie tradičné drevené</t>
  </si>
  <si>
    <t>úložný prah = 0,60*8,80*2+(0,60+0,623)/2*1,50*2+8,80*1,50-7,40*1,0 =</t>
  </si>
  <si>
    <t>podložiskové bloky = ((0,60+0,40)*2*(0,239+0,323)/2)*10*2 =</t>
  </si>
  <si>
    <t>11050121</t>
  </si>
  <si>
    <t>Zvislé konštrukcie inžinierskych stavieb, piliere, výstuž z betonárskej ocele</t>
  </si>
  <si>
    <t>pilier 2 = 3499,65*0,001 =</t>
  </si>
  <si>
    <t>1108010206</t>
  </si>
  <si>
    <t>Vodorovné nosné konštrukcie inžinierskych stavieb, prechodové dosky  z betónu železového, tr. C 25/30 (B 30)</t>
  </si>
  <si>
    <t>opora 1 = 0,73*6,96 =</t>
  </si>
  <si>
    <t>opora 3 = 0,73*6,96 =</t>
  </si>
  <si>
    <t>podkladný betón C 12/15</t>
  </si>
  <si>
    <t>opora 1 = 0,14*7,16 =</t>
  </si>
  <si>
    <t>opora 3 = 0,14*7,16 =</t>
  </si>
  <si>
    <t>opora 1 = 6,96*0,24+0,73*2 =</t>
  </si>
  <si>
    <t>opora 3 = 6,96*0,24+0,73*2 =</t>
  </si>
  <si>
    <t>opora 1 = 12,85*0,10 =</t>
  </si>
  <si>
    <t>opora 3 = 12,85*0,10 =</t>
  </si>
  <si>
    <t>opora 1 = 658,63*0,001 =</t>
  </si>
  <si>
    <t>opora 3 = 658,63*0,001 =</t>
  </si>
  <si>
    <t>R2 = 0,37*24,40 =</t>
  </si>
  <si>
    <t>R1 = 0,37*24,40 =</t>
  </si>
  <si>
    <t>R1 = 0,37*2+1,37*24,40 =</t>
  </si>
  <si>
    <t>R2 = 0,37*2+1,37*24,40 =</t>
  </si>
  <si>
    <t>lešenie pod debnenie rímsy: 24,40*2=48,80 m</t>
  </si>
  <si>
    <t>R1 = 1001,70*0,001 =</t>
  </si>
  <si>
    <t>R2 = 1001,62*0,001 =</t>
  </si>
  <si>
    <t>kotvenie rímsy (hmotnosť 4,80 kg/ks) = 32+34 =</t>
  </si>
  <si>
    <t>úroveň zachytenia H2</t>
  </si>
  <si>
    <t xml:space="preserve">R1 </t>
  </si>
  <si>
    <t xml:space="preserve">R2 </t>
  </si>
  <si>
    <t>6,96*2 =</t>
  </si>
  <si>
    <t>21080407</t>
  </si>
  <si>
    <t>Vodorovné nosné konštrukcie, kĺby a ložiská elastomerové a gumené</t>
  </si>
  <si>
    <t>2108040701</t>
  </si>
  <si>
    <t>Vodorovné nosné konštrukcie, kĺby a ložiská elastomerové a gumené, zvislé zaťaženie do 1 MN</t>
  </si>
  <si>
    <t>opora 1 - 200x300x52mm</t>
  </si>
  <si>
    <t>pilier 2 - 200x400x52mm</t>
  </si>
  <si>
    <t>opora 3 - 200x300x52mm</t>
  </si>
  <si>
    <t>21250320</t>
  </si>
  <si>
    <t>Doplňujúce konštrukcie, odvodnenie mostov, odvodňovače</t>
  </si>
  <si>
    <t>22030643</t>
  </si>
  <si>
    <t>Podkladné a krycie vrstvy z asfaltových zmesí, bitúmenové vrstvy, asfaltový koberec drenážny</t>
  </si>
  <si>
    <t>2203064302</t>
  </si>
  <si>
    <t>Podkladné a krycie vrstvy z asfaltových zmesí, bitúmenové vrstvy, asfaltový koberec drenážny z plastbetónu</t>
  </si>
  <si>
    <t>v osi odvodnenia a pri MZ = 38,0*0,10 =</t>
  </si>
  <si>
    <t>na odvodňov.tvarovkách = 0,50*0,50*2 =</t>
  </si>
  <si>
    <t>okolo odvodňovačov = (0,45+0,65)*2*4*0,15 =</t>
  </si>
  <si>
    <t>2204085202</t>
  </si>
  <si>
    <t>Kryty dláždené,chodníkov komunikácií,rigolov - úprava škár pri opravách a vyplnenie škár elastickou zálievkou bez predtesnenia</t>
  </si>
  <si>
    <t>okolo odvodňovačov = (0,33+0,53)*2*4 =</t>
  </si>
  <si>
    <t>styk prechodovej dosky a opory = 6,96*2 =</t>
  </si>
  <si>
    <t>styk rímsy a vozovky = 24,40*2 =</t>
  </si>
  <si>
    <t>na moste = 17,0*7,50 =</t>
  </si>
  <si>
    <t>na moste = 17,0*7,50*0,040 =</t>
  </si>
  <si>
    <t>na moste = 17,0*7,50*0,045 =</t>
  </si>
  <si>
    <t xml:space="preserve">opora 1 = </t>
  </si>
  <si>
    <t xml:space="preserve">opora 3 = </t>
  </si>
  <si>
    <t>11080202</t>
  </si>
  <si>
    <t>Vodorovné nosné konštrukcie inžinierskych stavieb, mostné dosky z betónu železového</t>
  </si>
  <si>
    <t>1108020208</t>
  </si>
  <si>
    <t>Vodorovné nosné konštrukcie inžinierskych stavieb, mostné dosky  z betónu železového, tr. C 35/45 (B 45)</t>
  </si>
  <si>
    <t>objem medzi prefabrikátmi a spriah.doskou = 0,150*9*8,10*2 =</t>
  </si>
  <si>
    <t>priečnik op.1 = 0,08*8,235 =</t>
  </si>
  <si>
    <t>priečnik pil.2 = 0,16*8,235 =</t>
  </si>
  <si>
    <t>priečnik op.3 = 0,08*8,235 =</t>
  </si>
  <si>
    <t>spriahovacia doska = 1,078*17,0 =</t>
  </si>
  <si>
    <t>spriahovacia doska = 1779,04*0,001 =</t>
  </si>
  <si>
    <t>priečnik op.1 = 311,72*0,001 =</t>
  </si>
  <si>
    <t>priečnik pil.2 = 552,01*0,001 =</t>
  </si>
  <si>
    <t>priečnik op.3 = 311,72*0,001 =</t>
  </si>
  <si>
    <t>spriahovacia doska = 1,078*2+0,25*17,0*2 =</t>
  </si>
  <si>
    <t>priečnik op.1 = (0,40+0,410)/2*(0,20+8,070+0,20) =</t>
  </si>
  <si>
    <t>priečnik op.3 = (0,40+0,410)/2*(0,20+8,070+0,20) =</t>
  </si>
  <si>
    <t>priečnik pil.2 =  (0,40+0,410)/2*(0,20+8,070+0,20) =</t>
  </si>
  <si>
    <t>na NK = 8,40*17,0 =</t>
  </si>
  <si>
    <t>na prechodových doskách = 5,90*2*1,40 =</t>
  </si>
  <si>
    <t>pod rímsami = 17,0*0,70*2 =</t>
  </si>
  <si>
    <t>11010121</t>
  </si>
  <si>
    <t>Základy, pásy, výstuž z betonárskej ocele</t>
  </si>
  <si>
    <t>1101012106</t>
  </si>
  <si>
    <t>Základy, pásy, výstuž z betonárskej ocele 10505</t>
  </si>
  <si>
    <t>sanácia spodnej stavby</t>
  </si>
  <si>
    <t>1101012107</t>
  </si>
  <si>
    <t>Základy, pásy, výstuž z betonárskej ocele zo zváraných sietí</t>
  </si>
  <si>
    <t>opora 1 = 0,76*7,90+(1,893+1,908)*0,75*1,40 =</t>
  </si>
  <si>
    <t>pilier 2 = 0,65*2*7,40+2,296*0,40*1,40*2 =</t>
  </si>
  <si>
    <t>opora 3 = 0,76*8,20+1,906*0,589*1,40+1,894*0,615*1,40 =</t>
  </si>
  <si>
    <t>230,40m2*12,29kg/m2*0,001 =</t>
  </si>
  <si>
    <t>373,23kg*0,001 =</t>
  </si>
  <si>
    <t>01070101</t>
  </si>
  <si>
    <t>Paženie, resp.zaistenie výrubu v podzemí vykopávok príložné</t>
  </si>
  <si>
    <t>0107010100</t>
  </si>
  <si>
    <t>Paženie, resp.zaistenie výrubu v podzemí vykopávok príložné, z dielcov bez ohľadu na materiál</t>
  </si>
  <si>
    <t>opora 1 =</t>
  </si>
  <si>
    <t>opora 1 = 15,0*1,40 =</t>
  </si>
  <si>
    <t>pilier 2 = 24,15*1,40 =</t>
  </si>
  <si>
    <t>opora 3 = 14,75*1,40 =</t>
  </si>
  <si>
    <t>(vrátane osadenia 2ks odvetrávacích tvaroviek)</t>
  </si>
  <si>
    <t>22250362</t>
  </si>
  <si>
    <t>2225036201</t>
  </si>
  <si>
    <t>Doplňujúce konštrukcie, zvodidlá oceľové s jednou zvodnicou</t>
  </si>
  <si>
    <t>2,0*26 =</t>
  </si>
  <si>
    <t>opora 1 - vľavo (napojenie na pôvodné zvodidlo)</t>
  </si>
  <si>
    <t>opora 1 - vpravo (dlhý výškový nábeh + zapustenie)</t>
  </si>
  <si>
    <t>10,0+3,116+1,59+4,0+3,0 =</t>
  </si>
  <si>
    <t>opora 3 - vľavo (krátky výškový nábeh + zapustenie)</t>
  </si>
  <si>
    <t>2,0+3,0+2,554+0,985*2 =</t>
  </si>
  <si>
    <t>opora 3 - vpravo (krátky výškový nábeh + zapustenie)</t>
  </si>
  <si>
    <t>6,0+1,777+2,554+0,985*2 =</t>
  </si>
  <si>
    <t>8,40*17,0 =</t>
  </si>
  <si>
    <t>krídla = 1,08*2,60+1,08*3,050 =</t>
  </si>
  <si>
    <t>krídla = 1,07*3,40+1,07*2,950 =</t>
  </si>
  <si>
    <t>krídla = 3,62*2+1,08+3,65*2+1,08 =</t>
  </si>
  <si>
    <t>krídla = 4,07*2+1,07+4,01*2+1,07 =</t>
  </si>
  <si>
    <t>krídla = (424,03+497,75)*0,001 =</t>
  </si>
  <si>
    <t>krídla = (533,84+465,80)*0,001 =</t>
  </si>
  <si>
    <t>výstuž krídel vrátane  chem.lepených kotiev = 17+20+22+19 = 78ks</t>
  </si>
  <si>
    <t>výstuž úložných prahov vrátane  chem.lepených kotiev = 17+20+22+19 = 78ks</t>
  </si>
  <si>
    <t>za krídlami opôr = (1,30+2,10)*2 =</t>
  </si>
  <si>
    <t>pozdĺž mostných krídel = (1,40+2,20+10,40+1,40)*1,12 =</t>
  </si>
  <si>
    <t>úprava potoka (vodorovná) = 161,40-36,40+6,90+7,20 =</t>
  </si>
  <si>
    <t>úprava potoka (v sklone) = (42,75+52,30+36,40-14,10)*1,12 =</t>
  </si>
  <si>
    <t>za krídlami opôr = (1,30+2,10)*2*0,10 =</t>
  </si>
  <si>
    <t>pozdĺž mostných krídel = (1,40+2,20+10,40+1,40)*1,12*0,10 =</t>
  </si>
  <si>
    <t>úprava potoka (vodorovná) = (161,40-36,40+6,90+7,20)*0,10 =</t>
  </si>
  <si>
    <t>úprava potoka (v sklone) = (42,75+52,30+36,40-14,10)*1,12*0,10 =</t>
  </si>
  <si>
    <t>pozdĺžne = (17,90+25,40+18,30)*0,225 =</t>
  </si>
  <si>
    <t>priečne = ((2,20+2,40+3,0+2,60)*1,12+8,0+8,40)*0,225 =</t>
  </si>
  <si>
    <t>pozdĺžne = (17,90+25,40+18,30)*0,50*2 =</t>
  </si>
  <si>
    <t>priečne = ((2,20+2,40+3,0+2,60)*1,12+8,0+8,40)*0,50*2 =</t>
  </si>
  <si>
    <t>31200303</t>
  </si>
  <si>
    <t>Podkladné konštrukcie, zaisťovací prah, pätka z lomového kameňa</t>
  </si>
  <si>
    <t>3120030302</t>
  </si>
  <si>
    <t>Podkladné konštrukcie, zaisťovací prah, pätka z lomového kameňa na cementovú maltu</t>
  </si>
  <si>
    <t>priečne = ((0,50+2,15+2,95+3,0)*1,12+6,0+7,90)*0,30 =</t>
  </si>
  <si>
    <t>31210103</t>
  </si>
  <si>
    <t>Spevnené plochy, zahádzky z lomového kameňa</t>
  </si>
  <si>
    <t>3121010302</t>
  </si>
  <si>
    <t>Spevnené plochy, zahádzky z lomového kameňa nad 200 kg</t>
  </si>
  <si>
    <t>úprava potoka - ťažký kamenný zához</t>
  </si>
  <si>
    <t>(50,0+21,0+(18,0+9,70+7,20+7,50)*1,12)*0,60 =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</si>
  <si>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</si>
  <si>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</si>
  <si>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</si>
  <si>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</si>
  <si>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>žľaby od vyústenia drenáže do úpravy potoka = (3,0*2,70)*1,12 =</t>
  </si>
  <si>
    <t>vrátane betónového lôžka hr.100mm</t>
  </si>
  <si>
    <t>0201030906</t>
  </si>
  <si>
    <t>Zlepšovanie základovej pôdy, trativody kompletné z potrubia plastického DN 160 mm</t>
  </si>
  <si>
    <t>02010221</t>
  </si>
  <si>
    <t>Zlepšovanie základovej pôdy, lôžko pre trativody a vankúše pod základy, z betónu prosteho</t>
  </si>
  <si>
    <t>opora 3 =</t>
  </si>
  <si>
    <t>(vrátane prestupov cez mostné krídla)</t>
  </si>
  <si>
    <t>15080208</t>
  </si>
  <si>
    <t>Vodorovné nosné konštrukcie pre mostné stavby, nosníky z dielcov žel. betónových predpätých</t>
  </si>
  <si>
    <t>(čistý objem betónu)</t>
  </si>
  <si>
    <t>0,50m2*7,50*2 =</t>
  </si>
  <si>
    <t>prechodové dosky = 6,96*3,0*2 =</t>
  </si>
  <si>
    <t>prechodové dosky = 6,96*0,24*2+0,73*4 =</t>
  </si>
  <si>
    <t>pilier 2 = 22,05-8,35 =</t>
  </si>
  <si>
    <t>opora 1 = 16,70*1,90 =</t>
  </si>
  <si>
    <t>opora 3 = 16,40*1,90 =</t>
  </si>
  <si>
    <t>pilier 2 = 23,80*1,90 =</t>
  </si>
  <si>
    <t>zábradlie na moste = 24,40*2 =</t>
  </si>
  <si>
    <t>časť krídel, opôr a piliera</t>
  </si>
  <si>
    <t>opora 1 = 10,90*0,15*0,30+3,0*2*0,30 =</t>
  </si>
  <si>
    <t>opora 3 = 11,20*0,20*0,30+4,25*2*0,30 =</t>
  </si>
  <si>
    <t>pilier 2 = (8,20+1,0)*2*0,15*0,30 =</t>
  </si>
  <si>
    <t>vozovka na moste = 15,40*6,70 =</t>
  </si>
  <si>
    <t>prefabrikáty NK = 0,14*18,20*12+0,195*18,20*2 =</t>
  </si>
  <si>
    <t>rímsa = 0,30*2*24,40 =</t>
  </si>
  <si>
    <t>nosná konštrukcia</t>
  </si>
  <si>
    <t>pilier 2 = 8,10*1,0*0,56-0,83 =</t>
  </si>
  <si>
    <t>opora 1 = 0,90*7,90+3,0*0,90*2-2,29 =</t>
  </si>
  <si>
    <t>opora 3 = 0,95*8,20+4,25*0,80*2-3,22 =</t>
  </si>
  <si>
    <t>05030261</t>
  </si>
  <si>
    <t>Odstránenie spevnených plôch vozoviek a doplňujúcich konštrukcií podkladov z betónu prostého</t>
  </si>
  <si>
    <t>0503026102</t>
  </si>
  <si>
    <t>Odstránenie spevnených plôch vozoviek a doplňujúcich konštrukcií podkladov z betónu prostého hr. nad 100 do 200 mm</t>
  </si>
  <si>
    <t>vyrovnávací betón na moste hr.100-160mm = 7,625*18,20 =</t>
  </si>
  <si>
    <t>5,0*18,20-37,67 =</t>
  </si>
  <si>
    <t>opora 1 = 3,95m2*14,80 =</t>
  </si>
  <si>
    <t>pilier 2 = 2*1,50m2*7,40+2*1,50m2*2 =</t>
  </si>
  <si>
    <t>opora 3 = 3,10m2*13,60 =</t>
  </si>
  <si>
    <t>ryha pre betónové pätky = 0,40*0,50*88,80 =</t>
  </si>
  <si>
    <t>ryha pre kamenné pätky = 0,50*0,60*(8,60+13,90) =</t>
  </si>
  <si>
    <t>dlažba úpravy toku = 261,40m2*0,75 =</t>
  </si>
  <si>
    <t>kamenný zához = 0,60*(42,50+81,5) =</t>
  </si>
  <si>
    <t xml:space="preserve">zásyp spodnej stavby </t>
  </si>
  <si>
    <t>pilier 2 = 2*0,75m2*7,40+2*0,75m2*2 =</t>
  </si>
  <si>
    <t>opora 1 = 3,40m2*14,80 =</t>
  </si>
  <si>
    <t>opora 3 = 2,35m2*13,60 =</t>
  </si>
  <si>
    <t xml:space="preserve"> </t>
  </si>
  <si>
    <t>(skládka vzdialená 18km)</t>
  </si>
  <si>
    <t xml:space="preserve">kamenná časť spodnej stavby = 6,34m3*1,905t/m3 = </t>
  </si>
  <si>
    <t>železobetón spodná stavba + NK = 78,63m3*2,40t/m3 =</t>
  </si>
  <si>
    <t>prefabrikáty NK = 37,67m3*2,50t/m3 =</t>
  </si>
  <si>
    <t>žb.rímsa = 14,64m3*2,40t/m3 =</t>
  </si>
  <si>
    <t>zábradlie = 48,80m*0,042t/m =</t>
  </si>
  <si>
    <t>odvoz prebytočnej zeminy na skládku (18km)</t>
  </si>
  <si>
    <t>výkopy nezapažené</t>
  </si>
  <si>
    <t>výkopy rýh</t>
  </si>
  <si>
    <t>odpočet spätných zásypov</t>
  </si>
  <si>
    <t xml:space="preserve">spätný zásyp spodnej stavby </t>
  </si>
  <si>
    <t>00010401</t>
  </si>
  <si>
    <t>Zmluvné požiadavky poplatky za skládky vybúraných hmôt a sutí</t>
  </si>
  <si>
    <t>prebytočná zemina</t>
  </si>
  <si>
    <t>05090502</t>
  </si>
  <si>
    <t>Doplňujúce práce, vŕtanie do betónu</t>
  </si>
  <si>
    <t>cm</t>
  </si>
  <si>
    <t>0509050201</t>
  </si>
  <si>
    <t>Doplňujúce práce, vŕtanie do betónu stien</t>
  </si>
  <si>
    <t>05090503</t>
  </si>
  <si>
    <t>Doplňujúce práce, vŕtanie do železobetónu</t>
  </si>
  <si>
    <t>0509050301</t>
  </si>
  <si>
    <t>Doplňujúce práce, vŕtanie do železobetónu stien</t>
  </si>
  <si>
    <t>sanácia spodnej stavby - priem.vrtu 18mm</t>
  </si>
  <si>
    <t>20,0cm*584ks =</t>
  </si>
  <si>
    <t>mostné krídla - priem.vrtu 20mm</t>
  </si>
  <si>
    <t>25,0cm*78ks =</t>
  </si>
  <si>
    <t>priem.vrtu 22mm</t>
  </si>
  <si>
    <t>opora 1 = 61,0cm*53ks =</t>
  </si>
  <si>
    <t>opora 3 = 61,0cm*53ks =</t>
  </si>
  <si>
    <t>pilier 2 = 61cm*47ks =</t>
  </si>
  <si>
    <t xml:space="preserve">pohyb ±10 mm </t>
  </si>
  <si>
    <t>9,10*2 =</t>
  </si>
  <si>
    <t>pri MZ = 9,10*2*2 =</t>
  </si>
  <si>
    <t>02061004</t>
  </si>
  <si>
    <t>Spevňovanie hornín a konštrukcií, očistenie plôch pieskom</t>
  </si>
  <si>
    <t>0206100401</t>
  </si>
  <si>
    <t>Spevňovanie hornín a konštrukcií, očistenie plôch pieskom, stien</t>
  </si>
  <si>
    <t>02061081</t>
  </si>
  <si>
    <t>Spevňovanie hornín a konštrukcií, očistenie plôch vodou</t>
  </si>
  <si>
    <t>0206108101</t>
  </si>
  <si>
    <t>Spevňovanie hornín a konštrukcií, očistenie plôch vodou, stien</t>
  </si>
  <si>
    <t>02061119</t>
  </si>
  <si>
    <t>Spevňovanie hornín a konštrukcií, škárovanie, zamurovanie kameňom</t>
  </si>
  <si>
    <t>0206111902</t>
  </si>
  <si>
    <t>Spevňovanie hornín a konštrukcií, škárovanie, zamurovanie kameňom skalnej steny, kameňa riadkového, kvádrového, lomového</t>
  </si>
  <si>
    <t>obrokovanie povrchu spriahovacej dosky</t>
  </si>
  <si>
    <t>očistenie pôvodného kamenného muriva opôr a pilera</t>
  </si>
  <si>
    <t>pilier 2 = (7,40+1,20)*2*2,70 =</t>
  </si>
  <si>
    <t>škárovanie pôvodného kamenného muriva po očistení vodou</t>
  </si>
  <si>
    <t>opora 1 = 7,90*2,50+5,70*2 =</t>
  </si>
  <si>
    <t>opora 3 = 8,20*2,50+6,50*2 =</t>
  </si>
  <si>
    <t>lôžko pod drenáž za oporami</t>
  </si>
  <si>
    <t>6,20*2*0,10 =</t>
  </si>
  <si>
    <t>02010205</t>
  </si>
  <si>
    <t>Zlepšovanie základovej pôdy, lôžko pre trativody a vankúše pod základy, z ílu</t>
  </si>
  <si>
    <t>6,20*2*0,30 =</t>
  </si>
  <si>
    <t>(geotextília s CBR min.2,5kN)</t>
  </si>
  <si>
    <t>styk starej a novej cestnej vozovky = 15,0+7,50 =</t>
  </si>
  <si>
    <t>05090462</t>
  </si>
  <si>
    <t>Doplňujúce práce, diamantové rezanie bitúmenového krytu, podkladu</t>
  </si>
  <si>
    <t>0509046203</t>
  </si>
  <si>
    <t>Doplňujúce práce, diamantové rezanie bitúmenového krytu, podkladu hr. nad 100 do 150 mm</t>
  </si>
  <si>
    <t>rezanie cestnej vozovky</t>
  </si>
  <si>
    <t>15,0+7,50 =</t>
  </si>
  <si>
    <t>0509036201</t>
  </si>
  <si>
    <t>Doplňujúce práce, frézovanie bitúmenového krytu, podkladu hr. 20 mm</t>
  </si>
  <si>
    <t>vozovka na ceste = 67,0+38,50 =</t>
  </si>
  <si>
    <t>vozovka na ceste = (67,0+38,50)*2 =</t>
  </si>
  <si>
    <t>vyfrézovaný materiál = 105,50*0,051+103,18*0,102+314,18*0,127 =</t>
  </si>
  <si>
    <t>vozovka na ceste hr.180mm = 29,20+25,40 =</t>
  </si>
  <si>
    <t>vyrovnávací betón + betón cestnej vozovky = 193,38m2*0,440t/m2 =</t>
  </si>
  <si>
    <t>05030264</t>
  </si>
  <si>
    <t>Odstránenie spevnených plôch vozoviek a doplňujúcich konštrukcií podkladov z kameniva hrubého drveného</t>
  </si>
  <si>
    <t>vozovka na ceste hr.240mm = 20,60+19,0 =</t>
  </si>
  <si>
    <t>kamenivo cestnej vozovky = 39,60m2*0,40t/m2 =</t>
  </si>
  <si>
    <t>0503026403</t>
  </si>
  <si>
    <t>Odstránenie spevnených plôch vozoviek a doplňujúcich konštrukcií podkladov z kameniva hrubého drveného hr. nad 200 do 300 mm</t>
  </si>
  <si>
    <t>na ceste = 29,20+25,40 =</t>
  </si>
  <si>
    <t>na ceste = 67,0+38,50 =</t>
  </si>
  <si>
    <t>na ceste = (67,0+38,50)*0,050 =</t>
  </si>
  <si>
    <t>22030539</t>
  </si>
  <si>
    <t>Podkladné a krycie vrstvy z asfaltových zmesí s bitúmenovým spojivom, kamenivo obaľované asfaltom</t>
  </si>
  <si>
    <t>2203053902</t>
  </si>
  <si>
    <t>Podkladné a krycie vrstvy z asfaltových zmesí s bitúmenovým spojivom, kamenivo obaľované asfaltom triedy II</t>
  </si>
  <si>
    <t>vozovka na ceste = (67,0+38,50)*0,070 =</t>
  </si>
  <si>
    <t>22010104</t>
  </si>
  <si>
    <t>Podkladné a krycie vrstvy bez spojiva nestmelené, štrkodrva</t>
  </si>
  <si>
    <t>vozovka na ceste = (20,60+19,0)*0,240 =</t>
  </si>
  <si>
    <t>22010204</t>
  </si>
  <si>
    <t>Podkladné a krycie vrstvy bez spojiva, spevnenie krajníc, štrkodrva</t>
  </si>
  <si>
    <t>(18,90+29,30+13,10)*0,10 =</t>
  </si>
  <si>
    <t>škáry medzi nosníkmi = 8,10*2*0,10*9 =</t>
  </si>
  <si>
    <t>etapa 2 = (0,20+1,20)/2*(23,20+17,30) =</t>
  </si>
  <si>
    <t>etapa 3 = (0,20+1,20)/2*(20,30+17,0) =</t>
  </si>
  <si>
    <t>01020800</t>
  </si>
  <si>
    <t>Odkopávky a prekopávky z vody</t>
  </si>
  <si>
    <t>0102080007</t>
  </si>
  <si>
    <t>Odkopávky a prekopávky z vody, tr. horniny 1-4</t>
  </si>
  <si>
    <t>dočasné ohrádzky z toku</t>
  </si>
  <si>
    <t>dočasné ohrádzky v toku</t>
  </si>
  <si>
    <t>dočasné ochranné ohrádzky v toku počas rekonštrukcie piliera 2 (zemina s prímesou ílovej hliny)</t>
  </si>
  <si>
    <t>05020907</t>
  </si>
  <si>
    <t>Vybúranie konštrukcií a demontáže, rôznych predmetov kovových</t>
  </si>
  <si>
    <t>mostné odvodňovače</t>
  </si>
  <si>
    <t>mostné odvodňovače = 4ks*0,100t/ks =</t>
  </si>
  <si>
    <t>2203064002</t>
  </si>
  <si>
    <t>Podkladné a krycie vrstvy z asfaltových zmesí, bitúmenové vrstvy, asfaltový betón  triedy II</t>
  </si>
  <si>
    <t>01040702</t>
  </si>
  <si>
    <t>Konštrukcie z hornín - hrádze so zhutnením</t>
  </si>
  <si>
    <t>0104070207</t>
  </si>
  <si>
    <t>Konštrukcie z hornín - hrádze so zhutnením, tr.horniny 1-4</t>
  </si>
  <si>
    <t>s vyplnením epoxidovým tmelom</t>
  </si>
  <si>
    <t>0,241m2*8,10*4+0,187m2*8,10*16 =</t>
  </si>
  <si>
    <t>Dopravné značenie - dočasné (prenosné)</t>
  </si>
  <si>
    <t>kpl</t>
  </si>
  <si>
    <t>I. etapa</t>
  </si>
  <si>
    <t>dočasné zvislé dopravné značenie v zmysle PD: 20 kusov</t>
  </si>
  <si>
    <t>prekrytie existujúcich dopravných značiek v zmysle PD: 2 kusy</t>
  </si>
  <si>
    <t>II. etapa</t>
  </si>
  <si>
    <t>dočasné zvislé dopravné značenie v zmysle PD: 21 kusov</t>
  </si>
  <si>
    <t>prekrytie existujúcich dopravných značiek v zmysle PD: 1 kus</t>
  </si>
  <si>
    <t>21200241</t>
  </si>
  <si>
    <t>Podkladné a vedľajšie konštrukcie pod mostnými ložiskami, plastbetón</t>
  </si>
  <si>
    <t>0,25*0,35*10*2+,25*0,45*20 =</t>
  </si>
  <si>
    <t>21250427</t>
  </si>
  <si>
    <t>Doplňujúce konštrukcie, dilatačné zariadenia, mostné závery elastické</t>
  </si>
  <si>
    <t>2125042705</t>
  </si>
  <si>
    <t>Doplňujúce konštrukcie, dilatačné zariadenia, mostné závery elastické D do 0,044 m2</t>
  </si>
  <si>
    <t>203-00  Most ev. č. 2561-5, C III/2561 v km 9,116</t>
  </si>
  <si>
    <t>00000111</t>
  </si>
  <si>
    <t>J. CENA BEZ DPH</t>
  </si>
  <si>
    <t>CENA CELKOM BEZ DPH</t>
  </si>
  <si>
    <t>Celkom za 203-00 - Most ev. č. 2561-5, C III/2561 v km 9,116</t>
  </si>
  <si>
    <t>REKAPITULÁCIA</t>
  </si>
  <si>
    <t>Cena spolu bez DPH v €</t>
  </si>
  <si>
    <t>DPH 20%</t>
  </si>
  <si>
    <t>Cena s DPH v €</t>
  </si>
  <si>
    <t>Časti stavby</t>
  </si>
  <si>
    <t>Navrhovaná zmluvná cena (Akceptovaná zmluvná hodnota)</t>
  </si>
  <si>
    <t>Číslo časti stavby</t>
  </si>
  <si>
    <t>Klasifikácia stavieb</t>
  </si>
  <si>
    <t>Názov časti stavby</t>
  </si>
  <si>
    <t xml:space="preserve">    </t>
  </si>
  <si>
    <t>Celkový súčet bez DPH  v €</t>
  </si>
  <si>
    <t>001-00  Všeobecné položky</t>
  </si>
  <si>
    <t>00000102</t>
  </si>
  <si>
    <t>Zariadenie staveniska</t>
  </si>
  <si>
    <t>- zriadenie</t>
  </si>
  <si>
    <t>- prevádzka (3 mesiace)</t>
  </si>
  <si>
    <t>- odstránenie</t>
  </si>
  <si>
    <t>00000105</t>
  </si>
  <si>
    <t>Dokumentácia pre vykonanie prác</t>
  </si>
  <si>
    <t>00000106</t>
  </si>
  <si>
    <t>Dokumentácia skutočného vyhotovenia</t>
  </si>
  <si>
    <t>00000107</t>
  </si>
  <si>
    <t>Poistenie diela</t>
  </si>
  <si>
    <t xml:space="preserve"> - zabezpečiť v zmysle zmluvných podmienok</t>
  </si>
  <si>
    <t>00000108</t>
  </si>
  <si>
    <t>Fotodokumentácia, video</t>
  </si>
  <si>
    <t xml:space="preserve"> - náklady na fotodokumentáciu alebo na video postupu výstavby v zmysle zmluvy o dielo</t>
  </si>
  <si>
    <t>Celkom za 001-00 - Všeobecné položky</t>
  </si>
  <si>
    <t xml:space="preserve">203-00    </t>
  </si>
  <si>
    <t xml:space="preserve">Most ev. č. 2561-5, C III/2561 v km 9,116    </t>
  </si>
  <si>
    <t>203-00    Most ev. č. 2561-5, C III/2561 v km 9,116</t>
  </si>
  <si>
    <t>Cena bez DPH v €</t>
  </si>
  <si>
    <t>REKAPITULÁCIA OBJEKTOV</t>
  </si>
  <si>
    <t>00000109</t>
  </si>
  <si>
    <t>Obnova komunikácií po výstavbe</t>
  </si>
  <si>
    <t>- frézovanie hr. 50 mm</t>
  </si>
  <si>
    <t>- odvoz fréz. materiálu správcovi komunikácie</t>
  </si>
  <si>
    <t>- spojovací postrek katiónaktívny emulzný 0,50 kg/m2, PS CB</t>
  </si>
  <si>
    <t>- asfaltový betón pre obrusnú vrstvu Aco 11-II hr. 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</si>
</sst>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0000000"/>
    <numFmt numFmtId="165" formatCode="0000000000"/>
    <numFmt numFmtId="166" formatCode="#,##0.000"/>
    <numFmt numFmtId="167" formatCode="#,##0.0"/>
    <numFmt numFmtId="168" formatCode="#"/>
    <numFmt numFmtId="169" formatCode="###\ ###\ ###\ ##0.00"/>
  </numFmts>
  <fonts count="1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sz val="10"/>
      <name val="AT*Switzerland Narrow"/>
      <charset val="238"/>
    </font>
    <font>
      <b/>
      <sz val="12"/>
      <name val="Arial CE"/>
      <family val="2"/>
      <charset val="238"/>
    </font>
    <font>
      <b/>
      <i/>
      <sz val="10"/>
      <name val="Arial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rgb="FF000000"/>
      <name val="Ariel"/>
      <charset val="238"/>
    </font>
    <font>
      <sz val="9"/>
      <color rgb="FF000000"/>
      <name val="Ariel"/>
      <charset val="238"/>
    </font>
    <font>
      <b/>
      <sz val="11"/>
      <color theme="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FF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0" fillId="0" borderId="0">
      <alignment horizontal="center" vertical="center" wrapText="1"/>
    </xf>
    <xf numFmtId="0" fontId="4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16" fillId="3" borderId="0"/>
    <xf numFmtId="0" fontId="17" fillId="0" borderId="0"/>
    <xf numFmtId="0" fontId="16" fillId="0" borderId="0"/>
    <xf numFmtId="0" fontId="2" fillId="0" borderId="0"/>
  </cellStyleXfs>
  <cellXfs count="260">
    <xf numFmtId="0" fontId="0" fillId="0" borderId="0" xfId="0"/>
    <xf numFmtId="0" fontId="9" fillId="0" borderId="0" xfId="3" applyNumberFormat="1" applyFont="1" applyFill="1" applyBorder="1" applyAlignment="1" applyProtection="1">
      <alignment horizontal="left" vertical="top" wrapText="1" indent="1"/>
      <protection hidden="1"/>
    </xf>
    <xf numFmtId="0" fontId="2" fillId="0" borderId="0" xfId="0" applyFont="1" applyFill="1" applyBorder="1" applyAlignment="1" applyProtection="1">
      <alignment horizontal="left" vertical="top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Protection="1">
      <protection hidden="1"/>
    </xf>
    <xf numFmtId="0" fontId="6" fillId="0" borderId="0" xfId="0" applyFont="1" applyFill="1" applyProtection="1">
      <protection hidden="1"/>
    </xf>
    <xf numFmtId="4" fontId="2" fillId="0" borderId="0" xfId="0" applyNumberFormat="1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4" fontId="2" fillId="0" borderId="0" xfId="0" applyNumberFormat="1" applyFont="1" applyFill="1" applyBorder="1" applyAlignment="1" applyProtection="1">
      <alignment vertical="top"/>
      <protection hidden="1"/>
    </xf>
    <xf numFmtId="0" fontId="2" fillId="0" borderId="0" xfId="0" applyFont="1" applyFill="1" applyProtection="1">
      <protection hidden="1"/>
    </xf>
    <xf numFmtId="0" fontId="2" fillId="0" borderId="3" xfId="0" applyFont="1" applyFill="1" applyBorder="1" applyAlignment="1" applyProtection="1">
      <alignment horizontal="left"/>
      <protection hidden="1"/>
    </xf>
    <xf numFmtId="1" fontId="2" fillId="0" borderId="0" xfId="0" applyNumberFormat="1" applyFont="1" applyFill="1" applyBorder="1" applyAlignment="1" applyProtection="1">
      <alignment horizontal="left" vertical="top"/>
      <protection hidden="1"/>
    </xf>
    <xf numFmtId="0" fontId="2" fillId="0" borderId="3" xfId="0" applyFont="1" applyFill="1" applyBorder="1" applyAlignment="1" applyProtection="1">
      <alignment horizontal="center"/>
      <protection hidden="1"/>
    </xf>
    <xf numFmtId="4" fontId="2" fillId="0" borderId="0" xfId="0" applyNumberFormat="1" applyFont="1" applyFill="1" applyBorder="1" applyAlignment="1" applyProtection="1">
      <alignment horizontal="right" vertical="top"/>
      <protection hidden="1"/>
    </xf>
    <xf numFmtId="0" fontId="2" fillId="0" borderId="4" xfId="0" applyFont="1" applyFill="1" applyBorder="1" applyAlignment="1" applyProtection="1">
      <alignment horizontal="centerContinuous"/>
      <protection hidden="1"/>
    </xf>
    <xf numFmtId="0" fontId="2" fillId="0" borderId="5" xfId="0" applyFont="1" applyFill="1" applyBorder="1" applyAlignment="1" applyProtection="1">
      <alignment horizontal="center" vertical="top"/>
      <protection hidden="1"/>
    </xf>
    <xf numFmtId="0" fontId="2" fillId="0" borderId="6" xfId="0" applyFont="1" applyFill="1" applyBorder="1" applyAlignment="1" applyProtection="1">
      <alignment horizontal="center"/>
      <protection hidden="1"/>
    </xf>
    <xf numFmtId="0" fontId="3" fillId="0" borderId="7" xfId="0" applyFont="1" applyFill="1" applyBorder="1" applyAlignment="1" applyProtection="1">
      <alignment horizontal="center" vertical="top" wrapText="1"/>
      <protection hidden="1"/>
    </xf>
    <xf numFmtId="0" fontId="3" fillId="0" borderId="8" xfId="0" applyFont="1" applyFill="1" applyBorder="1" applyAlignment="1" applyProtection="1">
      <alignment horizontal="center" vertical="top" wrapText="1"/>
      <protection hidden="1"/>
    </xf>
    <xf numFmtId="0" fontId="2" fillId="0" borderId="8" xfId="0" applyFont="1" applyFill="1" applyBorder="1" applyAlignment="1" applyProtection="1">
      <alignment horizontal="center" vertical="top" wrapText="1"/>
      <protection hidden="1"/>
    </xf>
    <xf numFmtId="0" fontId="2" fillId="0" borderId="9" xfId="0" applyFont="1" applyFill="1" applyBorder="1" applyAlignment="1" applyProtection="1">
      <alignment horizontal="center" vertical="top" wrapText="1"/>
      <protection hidden="1"/>
    </xf>
    <xf numFmtId="4" fontId="2" fillId="0" borderId="10" xfId="0" applyNumberFormat="1" applyFont="1" applyFill="1" applyBorder="1" applyAlignment="1" applyProtection="1">
      <alignment vertical="top" wrapText="1"/>
      <protection hidden="1"/>
    </xf>
    <xf numFmtId="0" fontId="2" fillId="0" borderId="8" xfId="0" quotePrefix="1" applyFont="1" applyFill="1" applyBorder="1" applyAlignment="1" applyProtection="1">
      <alignment horizontal="center" vertical="top" wrapText="1"/>
      <protection hidden="1"/>
    </xf>
    <xf numFmtId="4" fontId="2" fillId="0" borderId="16" xfId="0" applyNumberFormat="1" applyFont="1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center" vertical="top"/>
      <protection hidden="1"/>
    </xf>
    <xf numFmtId="0" fontId="3" fillId="0" borderId="1" xfId="0" applyFont="1" applyFill="1" applyBorder="1" applyAlignment="1" applyProtection="1">
      <alignment vertical="top" wrapText="1"/>
      <protection hidden="1"/>
    </xf>
    <xf numFmtId="164" fontId="3" fillId="0" borderId="1" xfId="0" applyNumberFormat="1" applyFont="1" applyFill="1" applyBorder="1" applyAlignment="1" applyProtection="1">
      <alignment horizontal="left" vertical="top" wrapText="1"/>
      <protection hidden="1"/>
    </xf>
    <xf numFmtId="165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0" fontId="2" fillId="0" borderId="1" xfId="0" quotePrefix="1" applyFont="1" applyFill="1" applyBorder="1" applyAlignment="1" applyProtection="1">
      <alignment horizontal="center" vertical="center"/>
      <protection hidden="1"/>
    </xf>
    <xf numFmtId="4" fontId="2" fillId="0" borderId="12" xfId="0" applyNumberFormat="1" applyFont="1" applyFill="1" applyBorder="1" applyAlignment="1" applyProtection="1">
      <alignment horizontal="center" vertical="center"/>
      <protection hidden="1"/>
    </xf>
    <xf numFmtId="49" fontId="3" fillId="0" borderId="1" xfId="0" quotePrefix="1" applyNumberFormat="1" applyFont="1" applyFill="1" applyBorder="1" applyAlignment="1" applyProtection="1">
      <alignment horizontal="left" vertical="top"/>
      <protection hidden="1"/>
    </xf>
    <xf numFmtId="49" fontId="3" fillId="0" borderId="1" xfId="0" applyNumberFormat="1" applyFont="1" applyFill="1" applyBorder="1" applyAlignment="1" applyProtection="1">
      <alignment horizontal="left" vertical="top"/>
      <protection hidden="1"/>
    </xf>
    <xf numFmtId="0" fontId="3" fillId="0" borderId="0" xfId="0" applyFont="1" applyFill="1" applyAlignment="1" applyProtection="1">
      <alignment vertical="top" wrapText="1"/>
      <protection hidden="1"/>
    </xf>
    <xf numFmtId="0" fontId="3" fillId="0" borderId="0" xfId="0" applyFont="1" applyFill="1" applyAlignment="1" applyProtection="1">
      <alignment wrapText="1"/>
      <protection hidden="1"/>
    </xf>
    <xf numFmtId="0" fontId="3" fillId="0" borderId="1" xfId="0" applyFont="1" applyFill="1" applyBorder="1" applyAlignment="1" applyProtection="1">
      <alignment horizontal="center" vertical="top"/>
      <protection hidden="1"/>
    </xf>
    <xf numFmtId="4" fontId="3" fillId="0" borderId="12" xfId="0" applyNumberFormat="1" applyFont="1" applyFill="1" applyBorder="1" applyAlignment="1" applyProtection="1">
      <alignment vertical="top" wrapText="1"/>
      <protection hidden="1"/>
    </xf>
    <xf numFmtId="0" fontId="3" fillId="0" borderId="1" xfId="0" applyFont="1" applyFill="1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0" fontId="9" fillId="0" borderId="0" xfId="0" applyFont="1" applyFill="1" applyAlignment="1" applyProtection="1">
      <alignment vertical="top" wrapText="1"/>
      <protection hidden="1"/>
    </xf>
    <xf numFmtId="4" fontId="7" fillId="0" borderId="13" xfId="0" applyNumberFormat="1" applyFont="1" applyFill="1" applyBorder="1" applyAlignment="1" applyProtection="1">
      <alignment horizontal="right" wrapText="1"/>
      <protection hidden="1"/>
    </xf>
    <xf numFmtId="0" fontId="2" fillId="0" borderId="1" xfId="0" quotePrefix="1" applyFont="1" applyFill="1" applyBorder="1" applyAlignment="1" applyProtection="1">
      <alignment horizontal="center" vertical="top" wrapText="1"/>
      <protection hidden="1"/>
    </xf>
    <xf numFmtId="3" fontId="2" fillId="0" borderId="12" xfId="0" applyNumberFormat="1" applyFont="1" applyFill="1" applyBorder="1" applyAlignment="1" applyProtection="1">
      <alignment horizontal="center" vertical="top" wrapText="1"/>
      <protection hidden="1"/>
    </xf>
    <xf numFmtId="49" fontId="7" fillId="0" borderId="0" xfId="0" applyNumberFormat="1" applyFont="1" applyFill="1" applyAlignment="1" applyProtection="1">
      <alignment horizontal="left" vertical="top" wrapText="1" indent="1"/>
      <protection hidden="1"/>
    </xf>
    <xf numFmtId="4" fontId="3" fillId="0" borderId="0" xfId="0" applyNumberFormat="1" applyFont="1" applyFill="1" applyBorder="1" applyAlignment="1" applyProtection="1">
      <alignment vertical="top" wrapText="1"/>
      <protection hidden="1"/>
    </xf>
    <xf numFmtId="3" fontId="3" fillId="0" borderId="12" xfId="0" applyNumberFormat="1" applyFont="1" applyFill="1" applyBorder="1" applyAlignment="1" applyProtection="1">
      <alignment vertical="top" wrapText="1"/>
      <protection hidden="1"/>
    </xf>
    <xf numFmtId="4" fontId="3" fillId="0" borderId="12" xfId="0" applyNumberFormat="1" applyFont="1" applyFill="1" applyBorder="1" applyAlignment="1" applyProtection="1">
      <alignment vertical="top"/>
      <protection hidden="1"/>
    </xf>
    <xf numFmtId="0" fontId="2" fillId="0" borderId="2" xfId="0" applyFont="1" applyFill="1" applyBorder="1" applyAlignment="1" applyProtection="1">
      <alignment wrapText="1"/>
      <protection hidden="1"/>
    </xf>
    <xf numFmtId="0" fontId="3" fillId="0" borderId="1" xfId="0" applyFont="1" applyFill="1" applyBorder="1" applyAlignment="1" applyProtection="1">
      <alignment wrapText="1"/>
      <protection hidden="1"/>
    </xf>
    <xf numFmtId="49" fontId="3" fillId="0" borderId="1" xfId="0" applyNumberFormat="1" applyFont="1" applyFill="1" applyBorder="1" applyAlignment="1" applyProtection="1">
      <alignment wrapText="1"/>
      <protection hidden="1"/>
    </xf>
    <xf numFmtId="49" fontId="2" fillId="0" borderId="1" xfId="0" applyNumberFormat="1" applyFont="1" applyFill="1" applyBorder="1" applyAlignment="1" applyProtection="1">
      <alignment wrapText="1"/>
      <protection hidden="1"/>
    </xf>
    <xf numFmtId="0" fontId="9" fillId="0" borderId="0" xfId="0" applyNumberFormat="1" applyFont="1" applyFill="1" applyBorder="1" applyAlignment="1" applyProtection="1">
      <alignment horizontal="left" vertical="top" wrapText="1" indent="1"/>
      <protection hidden="1"/>
    </xf>
    <xf numFmtId="4" fontId="7" fillId="0" borderId="0" xfId="0" applyNumberFormat="1" applyFont="1" applyFill="1" applyBorder="1" applyAlignment="1" applyProtection="1">
      <alignment horizontal="right" vertical="top" wrapText="1"/>
      <protection hidden="1"/>
    </xf>
    <xf numFmtId="4" fontId="2" fillId="0" borderId="12" xfId="0" applyNumberFormat="1" applyFont="1" applyFill="1" applyBorder="1" applyAlignment="1" applyProtection="1">
      <alignment horizontal="right" vertical="top" wrapText="1"/>
      <protection hidden="1"/>
    </xf>
    <xf numFmtId="0" fontId="7" fillId="0" borderId="0" xfId="0" applyNumberFormat="1" applyFont="1" applyFill="1" applyBorder="1" applyAlignment="1" applyProtection="1">
      <alignment horizontal="left" vertical="top" wrapText="1" indent="1"/>
      <protection hidden="1"/>
    </xf>
    <xf numFmtId="4" fontId="9" fillId="0" borderId="0" xfId="0" applyNumberFormat="1" applyFont="1" applyFill="1" applyBorder="1" applyAlignment="1" applyProtection="1">
      <alignment horizontal="right" vertical="top" wrapText="1"/>
      <protection hidden="1"/>
    </xf>
    <xf numFmtId="0" fontId="7" fillId="0" borderId="0" xfId="0" applyNumberFormat="1" applyFont="1" applyFill="1" applyBorder="1" applyAlignment="1" applyProtection="1">
      <alignment horizontal="right" vertical="top" wrapText="1" indent="1"/>
      <protection hidden="1"/>
    </xf>
    <xf numFmtId="164" fontId="11" fillId="0" borderId="1" xfId="0" applyNumberFormat="1" applyFont="1" applyFill="1" applyBorder="1" applyAlignment="1" applyProtection="1">
      <alignment horizontal="left" vertical="top" wrapText="1"/>
      <protection hidden="1"/>
    </xf>
    <xf numFmtId="165" fontId="11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Fill="1" applyBorder="1" applyAlignment="1" applyProtection="1">
      <alignment vertical="top" wrapText="1"/>
      <protection hidden="1"/>
    </xf>
    <xf numFmtId="4" fontId="3" fillId="0" borderId="12" xfId="0" applyNumberFormat="1" applyFont="1" applyFill="1" applyBorder="1" applyAlignment="1" applyProtection="1">
      <alignment horizontal="right" vertical="top" wrapText="1"/>
      <protection hidden="1"/>
    </xf>
    <xf numFmtId="0" fontId="8" fillId="0" borderId="0" xfId="0" applyNumberFormat="1" applyFont="1" applyFill="1" applyBorder="1" applyAlignment="1" applyProtection="1">
      <alignment horizontal="right" vertical="top" wrapText="1" indent="1"/>
      <protection hidden="1"/>
    </xf>
    <xf numFmtId="4" fontId="8" fillId="0" borderId="0" xfId="0" applyNumberFormat="1" applyFont="1" applyFill="1" applyBorder="1" applyAlignment="1" applyProtection="1">
      <alignment horizontal="right" vertical="top" wrapText="1"/>
      <protection hidden="1"/>
    </xf>
    <xf numFmtId="49" fontId="2" fillId="0" borderId="1" xfId="0" applyNumberFormat="1" applyFont="1" applyFill="1" applyBorder="1" applyAlignment="1" applyProtection="1">
      <alignment horizontal="left" vertical="top"/>
      <protection hidden="1"/>
    </xf>
    <xf numFmtId="49" fontId="2" fillId="0" borderId="1" xfId="0" quotePrefix="1" applyNumberFormat="1" applyFont="1" applyFill="1" applyBorder="1" applyAlignment="1" applyProtection="1">
      <alignment horizontal="left" vertical="top"/>
      <protection hidden="1"/>
    </xf>
    <xf numFmtId="0" fontId="2" fillId="0" borderId="0" xfId="0" applyFont="1" applyFill="1" applyAlignment="1" applyProtection="1">
      <alignment vertical="top" wrapText="1"/>
      <protection hidden="1"/>
    </xf>
    <xf numFmtId="0" fontId="2" fillId="0" borderId="0" xfId="0" applyFont="1" applyFill="1" applyAlignment="1" applyProtection="1">
      <alignment wrapText="1"/>
      <protection hidden="1"/>
    </xf>
    <xf numFmtId="0" fontId="2" fillId="0" borderId="1" xfId="0" applyFont="1" applyFill="1" applyBorder="1" applyAlignment="1" applyProtection="1">
      <alignment horizontal="center" vertical="top"/>
      <protection hidden="1"/>
    </xf>
    <xf numFmtId="4" fontId="7" fillId="0" borderId="13" xfId="0" applyNumberFormat="1" applyFont="1" applyFill="1" applyBorder="1" applyAlignment="1" applyProtection="1">
      <alignment horizontal="right" vertical="top" wrapText="1"/>
      <protection hidden="1"/>
    </xf>
    <xf numFmtId="4" fontId="9" fillId="0" borderId="13" xfId="0" applyNumberFormat="1" applyFont="1" applyFill="1" applyBorder="1" applyAlignment="1" applyProtection="1">
      <alignment horizontal="right" vertical="top" wrapText="1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9" fontId="6" fillId="0" borderId="1" xfId="0" applyNumberFormat="1" applyFont="1" applyFill="1" applyBorder="1" applyAlignment="1" applyProtection="1">
      <alignment vertical="top"/>
      <protection hidden="1"/>
    </xf>
    <xf numFmtId="0" fontId="6" fillId="0" borderId="11" xfId="0" applyFont="1" applyFill="1" applyBorder="1" applyAlignment="1" applyProtection="1">
      <alignment vertical="top" wrapText="1"/>
      <protection hidden="1"/>
    </xf>
    <xf numFmtId="4" fontId="12" fillId="0" borderId="0" xfId="0" applyNumberFormat="1" applyFont="1" applyFill="1" applyBorder="1" applyAlignment="1" applyProtection="1">
      <alignment wrapText="1"/>
      <protection hidden="1"/>
    </xf>
    <xf numFmtId="49" fontId="3" fillId="0" borderId="1" xfId="0" applyNumberFormat="1" applyFont="1" applyFill="1" applyBorder="1" applyAlignment="1" applyProtection="1">
      <alignment vertical="top"/>
      <protection hidden="1"/>
    </xf>
    <xf numFmtId="0" fontId="3" fillId="0" borderId="1" xfId="0" applyFont="1" applyFill="1" applyBorder="1" applyAlignment="1" applyProtection="1">
      <alignment vertical="top"/>
      <protection hidden="1"/>
    </xf>
    <xf numFmtId="4" fontId="3" fillId="0" borderId="0" xfId="0" applyNumberFormat="1" applyFont="1" applyFill="1" applyBorder="1" applyAlignment="1" applyProtection="1">
      <alignment vertical="center" wrapText="1"/>
      <protection hidden="1"/>
    </xf>
    <xf numFmtId="4" fontId="2" fillId="0" borderId="12" xfId="0" applyNumberFormat="1" applyFont="1" applyFill="1" applyBorder="1" applyProtection="1">
      <protection hidden="1"/>
    </xf>
    <xf numFmtId="0" fontId="3" fillId="0" borderId="11" xfId="0" applyFont="1" applyFill="1" applyBorder="1" applyAlignment="1" applyProtection="1">
      <alignment horizontal="left" vertical="top" wrapText="1"/>
      <protection hidden="1"/>
    </xf>
    <xf numFmtId="0" fontId="2" fillId="0" borderId="2" xfId="0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49" fontId="3" fillId="0" borderId="1" xfId="0" applyNumberFormat="1" applyFont="1" applyFill="1" applyBorder="1" applyAlignment="1" applyProtection="1">
      <alignment horizontal="left" vertical="top" wrapText="1"/>
      <protection hidden="1"/>
    </xf>
    <xf numFmtId="49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Alignment="1" applyProtection="1">
      <alignment horizontal="left" vertical="top" wrapText="1"/>
      <protection hidden="1"/>
    </xf>
    <xf numFmtId="167" fontId="7" fillId="0" borderId="0" xfId="0" applyNumberFormat="1" applyFont="1" applyFill="1" applyAlignment="1" applyProtection="1">
      <alignment horizontal="right" vertical="top" wrapText="1"/>
      <protection hidden="1"/>
    </xf>
    <xf numFmtId="0" fontId="6" fillId="0" borderId="0" xfId="0" applyFont="1" applyFill="1" applyBorder="1" applyAlignment="1" applyProtection="1">
      <alignment vertical="top" wrapText="1"/>
      <protection hidden="1"/>
    </xf>
    <xf numFmtId="4" fontId="7" fillId="0" borderId="0" xfId="0" applyNumberFormat="1" applyFont="1" applyFill="1" applyBorder="1" applyAlignment="1" applyProtection="1">
      <alignment vertical="top" wrapText="1"/>
      <protection hidden="1"/>
    </xf>
    <xf numFmtId="49" fontId="7" fillId="0" borderId="0" xfId="0" applyNumberFormat="1" applyFont="1" applyFill="1" applyBorder="1" applyAlignment="1" applyProtection="1">
      <alignment horizontal="left" vertical="top" wrapText="1" indent="1"/>
      <protection hidden="1"/>
    </xf>
    <xf numFmtId="0" fontId="2" fillId="0" borderId="2" xfId="0" applyFont="1" applyFill="1" applyBorder="1" applyProtection="1">
      <protection hidden="1"/>
    </xf>
    <xf numFmtId="4" fontId="11" fillId="0" borderId="0" xfId="0" applyNumberFormat="1" applyFont="1" applyFill="1" applyAlignment="1" applyProtection="1">
      <alignment wrapText="1"/>
      <protection hidden="1"/>
    </xf>
    <xf numFmtId="0" fontId="11" fillId="0" borderId="1" xfId="0" applyFont="1" applyFill="1" applyBorder="1" applyAlignment="1" applyProtection="1">
      <alignment horizontal="center" vertical="top"/>
      <protection hidden="1"/>
    </xf>
    <xf numFmtId="4" fontId="2" fillId="0" borderId="12" xfId="0" applyNumberFormat="1" applyFont="1" applyFill="1" applyBorder="1" applyAlignment="1" applyProtection="1">
      <alignment vertical="top"/>
      <protection hidden="1"/>
    </xf>
    <xf numFmtId="49" fontId="5" fillId="0" borderId="1" xfId="0" quotePrefix="1" applyNumberFormat="1" applyFont="1" applyFill="1" applyBorder="1" applyAlignment="1" applyProtection="1">
      <alignment horizontal="left" vertical="top"/>
      <protection hidden="1"/>
    </xf>
    <xf numFmtId="0" fontId="5" fillId="0" borderId="0" xfId="0" applyFont="1" applyFill="1" applyAlignment="1" applyProtection="1">
      <alignment vertical="top" wrapText="1"/>
      <protection hidden="1"/>
    </xf>
    <xf numFmtId="0" fontId="5" fillId="0" borderId="0" xfId="0" applyFont="1" applyFill="1" applyAlignment="1" applyProtection="1">
      <alignment wrapText="1"/>
      <protection hidden="1"/>
    </xf>
    <xf numFmtId="4" fontId="8" fillId="0" borderId="13" xfId="0" applyNumberFormat="1" applyFont="1" applyFill="1" applyBorder="1" applyAlignment="1" applyProtection="1">
      <alignment horizontal="right" vertical="top" wrapText="1"/>
      <protection hidden="1"/>
    </xf>
    <xf numFmtId="4" fontId="2" fillId="0" borderId="0" xfId="0" applyNumberFormat="1" applyFont="1" applyFill="1" applyAlignment="1" applyProtection="1">
      <alignment vertical="top" wrapText="1"/>
      <protection hidden="1"/>
    </xf>
    <xf numFmtId="4" fontId="7" fillId="0" borderId="0" xfId="0" applyNumberFormat="1" applyFont="1" applyFill="1" applyAlignment="1" applyProtection="1">
      <alignment horizontal="right" vertical="top" wrapText="1"/>
      <protection hidden="1"/>
    </xf>
    <xf numFmtId="0" fontId="3" fillId="0" borderId="0" xfId="0" applyFont="1" applyFill="1" applyAlignment="1" applyProtection="1">
      <alignment horizontal="left" vertical="top" wrapText="1"/>
      <protection hidden="1"/>
    </xf>
    <xf numFmtId="4" fontId="7" fillId="0" borderId="0" xfId="0" applyNumberFormat="1" applyFont="1" applyFill="1" applyAlignment="1" applyProtection="1">
      <alignment vertical="top" wrapText="1"/>
      <protection hidden="1"/>
    </xf>
    <xf numFmtId="4" fontId="9" fillId="0" borderId="0" xfId="0" applyNumberFormat="1" applyFont="1" applyFill="1" applyAlignment="1" applyProtection="1">
      <alignment horizontal="right" vertical="top" wrapText="1"/>
      <protection hidden="1"/>
    </xf>
    <xf numFmtId="0" fontId="7" fillId="0" borderId="0" xfId="0" applyFont="1" applyFill="1" applyAlignment="1" applyProtection="1">
      <alignment horizontal="right" vertical="top" wrapText="1"/>
      <protection hidden="1"/>
    </xf>
    <xf numFmtId="168" fontId="7" fillId="0" borderId="0" xfId="0" applyNumberFormat="1" applyFont="1" applyFill="1" applyBorder="1" applyAlignment="1" applyProtection="1">
      <alignment horizontal="left" vertical="top" wrapText="1" indent="1"/>
      <protection hidden="1"/>
    </xf>
    <xf numFmtId="166" fontId="7" fillId="0" borderId="0" xfId="0" applyNumberFormat="1" applyFont="1" applyFill="1" applyAlignment="1" applyProtection="1">
      <alignment horizontal="right" vertical="top" wrapText="1"/>
      <protection hidden="1"/>
    </xf>
    <xf numFmtId="49" fontId="3" fillId="0" borderId="13" xfId="0" applyNumberFormat="1" applyFont="1" applyFill="1" applyBorder="1" applyAlignment="1" applyProtection="1">
      <alignment vertical="top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3" fillId="0" borderId="14" xfId="0" applyFont="1" applyFill="1" applyBorder="1" applyAlignment="1" applyProtection="1">
      <alignment horizontal="center" vertical="top" wrapText="1"/>
      <protection hidden="1"/>
    </xf>
    <xf numFmtId="0" fontId="3" fillId="0" borderId="15" xfId="0" applyFont="1" applyFill="1" applyBorder="1" applyAlignment="1" applyProtection="1">
      <alignment horizontal="center" vertical="top" wrapText="1"/>
      <protection hidden="1"/>
    </xf>
    <xf numFmtId="0" fontId="3" fillId="0" borderId="6" xfId="0" applyFont="1" applyFill="1" applyBorder="1" applyAlignment="1" applyProtection="1">
      <alignment vertical="top" wrapText="1"/>
      <protection hidden="1"/>
    </xf>
    <xf numFmtId="0" fontId="2" fillId="0" borderId="15" xfId="0" applyFont="1" applyFill="1" applyBorder="1" applyAlignment="1" applyProtection="1">
      <alignment horizontal="left" vertical="top" wrapText="1"/>
      <protection hidden="1"/>
    </xf>
    <xf numFmtId="0" fontId="2" fillId="0" borderId="3" xfId="0" applyFont="1" applyFill="1" applyBorder="1" applyAlignment="1" applyProtection="1">
      <alignment horizontal="left" vertical="top" wrapText="1"/>
      <protection hidden="1"/>
    </xf>
    <xf numFmtId="4" fontId="2" fillId="0" borderId="3" xfId="0" applyNumberFormat="1" applyFont="1" applyFill="1" applyBorder="1" applyAlignment="1" applyProtection="1">
      <alignment vertical="top" wrapText="1"/>
      <protection hidden="1"/>
    </xf>
    <xf numFmtId="0" fontId="2" fillId="0" borderId="6" xfId="0" applyFont="1" applyFill="1" applyBorder="1" applyAlignment="1" applyProtection="1">
      <alignment horizontal="center" vertical="top" wrapText="1"/>
      <protection hidden="1"/>
    </xf>
    <xf numFmtId="4" fontId="2" fillId="0" borderId="17" xfId="0" applyNumberFormat="1" applyFont="1" applyFill="1" applyBorder="1" applyAlignment="1" applyProtection="1">
      <alignment vertical="top" wrapText="1"/>
      <protection hidden="1"/>
    </xf>
    <xf numFmtId="4" fontId="2" fillId="0" borderId="0" xfId="0" applyNumberFormat="1" applyFont="1" applyFill="1" applyProtection="1">
      <protection hidden="1"/>
    </xf>
    <xf numFmtId="0" fontId="3" fillId="0" borderId="24" xfId="0" applyFont="1" applyBorder="1" applyProtection="1">
      <protection hidden="1"/>
    </xf>
    <xf numFmtId="0" fontId="3" fillId="0" borderId="25" xfId="0" applyFont="1" applyBorder="1" applyProtection="1">
      <protection hidden="1"/>
    </xf>
    <xf numFmtId="4" fontId="3" fillId="0" borderId="25" xfId="0" applyNumberFormat="1" applyFont="1" applyBorder="1" applyProtection="1">
      <protection hidden="1"/>
    </xf>
    <xf numFmtId="4" fontId="3" fillId="0" borderId="26" xfId="0" applyNumberFormat="1" applyFont="1" applyBorder="1" applyProtection="1">
      <protection hidden="1"/>
    </xf>
    <xf numFmtId="0" fontId="2" fillId="0" borderId="0" xfId="0" applyFont="1" applyProtection="1">
      <protection hidden="1"/>
    </xf>
    <xf numFmtId="4" fontId="3" fillId="0" borderId="12" xfId="0" applyNumberFormat="1" applyFont="1" applyBorder="1" applyAlignment="1" applyProtection="1">
      <alignment vertical="top" wrapText="1"/>
      <protection hidden="1"/>
    </xf>
    <xf numFmtId="0" fontId="13" fillId="0" borderId="0" xfId="5" applyFont="1" applyProtection="1">
      <protection hidden="1"/>
    </xf>
    <xf numFmtId="0" fontId="15" fillId="0" borderId="32" xfId="5" applyFont="1" applyBorder="1" applyAlignment="1" applyProtection="1">
      <alignment horizontal="center" vertical="top"/>
      <protection hidden="1"/>
    </xf>
    <xf numFmtId="4" fontId="14" fillId="0" borderId="20" xfId="5" applyNumberFormat="1" applyFont="1" applyBorder="1" applyProtection="1">
      <protection hidden="1"/>
    </xf>
    <xf numFmtId="4" fontId="14" fillId="0" borderId="35" xfId="5" applyNumberFormat="1" applyFont="1" applyBorder="1" applyProtection="1">
      <protection hidden="1"/>
    </xf>
    <xf numFmtId="0" fontId="15" fillId="0" borderId="36" xfId="5" applyFont="1" applyBorder="1" applyAlignment="1" applyProtection="1">
      <alignment horizontal="center"/>
      <protection hidden="1"/>
    </xf>
    <xf numFmtId="0" fontId="15" fillId="0" borderId="37" xfId="5" applyFont="1" applyBorder="1" applyProtection="1">
      <protection hidden="1"/>
    </xf>
    <xf numFmtId="4" fontId="14" fillId="0" borderId="36" xfId="5" applyNumberFormat="1" applyFont="1" applyBorder="1" applyProtection="1">
      <protection hidden="1"/>
    </xf>
    <xf numFmtId="4" fontId="14" fillId="0" borderId="40" xfId="5" applyNumberFormat="1" applyFont="1" applyBorder="1" applyProtection="1">
      <protection hidden="1"/>
    </xf>
    <xf numFmtId="0" fontId="14" fillId="0" borderId="30" xfId="5" applyFont="1" applyBorder="1" applyAlignment="1" applyProtection="1">
      <alignment horizontal="center"/>
      <protection hidden="1"/>
    </xf>
    <xf numFmtId="0" fontId="15" fillId="0" borderId="22" xfId="6" applyFont="1" applyBorder="1" applyProtection="1">
      <protection hidden="1"/>
    </xf>
    <xf numFmtId="4" fontId="15" fillId="0" borderId="30" xfId="5" applyNumberFormat="1" applyFont="1" applyBorder="1" applyProtection="1">
      <protection hidden="1"/>
    </xf>
    <xf numFmtId="4" fontId="15" fillId="0" borderId="31" xfId="5" applyNumberFormat="1" applyFont="1" applyBorder="1" applyProtection="1">
      <protection hidden="1"/>
    </xf>
    <xf numFmtId="0" fontId="2" fillId="0" borderId="0" xfId="5" applyProtection="1">
      <protection hidden="1"/>
    </xf>
    <xf numFmtId="0" fontId="2" fillId="0" borderId="0" xfId="0" applyFont="1" applyAlignment="1" applyProtection="1">
      <alignment horizontal="left" vertical="top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49" fontId="6" fillId="0" borderId="0" xfId="0" applyNumberFormat="1" applyFont="1" applyAlignment="1" applyProtection="1">
      <alignment wrapText="1"/>
      <protection hidden="1"/>
    </xf>
    <xf numFmtId="4" fontId="2" fillId="0" borderId="0" xfId="0" applyNumberFormat="1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3" fontId="2" fillId="0" borderId="0" xfId="0" applyNumberFormat="1" applyFont="1" applyAlignment="1" applyProtection="1">
      <alignment vertical="top"/>
      <protection hidden="1"/>
    </xf>
    <xf numFmtId="0" fontId="2" fillId="0" borderId="3" xfId="0" applyFont="1" applyBorder="1" applyAlignment="1" applyProtection="1">
      <alignment horizontal="left"/>
      <protection hidden="1"/>
    </xf>
    <xf numFmtId="1" fontId="2" fillId="0" borderId="0" xfId="0" applyNumberFormat="1" applyFont="1" applyAlignment="1" applyProtection="1">
      <alignment horizontal="left" vertical="top"/>
      <protection hidden="1"/>
    </xf>
    <xf numFmtId="0" fontId="2" fillId="0" borderId="3" xfId="0" applyFont="1" applyBorder="1" applyAlignment="1" applyProtection="1">
      <alignment horizontal="center"/>
      <protection hidden="1"/>
    </xf>
    <xf numFmtId="3" fontId="2" fillId="0" borderId="0" xfId="0" applyNumberFormat="1" applyFont="1" applyAlignment="1" applyProtection="1">
      <alignment horizontal="right" vertical="top"/>
      <protection hidden="1"/>
    </xf>
    <xf numFmtId="0" fontId="2" fillId="0" borderId="4" xfId="0" applyFont="1" applyBorder="1" applyAlignment="1" applyProtection="1">
      <alignment horizontal="centerContinuous"/>
      <protection hidden="1"/>
    </xf>
    <xf numFmtId="0" fontId="2" fillId="0" borderId="5" xfId="0" applyFont="1" applyBorder="1" applyAlignment="1" applyProtection="1">
      <alignment horizontal="center" vertical="top"/>
      <protection hidden="1"/>
    </xf>
    <xf numFmtId="0" fontId="2" fillId="0" borderId="6" xfId="0" applyFont="1" applyBorder="1" applyAlignment="1" applyProtection="1">
      <alignment horizontal="center"/>
      <protection hidden="1"/>
    </xf>
    <xf numFmtId="0" fontId="3" fillId="0" borderId="7" xfId="0" applyFont="1" applyBorder="1" applyAlignment="1" applyProtection="1">
      <alignment horizontal="center" vertical="top" wrapText="1"/>
      <protection hidden="1"/>
    </xf>
    <xf numFmtId="0" fontId="3" fillId="0" borderId="8" xfId="0" applyFont="1" applyBorder="1" applyAlignment="1" applyProtection="1">
      <alignment horizontal="center" vertical="top" wrapText="1"/>
      <protection hidden="1"/>
    </xf>
    <xf numFmtId="0" fontId="2" fillId="0" borderId="8" xfId="0" applyFont="1" applyBorder="1" applyAlignment="1" applyProtection="1">
      <alignment horizontal="center" vertical="top" wrapText="1"/>
      <protection hidden="1"/>
    </xf>
    <xf numFmtId="0" fontId="2" fillId="0" borderId="9" xfId="0" applyFont="1" applyBorder="1" applyAlignment="1" applyProtection="1">
      <alignment horizontal="center" vertical="top" wrapText="1"/>
      <protection hidden="1"/>
    </xf>
    <xf numFmtId="4" fontId="2" fillId="0" borderId="10" xfId="0" applyNumberFormat="1" applyFont="1" applyBorder="1" applyAlignment="1" applyProtection="1">
      <alignment vertical="top" wrapText="1"/>
      <protection hidden="1"/>
    </xf>
    <xf numFmtId="0" fontId="2" fillId="0" borderId="8" xfId="0" quotePrefix="1" applyFont="1" applyBorder="1" applyAlignment="1" applyProtection="1">
      <alignment horizontal="center" vertical="top" wrapText="1"/>
      <protection hidden="1"/>
    </xf>
    <xf numFmtId="3" fontId="2" fillId="0" borderId="16" xfId="0" applyNumberFormat="1" applyFont="1" applyBorder="1" applyAlignment="1" applyProtection="1">
      <alignment horizontal="center" vertical="top" wrapText="1"/>
      <protection hidden="1"/>
    </xf>
    <xf numFmtId="0" fontId="3" fillId="0" borderId="2" xfId="0" applyFont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164" fontId="3" fillId="0" borderId="1" xfId="0" applyNumberFormat="1" applyFont="1" applyBorder="1" applyAlignment="1" applyProtection="1">
      <alignment horizontal="left" vertical="top" wrapText="1"/>
      <protection hidden="1"/>
    </xf>
    <xf numFmtId="165" fontId="3" fillId="0" borderId="1" xfId="0" applyNumberFormat="1" applyFont="1" applyBorder="1" applyAlignment="1" applyProtection="1">
      <alignment horizontal="left" vertical="top" wrapText="1"/>
      <protection hidden="1"/>
    </xf>
    <xf numFmtId="0" fontId="3" fillId="0" borderId="0" xfId="0" applyFont="1" applyAlignment="1" applyProtection="1">
      <alignment horizontal="left"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3" fontId="2" fillId="0" borderId="12" xfId="0" applyNumberFormat="1" applyFont="1" applyBorder="1" applyAlignment="1" applyProtection="1">
      <alignment horizontal="center" vertical="top" wrapText="1"/>
      <protection hidden="1"/>
    </xf>
    <xf numFmtId="0" fontId="2" fillId="0" borderId="1" xfId="0" applyFont="1" applyBorder="1" applyAlignment="1" applyProtection="1">
      <alignment horizontal="center" vertical="top" wrapText="1"/>
      <protection hidden="1"/>
    </xf>
    <xf numFmtId="0" fontId="2" fillId="0" borderId="0" xfId="0" applyFont="1" applyAlignment="1" applyProtection="1">
      <alignment horizontal="center" vertical="top" wrapText="1"/>
      <protection hidden="1"/>
    </xf>
    <xf numFmtId="4" fontId="2" fillId="0" borderId="0" xfId="0" applyNumberFormat="1" applyFont="1" applyAlignment="1" applyProtection="1">
      <alignment vertical="top" wrapText="1"/>
      <protection hidden="1"/>
    </xf>
    <xf numFmtId="0" fontId="2" fillId="0" borderId="1" xfId="0" quotePrefix="1" applyFont="1" applyBorder="1" applyAlignment="1" applyProtection="1">
      <alignment horizontal="center" vertical="top" wrapText="1"/>
      <protection hidden="1"/>
    </xf>
    <xf numFmtId="0" fontId="6" fillId="0" borderId="2" xfId="0" applyFont="1" applyBorder="1" applyAlignment="1" applyProtection="1">
      <alignment horizontal="center" vertical="top"/>
      <protection hidden="1"/>
    </xf>
    <xf numFmtId="49" fontId="3" fillId="0" borderId="1" xfId="0" quotePrefix="1" applyNumberFormat="1" applyFont="1" applyBorder="1" applyAlignment="1" applyProtection="1">
      <alignment horizontal="left" vertical="top"/>
      <protection hidden="1"/>
    </xf>
    <xf numFmtId="49" fontId="3" fillId="0" borderId="1" xfId="0" applyNumberFormat="1" applyFont="1" applyBorder="1" applyAlignment="1" applyProtection="1">
      <alignment horizontal="left" vertical="top"/>
      <protection hidden="1"/>
    </xf>
    <xf numFmtId="0" fontId="3" fillId="0" borderId="0" xfId="0" applyFont="1" applyAlignment="1" applyProtection="1">
      <alignment vertical="top" wrapText="1"/>
      <protection hidden="1"/>
    </xf>
    <xf numFmtId="0" fontId="3" fillId="0" borderId="0" xfId="0" applyFont="1" applyAlignment="1" applyProtection="1">
      <alignment wrapText="1"/>
      <protection hidden="1"/>
    </xf>
    <xf numFmtId="0" fontId="3" fillId="0" borderId="1" xfId="0" applyFont="1" applyBorder="1" applyAlignment="1" applyProtection="1">
      <alignment horizontal="center" vertical="top"/>
      <protection hidden="1"/>
    </xf>
    <xf numFmtId="49" fontId="7" fillId="0" borderId="0" xfId="0" applyNumberFormat="1" applyFont="1" applyAlignment="1" applyProtection="1">
      <alignment horizontal="left" vertical="top" wrapText="1" indent="1"/>
      <protection hidden="1"/>
    </xf>
    <xf numFmtId="4" fontId="7" fillId="0" borderId="13" xfId="0" applyNumberFormat="1" applyFont="1" applyBorder="1" applyAlignment="1" applyProtection="1">
      <alignment horizontal="right" wrapText="1"/>
      <protection hidden="1"/>
    </xf>
    <xf numFmtId="4" fontId="7" fillId="0" borderId="0" xfId="0" applyNumberFormat="1" applyFont="1" applyAlignment="1" applyProtection="1">
      <alignment vertical="top" wrapText="1"/>
      <protection hidden="1"/>
    </xf>
    <xf numFmtId="4" fontId="7" fillId="0" borderId="13" xfId="0" applyNumberFormat="1" applyFont="1" applyBorder="1" applyAlignment="1" applyProtection="1">
      <alignment horizontal="right" vertical="top" wrapText="1"/>
      <protection hidden="1"/>
    </xf>
    <xf numFmtId="4" fontId="7" fillId="0" borderId="0" xfId="0" applyNumberFormat="1" applyFont="1" applyAlignment="1" applyProtection="1">
      <alignment horizontal="right" vertical="top" wrapText="1"/>
      <protection hidden="1"/>
    </xf>
    <xf numFmtId="0" fontId="2" fillId="0" borderId="2" xfId="0" applyFont="1" applyBorder="1" applyAlignment="1" applyProtection="1">
      <alignment vertical="top" wrapText="1"/>
      <protection hidden="1"/>
    </xf>
    <xf numFmtId="0" fontId="2" fillId="0" borderId="1" xfId="0" applyFont="1" applyBorder="1" applyAlignment="1" applyProtection="1">
      <alignment vertical="top" wrapText="1"/>
      <protection hidden="1"/>
    </xf>
    <xf numFmtId="49" fontId="3" fillId="0" borderId="1" xfId="0" applyNumberFormat="1" applyFont="1" applyBorder="1" applyAlignment="1" applyProtection="1">
      <alignment horizontal="left" vertical="top" wrapText="1"/>
      <protection hidden="1"/>
    </xf>
    <xf numFmtId="49" fontId="2" fillId="0" borderId="1" xfId="0" applyNumberFormat="1" applyFont="1" applyBorder="1" applyAlignment="1" applyProtection="1">
      <alignment horizontal="left" vertical="top" wrapText="1"/>
      <protection hidden="1"/>
    </xf>
    <xf numFmtId="0" fontId="2" fillId="0" borderId="0" xfId="0" applyFont="1" applyAlignment="1" applyProtection="1">
      <alignment horizontal="left" vertical="top" wrapText="1"/>
      <protection hidden="1"/>
    </xf>
    <xf numFmtId="167" fontId="7" fillId="0" borderId="0" xfId="0" applyNumberFormat="1" applyFont="1" applyAlignment="1" applyProtection="1">
      <alignment horizontal="right" vertical="top" wrapText="1"/>
      <protection hidden="1"/>
    </xf>
    <xf numFmtId="3" fontId="2" fillId="0" borderId="12" xfId="0" applyNumberFormat="1" applyFont="1" applyBorder="1" applyAlignment="1" applyProtection="1">
      <alignment horizontal="right" vertical="top" wrapText="1"/>
      <protection hidden="1"/>
    </xf>
    <xf numFmtId="49" fontId="3" fillId="0" borderId="1" xfId="0" applyNumberFormat="1" applyFont="1" applyBorder="1" applyAlignment="1" applyProtection="1">
      <alignment vertical="top"/>
      <protection hidden="1"/>
    </xf>
    <xf numFmtId="0" fontId="3" fillId="0" borderId="0" xfId="0" applyFont="1" applyAlignment="1" applyProtection="1">
      <alignment vertical="center" wrapText="1"/>
      <protection hidden="1"/>
    </xf>
    <xf numFmtId="0" fontId="2" fillId="0" borderId="1" xfId="0" applyFont="1" applyBorder="1" applyAlignment="1" applyProtection="1">
      <alignment horizontal="center" vertical="top"/>
      <protection hidden="1"/>
    </xf>
    <xf numFmtId="49" fontId="5" fillId="0" borderId="1" xfId="0" quotePrefix="1" applyNumberFormat="1" applyFont="1" applyBorder="1" applyAlignment="1" applyProtection="1">
      <alignment horizontal="left" vertical="top"/>
      <protection hidden="1"/>
    </xf>
    <xf numFmtId="0" fontId="5" fillId="0" borderId="0" xfId="0" applyFont="1" applyAlignment="1" applyProtection="1">
      <alignment wrapText="1"/>
      <protection hidden="1"/>
    </xf>
    <xf numFmtId="4" fontId="2" fillId="0" borderId="12" xfId="0" applyNumberFormat="1" applyFont="1" applyBorder="1" applyAlignment="1" applyProtection="1">
      <alignment vertical="top" wrapText="1"/>
      <protection hidden="1"/>
    </xf>
    <xf numFmtId="4" fontId="7" fillId="0" borderId="13" xfId="0" applyNumberFormat="1" applyFont="1" applyBorder="1" applyAlignment="1" applyProtection="1">
      <alignment wrapText="1"/>
      <protection hidden="1"/>
    </xf>
    <xf numFmtId="0" fontId="2" fillId="0" borderId="1" xfId="0" applyFont="1" applyBorder="1" applyAlignment="1" applyProtection="1">
      <alignment horizontal="left" vertical="top" wrapText="1"/>
      <protection hidden="1"/>
    </xf>
    <xf numFmtId="0" fontId="2" fillId="0" borderId="11" xfId="0" applyFont="1" applyBorder="1" applyAlignment="1" applyProtection="1">
      <alignment horizontal="left" vertical="top" wrapText="1"/>
      <protection hidden="1"/>
    </xf>
    <xf numFmtId="3" fontId="2" fillId="0" borderId="12" xfId="0" applyNumberFormat="1" applyFont="1" applyBorder="1" applyAlignment="1" applyProtection="1">
      <alignment vertical="top" wrapText="1"/>
      <protection hidden="1"/>
    </xf>
    <xf numFmtId="0" fontId="3" fillId="0" borderId="14" xfId="0" applyFont="1" applyBorder="1" applyAlignment="1" applyProtection="1">
      <alignment horizontal="center" vertical="top" wrapText="1"/>
      <protection hidden="1"/>
    </xf>
    <xf numFmtId="0" fontId="3" fillId="0" borderId="15" xfId="0" applyFont="1" applyBorder="1" applyAlignment="1" applyProtection="1">
      <alignment horizontal="center" vertical="top" wrapText="1"/>
      <protection hidden="1"/>
    </xf>
    <xf numFmtId="0" fontId="3" fillId="0" borderId="6" xfId="0" applyFont="1" applyBorder="1" applyAlignment="1" applyProtection="1">
      <alignment vertical="top" wrapText="1"/>
      <protection hidden="1"/>
    </xf>
    <xf numFmtId="0" fontId="2" fillId="0" borderId="15" xfId="0" applyFont="1" applyBorder="1" applyAlignment="1" applyProtection="1">
      <alignment horizontal="left" vertical="top" wrapText="1"/>
      <protection hidden="1"/>
    </xf>
    <xf numFmtId="0" fontId="2" fillId="0" borderId="3" xfId="0" applyFont="1" applyBorder="1" applyAlignment="1" applyProtection="1">
      <alignment horizontal="left" vertical="top" wrapText="1"/>
      <protection hidden="1"/>
    </xf>
    <xf numFmtId="4" fontId="2" fillId="0" borderId="3" xfId="0" applyNumberFormat="1" applyFont="1" applyBorder="1" applyAlignment="1" applyProtection="1">
      <alignment vertical="top" wrapText="1"/>
      <protection hidden="1"/>
    </xf>
    <xf numFmtId="0" fontId="2" fillId="0" borderId="6" xfId="0" applyFont="1" applyBorder="1" applyAlignment="1" applyProtection="1">
      <alignment horizontal="center" vertical="top" wrapText="1"/>
      <protection hidden="1"/>
    </xf>
    <xf numFmtId="3" fontId="2" fillId="0" borderId="17" xfId="0" applyNumberFormat="1" applyFont="1" applyBorder="1" applyAlignment="1" applyProtection="1">
      <alignment vertical="top" wrapText="1"/>
      <protection hidden="1"/>
    </xf>
    <xf numFmtId="3" fontId="2" fillId="0" borderId="0" xfId="0" applyNumberFormat="1" applyFont="1" applyProtection="1">
      <protection hidden="1"/>
    </xf>
    <xf numFmtId="0" fontId="15" fillId="0" borderId="0" xfId="5" applyFont="1" applyAlignment="1" applyProtection="1">
      <alignment horizontal="left" vertical="top" wrapText="1"/>
      <protection hidden="1"/>
    </xf>
    <xf numFmtId="0" fontId="1" fillId="0" borderId="0" xfId="7" applyProtection="1">
      <protection hidden="1"/>
    </xf>
    <xf numFmtId="0" fontId="16" fillId="3" borderId="41" xfId="8" applyBorder="1" applyProtection="1">
      <protection hidden="1"/>
    </xf>
    <xf numFmtId="0" fontId="16" fillId="3" borderId="33" xfId="8" applyBorder="1" applyProtection="1">
      <protection hidden="1"/>
    </xf>
    <xf numFmtId="0" fontId="16" fillId="3" borderId="42" xfId="8" applyBorder="1" applyProtection="1">
      <protection hidden="1"/>
    </xf>
    <xf numFmtId="0" fontId="16" fillId="3" borderId="43" xfId="8" applyBorder="1" applyAlignment="1" applyProtection="1">
      <alignment horizontal="center"/>
      <protection hidden="1"/>
    </xf>
    <xf numFmtId="0" fontId="17" fillId="0" borderId="2" xfId="9" quotePrefix="1" applyBorder="1" applyProtection="1">
      <protection hidden="1"/>
    </xf>
    <xf numFmtId="0" fontId="17" fillId="0" borderId="1" xfId="9" applyBorder="1" applyProtection="1">
      <protection hidden="1"/>
    </xf>
    <xf numFmtId="169" fontId="17" fillId="0" borderId="44" xfId="9" applyNumberFormat="1" applyBorder="1" applyProtection="1">
      <protection hidden="1"/>
    </xf>
    <xf numFmtId="169" fontId="16" fillId="0" borderId="43" xfId="10" applyNumberFormat="1" applyBorder="1" applyProtection="1">
      <protection hidden="1"/>
    </xf>
    <xf numFmtId="0" fontId="14" fillId="0" borderId="38" xfId="5" applyFont="1" applyBorder="1" applyAlignment="1" applyProtection="1">
      <alignment horizontal="center"/>
      <protection hidden="1"/>
    </xf>
    <xf numFmtId="0" fontId="14" fillId="0" borderId="39" xfId="5" applyFont="1" applyBorder="1" applyAlignment="1" applyProtection="1">
      <alignment horizontal="center"/>
      <protection hidden="1"/>
    </xf>
    <xf numFmtId="0" fontId="14" fillId="0" borderId="3" xfId="5" applyFont="1" applyBorder="1" applyAlignment="1" applyProtection="1">
      <alignment horizontal="center"/>
      <protection hidden="1"/>
    </xf>
    <xf numFmtId="0" fontId="14" fillId="0" borderId="17" xfId="5" applyFont="1" applyBorder="1" applyAlignment="1" applyProtection="1">
      <alignment horizontal="center"/>
      <protection hidden="1"/>
    </xf>
    <xf numFmtId="0" fontId="13" fillId="0" borderId="0" xfId="5" applyFont="1" applyAlignment="1" applyProtection="1">
      <alignment horizontal="center"/>
      <protection hidden="1"/>
    </xf>
    <xf numFmtId="0" fontId="14" fillId="2" borderId="27" xfId="5" applyFont="1" applyFill="1" applyBorder="1" applyAlignment="1" applyProtection="1">
      <alignment horizontal="center"/>
      <protection hidden="1"/>
    </xf>
    <xf numFmtId="0" fontId="14" fillId="2" borderId="10" xfId="5" applyFont="1" applyFill="1" applyBorder="1" applyAlignment="1" applyProtection="1">
      <alignment horizontal="center"/>
      <protection hidden="1"/>
    </xf>
    <xf numFmtId="0" fontId="14" fillId="2" borderId="28" xfId="5" applyFont="1" applyFill="1" applyBorder="1" applyAlignment="1" applyProtection="1">
      <alignment horizontal="center"/>
      <protection hidden="1"/>
    </xf>
    <xf numFmtId="0" fontId="14" fillId="2" borderId="30" xfId="5" applyFont="1" applyFill="1" applyBorder="1" applyAlignment="1" applyProtection="1">
      <alignment horizontal="center"/>
      <protection hidden="1"/>
    </xf>
    <xf numFmtId="0" fontId="14" fillId="2" borderId="3" xfId="5" applyFont="1" applyFill="1" applyBorder="1" applyAlignment="1" applyProtection="1">
      <alignment horizontal="center"/>
      <protection hidden="1"/>
    </xf>
    <xf numFmtId="0" fontId="14" fillId="2" borderId="17" xfId="5" applyFont="1" applyFill="1" applyBorder="1" applyAlignment="1" applyProtection="1">
      <alignment horizontal="center"/>
      <protection hidden="1"/>
    </xf>
    <xf numFmtId="4" fontId="15" fillId="3" borderId="29" xfId="6" applyNumberFormat="1" applyFont="1" applyFill="1" applyBorder="1" applyAlignment="1" applyProtection="1">
      <alignment horizontal="center" vertical="center" wrapText="1"/>
      <protection hidden="1"/>
    </xf>
    <xf numFmtId="4" fontId="15" fillId="3" borderId="31" xfId="6" applyNumberFormat="1" applyFont="1" applyFill="1" applyBorder="1" applyAlignment="1" applyProtection="1">
      <alignment horizontal="center" vertical="center" wrapText="1"/>
      <protection hidden="1"/>
    </xf>
    <xf numFmtId="4" fontId="15" fillId="3" borderId="10" xfId="6" quotePrefix="1" applyNumberFormat="1" applyFont="1" applyFill="1" applyBorder="1" applyAlignment="1" applyProtection="1">
      <alignment horizontal="center" vertical="center" wrapText="1"/>
      <protection hidden="1"/>
    </xf>
    <xf numFmtId="4" fontId="15" fillId="3" borderId="3" xfId="6" applyNumberFormat="1" applyFont="1" applyFill="1" applyBorder="1" applyAlignment="1" applyProtection="1">
      <alignment horizontal="center" vertical="center" wrapText="1"/>
      <protection hidden="1"/>
    </xf>
    <xf numFmtId="0" fontId="14" fillId="0" borderId="33" xfId="5" applyFont="1" applyBorder="1" applyAlignment="1" applyProtection="1">
      <alignment horizontal="center"/>
      <protection hidden="1"/>
    </xf>
    <xf numFmtId="0" fontId="14" fillId="0" borderId="34" xfId="5" applyFont="1" applyBorder="1" applyAlignment="1" applyProtection="1">
      <alignment horizontal="center"/>
      <protection hidden="1"/>
    </xf>
    <xf numFmtId="0" fontId="16" fillId="0" borderId="24" xfId="10" applyBorder="1" applyProtection="1">
      <protection hidden="1"/>
    </xf>
    <xf numFmtId="0" fontId="16" fillId="0" borderId="25" xfId="10" applyBorder="1" applyProtection="1">
      <protection hidden="1"/>
    </xf>
    <xf numFmtId="0" fontId="16" fillId="0" borderId="45" xfId="10" applyBorder="1" applyProtection="1">
      <protection hidden="1"/>
    </xf>
    <xf numFmtId="0" fontId="18" fillId="0" borderId="0" xfId="7" applyFont="1" applyAlignment="1" applyProtection="1">
      <alignment horizontal="center"/>
      <protection hidden="1"/>
    </xf>
    <xf numFmtId="4" fontId="2" fillId="0" borderId="18" xfId="0" applyNumberFormat="1" applyFont="1" applyBorder="1" applyAlignment="1" applyProtection="1">
      <alignment horizontal="center" vertical="center" wrapText="1"/>
      <protection hidden="1"/>
    </xf>
    <xf numFmtId="4" fontId="2" fillId="0" borderId="19" xfId="0" applyNumberFormat="1" applyFont="1" applyBorder="1" applyAlignment="1" applyProtection="1">
      <alignment horizontal="center" vertical="center" wrapText="1"/>
      <protection hidden="1"/>
    </xf>
    <xf numFmtId="0" fontId="2" fillId="0" borderId="20" xfId="0" applyFont="1" applyBorder="1" applyAlignment="1" applyProtection="1">
      <alignment horizontal="center" vertical="top"/>
      <protection hidden="1"/>
    </xf>
    <xf numFmtId="0" fontId="2" fillId="0" borderId="4" xfId="0" applyFont="1" applyBorder="1" applyAlignment="1" applyProtection="1">
      <alignment horizontal="center" vertical="top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 applyProtection="1">
      <alignment horizontal="center" vertical="center" wrapText="1"/>
      <protection hidden="1"/>
    </xf>
    <xf numFmtId="0" fontId="2" fillId="0" borderId="22" xfId="0" applyFont="1" applyBorder="1" applyAlignment="1" applyProtection="1">
      <alignment horizontal="center" vertical="center" wrapText="1"/>
      <protection hidden="1"/>
    </xf>
    <xf numFmtId="0" fontId="2" fillId="0" borderId="15" xfId="0" applyFont="1" applyBorder="1" applyAlignment="1" applyProtection="1">
      <alignment horizontal="center" vertical="center" wrapText="1"/>
      <protection hidden="1"/>
    </xf>
    <xf numFmtId="0" fontId="2" fillId="0" borderId="4" xfId="0" quotePrefix="1" applyFont="1" applyBorder="1" applyAlignment="1" applyProtection="1">
      <alignment horizontal="center" vertical="center"/>
      <protection hidden="1"/>
    </xf>
    <xf numFmtId="0" fontId="2" fillId="0" borderId="23" xfId="0" quotePrefix="1" applyFont="1" applyBorder="1" applyAlignment="1" applyProtection="1">
      <alignment horizontal="center" vertical="center"/>
      <protection hidden="1"/>
    </xf>
    <xf numFmtId="3" fontId="2" fillId="0" borderId="18" xfId="0" applyNumberFormat="1" applyFont="1" applyBorder="1" applyAlignment="1" applyProtection="1">
      <alignment horizontal="center" vertical="center"/>
      <protection hidden="1"/>
    </xf>
    <xf numFmtId="3" fontId="2" fillId="0" borderId="19" xfId="0" applyNumberFormat="1" applyFont="1" applyBorder="1" applyAlignment="1" applyProtection="1">
      <alignment horizontal="center" vertical="center"/>
      <protection hidden="1"/>
    </xf>
    <xf numFmtId="0" fontId="2" fillId="0" borderId="20" xfId="0" applyFont="1" applyFill="1" applyBorder="1" applyAlignment="1" applyProtection="1">
      <alignment horizontal="center" vertical="top"/>
      <protection hidden="1"/>
    </xf>
    <xf numFmtId="0" fontId="2" fillId="0" borderId="4" xfId="0" applyFont="1" applyFill="1" applyBorder="1" applyAlignment="1" applyProtection="1">
      <alignment horizontal="center" vertical="top"/>
      <protection hidden="1"/>
    </xf>
    <xf numFmtId="0" fontId="2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21" xfId="0" applyFont="1" applyFill="1" applyBorder="1" applyAlignment="1" applyProtection="1">
      <alignment horizontal="center" vertical="center" wrapText="1"/>
      <protection hidden="1"/>
    </xf>
    <xf numFmtId="0" fontId="2" fillId="0" borderId="22" xfId="0" applyFont="1" applyFill="1" applyBorder="1" applyAlignment="1" applyProtection="1">
      <alignment horizontal="center" vertical="center" wrapText="1"/>
      <protection hidden="1"/>
    </xf>
    <xf numFmtId="0" fontId="2" fillId="0" borderId="15" xfId="0" applyFont="1" applyFill="1" applyBorder="1" applyAlignment="1" applyProtection="1">
      <alignment horizontal="center" vertical="center" wrapText="1"/>
      <protection hidden="1"/>
    </xf>
    <xf numFmtId="0" fontId="2" fillId="0" borderId="4" xfId="0" quotePrefix="1" applyFont="1" applyFill="1" applyBorder="1" applyAlignment="1" applyProtection="1">
      <alignment horizontal="center" vertical="center"/>
      <protection hidden="1"/>
    </xf>
    <xf numFmtId="0" fontId="2" fillId="0" borderId="23" xfId="0" quotePrefix="1" applyFont="1" applyFill="1" applyBorder="1" applyAlignment="1" applyProtection="1">
      <alignment horizontal="center" vertical="center"/>
      <protection hidden="1"/>
    </xf>
    <xf numFmtId="4" fontId="2" fillId="0" borderId="18" xfId="0" applyNumberFormat="1" applyFont="1" applyFill="1" applyBorder="1" applyAlignment="1" applyProtection="1">
      <alignment horizontal="center" vertical="center"/>
      <protection hidden="1"/>
    </xf>
    <xf numFmtId="4" fontId="2" fillId="0" borderId="19" xfId="0" applyNumberFormat="1" applyFont="1" applyFill="1" applyBorder="1" applyAlignment="1" applyProtection="1">
      <alignment horizontal="center" vertical="center"/>
      <protection hidden="1"/>
    </xf>
    <xf numFmtId="4" fontId="3" fillId="4" borderId="12" xfId="0" applyNumberFormat="1" applyFont="1" applyFill="1" applyBorder="1" applyAlignment="1" applyProtection="1">
      <alignment vertical="top" wrapText="1"/>
      <protection locked="0"/>
    </xf>
    <xf numFmtId="4" fontId="3" fillId="4" borderId="12" xfId="0" applyNumberFormat="1" applyFont="1" applyFill="1" applyBorder="1" applyAlignment="1" applyProtection="1">
      <alignment vertical="top"/>
      <protection locked="0"/>
    </xf>
    <xf numFmtId="4" fontId="3" fillId="4" borderId="12" xfId="0" applyNumberFormat="1" applyFont="1" applyFill="1" applyBorder="1" applyAlignment="1" applyProtection="1">
      <alignment horizontal="right" vertical="top" wrapText="1"/>
      <protection locked="0"/>
    </xf>
  </cellXfs>
  <cellStyles count="12">
    <cellStyle name="Font_Ariel_Normal" xfId="9" xr:uid="{2C5EBB53-CCC1-4C3D-8DF9-19F15ACC0643}"/>
    <cellStyle name="Font_Ariel_Normal_Bold" xfId="10" xr:uid="{6CB6D64B-7E79-43BF-A360-BECC623CF8E4}"/>
    <cellStyle name="Font_Ariel_Normal_Bold_BG_Gray" xfId="8" xr:uid="{DC8C5C3F-B421-4735-88A1-B92476C0A6B6}"/>
    <cellStyle name="Normal_035-00, 036-00, 037-00" xfId="1" xr:uid="{00000000-0005-0000-0000-000000000000}"/>
    <cellStyle name="Normálna" xfId="0" builtinId="0"/>
    <cellStyle name="Normálna 2" xfId="7" xr:uid="{66E14953-B951-4E48-9444-E4079ADCA113}"/>
    <cellStyle name="Normálna 3" xfId="6" xr:uid="{81D6569F-DDA8-45E1-A162-1ABAA09CA8DB}"/>
    <cellStyle name="Normálna 5" xfId="11" xr:uid="{22FA93FC-D295-47D4-9107-315D62A99B4A}"/>
    <cellStyle name="normálne 10" xfId="2" xr:uid="{00000000-0005-0000-0000-000002000000}"/>
    <cellStyle name="normálne 2" xfId="3" xr:uid="{00000000-0005-0000-0000-000003000000}"/>
    <cellStyle name="normálne_101_123" xfId="4" xr:uid="{00000000-0005-0000-0000-000004000000}"/>
    <cellStyle name="normální_vseobecne_pol_u2 " xfId="5" xr:uid="{366CC646-9F11-40B3-9BB9-0E7A89C4251F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0338E-82F4-4B3F-8D82-9098C6223DFB}">
  <dimension ref="A1:I7"/>
  <sheetViews>
    <sheetView showGridLines="0" tabSelected="1" zoomScaleNormal="100" workbookViewId="0">
      <selection sqref="A1:H1"/>
    </sheetView>
  </sheetViews>
  <sheetFormatPr defaultRowHeight="12.75"/>
  <cols>
    <col min="1" max="1" width="10.85546875" style="134" customWidth="1"/>
    <col min="2" max="2" width="55.85546875" style="134" customWidth="1"/>
    <col min="3" max="3" width="5.42578125" style="134" customWidth="1"/>
    <col min="4" max="4" width="10" style="134" customWidth="1"/>
    <col min="5" max="5" width="9.28515625" style="134" customWidth="1"/>
    <col min="6" max="6" width="15.140625" style="134" customWidth="1"/>
    <col min="7" max="7" width="13" style="134" customWidth="1"/>
    <col min="8" max="8" width="15" style="134" customWidth="1"/>
    <col min="9" max="16384" width="9.140625" style="134"/>
  </cols>
  <sheetData>
    <row r="1" spans="1:9" ht="15">
      <c r="A1" s="218" t="s">
        <v>605</v>
      </c>
      <c r="B1" s="218"/>
      <c r="C1" s="218"/>
      <c r="D1" s="218"/>
      <c r="E1" s="218"/>
      <c r="F1" s="218"/>
      <c r="G1" s="218"/>
      <c r="H1" s="218"/>
      <c r="I1" s="122"/>
    </row>
    <row r="2" spans="1:9" ht="13.5" thickBot="1"/>
    <row r="3" spans="1:9" ht="18.75" customHeight="1">
      <c r="A3" s="219"/>
      <c r="B3" s="220"/>
      <c r="C3" s="220"/>
      <c r="D3" s="220"/>
      <c r="E3" s="221"/>
      <c r="F3" s="225" t="s">
        <v>606</v>
      </c>
      <c r="G3" s="227" t="s">
        <v>607</v>
      </c>
      <c r="H3" s="225" t="s">
        <v>608</v>
      </c>
    </row>
    <row r="4" spans="1:9" ht="18.75" customHeight="1" thickBot="1">
      <c r="A4" s="222"/>
      <c r="B4" s="223"/>
      <c r="C4" s="223"/>
      <c r="D4" s="223"/>
      <c r="E4" s="224"/>
      <c r="F4" s="226"/>
      <c r="G4" s="228"/>
      <c r="H4" s="226"/>
    </row>
    <row r="5" spans="1:9">
      <c r="A5" s="123" t="s">
        <v>86</v>
      </c>
      <c r="B5" s="204" t="s">
        <v>88</v>
      </c>
      <c r="C5" s="229"/>
      <c r="D5" s="229"/>
      <c r="E5" s="230"/>
      <c r="F5" s="124">
        <f>'001-00'!$J$32</f>
        <v>0</v>
      </c>
      <c r="G5" s="124">
        <f>F5*0.2</f>
        <v>0</v>
      </c>
      <c r="H5" s="125">
        <f>G5+F5</f>
        <v>0</v>
      </c>
    </row>
    <row r="6" spans="1:9" ht="13.5" thickBot="1">
      <c r="A6" s="126">
        <v>45</v>
      </c>
      <c r="B6" s="127" t="s">
        <v>609</v>
      </c>
      <c r="C6" s="214"/>
      <c r="D6" s="214"/>
      <c r="E6" s="215"/>
      <c r="F6" s="128">
        <f>'Rekapitulácia objektov'!$E$5</f>
        <v>0</v>
      </c>
      <c r="G6" s="128">
        <f>F6*0.2</f>
        <v>0</v>
      </c>
      <c r="H6" s="129">
        <f>G6+F6</f>
        <v>0</v>
      </c>
    </row>
    <row r="7" spans="1:9" ht="14.25" thickTop="1" thickBot="1">
      <c r="A7" s="130"/>
      <c r="B7" s="131" t="s">
        <v>610</v>
      </c>
      <c r="C7" s="216"/>
      <c r="D7" s="216"/>
      <c r="E7" s="217"/>
      <c r="F7" s="132">
        <f>SUM(F5:F6)</f>
        <v>0</v>
      </c>
      <c r="G7" s="132">
        <f>SUM(G5:G6)</f>
        <v>0</v>
      </c>
      <c r="H7" s="133">
        <f>SUM(H5:H6)</f>
        <v>0</v>
      </c>
    </row>
  </sheetData>
  <sheetProtection algorithmName="SHA-512" hashValue="X4ZGiuJT7RBrADx2L71xDDzDPZ2/GCNHzL1xKg4xAHkLxModXAJdqldSfFgbAqCttdLt46R9gP9BlyLfNn6xVQ==" saltValue="vptwOTxrdXqegcvFxy0d7g==" spinCount="100000" sheet="1" objects="1" scenarios="1"/>
  <mergeCells count="8">
    <mergeCell ref="C6:E6"/>
    <mergeCell ref="C7:E7"/>
    <mergeCell ref="A1:H1"/>
    <mergeCell ref="A3:E4"/>
    <mergeCell ref="F3:F4"/>
    <mergeCell ref="G3:G4"/>
    <mergeCell ref="H3:H4"/>
    <mergeCell ref="C5:E5"/>
  </mergeCells>
  <printOptions horizontalCentered="1"/>
  <pageMargins left="0.39370078740157483" right="0.39370078740157483" top="0.98425196850393704" bottom="0.59055118110236227" header="0.59055118110236227" footer="0.27559055118110237"/>
  <pageSetup paperSize="9" scale="95" orientation="landscape" r:id="rId1"/>
  <headerFooter>
    <oddHeader>&amp;LNÁZOV STAVIEB : Rekonštrukcia a obnova mostov na cestách III. triedy BBSK, oblasť JUH
STAVBA : Most ev. č. 2561-5, C III/2561 v km 9,116 – Kráľovce-Krnišov&amp;RO. Výkaz výmer a rozpočet
Rekapitulácia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64045-82AA-42C5-AF85-F9266823D3E7}">
  <sheetPr>
    <pageSetUpPr fitToPage="1"/>
  </sheetPr>
  <dimension ref="B1:E5"/>
  <sheetViews>
    <sheetView showGridLines="0"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RowHeight="15"/>
  <cols>
    <col min="1" max="1" width="2.28515625" style="205" customWidth="1"/>
    <col min="2" max="2" width="15.28515625" style="205" bestFit="1" customWidth="1"/>
    <col min="3" max="3" width="16.85546875" style="205" hidden="1" customWidth="1"/>
    <col min="4" max="4" width="52.5703125" style="205" bestFit="1" customWidth="1"/>
    <col min="5" max="5" width="17.28515625" style="205" customWidth="1"/>
    <col min="6" max="16384" width="9.140625" style="205"/>
  </cols>
  <sheetData>
    <row r="1" spans="2:5">
      <c r="B1" s="234" t="s">
        <v>637</v>
      </c>
      <c r="C1" s="234"/>
      <c r="D1" s="234"/>
      <c r="E1" s="234"/>
    </row>
    <row r="2" spans="2:5" ht="15.75" thickBot="1"/>
    <row r="3" spans="2:5" ht="15.75" thickBot="1">
      <c r="B3" s="206" t="s">
        <v>611</v>
      </c>
      <c r="C3" s="207" t="s">
        <v>612</v>
      </c>
      <c r="D3" s="208" t="s">
        <v>613</v>
      </c>
      <c r="E3" s="209" t="s">
        <v>636</v>
      </c>
    </row>
    <row r="4" spans="2:5" ht="15.75" thickBot="1">
      <c r="B4" s="210" t="s">
        <v>633</v>
      </c>
      <c r="C4" s="211" t="s">
        <v>614</v>
      </c>
      <c r="D4" s="211" t="s">
        <v>634</v>
      </c>
      <c r="E4" s="212">
        <f>'203-00'!$J$643</f>
        <v>0</v>
      </c>
    </row>
    <row r="5" spans="2:5" ht="15.75" thickBot="1">
      <c r="B5" s="231" t="s">
        <v>615</v>
      </c>
      <c r="C5" s="232"/>
      <c r="D5" s="233"/>
      <c r="E5" s="213">
        <f>SUM(E4)</f>
        <v>0</v>
      </c>
    </row>
  </sheetData>
  <sheetProtection algorithmName="SHA-512" hashValue="5RAlWmYS0WPVYRoFHXOt92sNY6P8olkFGp3+ZqtDeWXzOPyzw8LRlG5FCvQXPH6F39g/fkufaCrKiYIKvemcQw==" saltValue="iQjiLeQK+isxD9QSfqKJSg==" spinCount="100000" sheet="1" objects="1" scenarios="1"/>
  <mergeCells count="2">
    <mergeCell ref="B5:D5"/>
    <mergeCell ref="B1:E1"/>
  </mergeCells>
  <printOptions horizontalCentered="1"/>
  <pageMargins left="0.39370078740157483" right="0.39370078740157483" top="0.98425196850393704" bottom="0.59055118110236227" header="0.59055118110236227" footer="0.27559055118110237"/>
  <pageSetup paperSize="9" fitToHeight="0" orientation="landscape" r:id="rId1"/>
  <headerFooter>
    <oddHeader>&amp;LNÁZOV STAVIEB : Rekonštrukcia a obnova mostov na cestách III. triedy BBSK, oblasť JUH
STAVBA : Most ev. č. 2561-5, C III/2561 v km 9,116 – Kráľovce-Krnišov&amp;RO. Výkaz výmer a rozpočet
Rekapitulácia objektov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B4090-FF41-443E-9684-FD4CBEA369A6}">
  <dimension ref="A1:J32"/>
  <sheetViews>
    <sheetView showGridLines="0" zoomScaleNormal="100" workbookViewId="0">
      <pane ySplit="4" topLeftCell="A5" activePane="bottomLeft" state="frozen"/>
      <selection pane="bottomLeft"/>
    </sheetView>
  </sheetViews>
  <sheetFormatPr defaultRowHeight="12.75"/>
  <cols>
    <col min="1" max="1" width="4.7109375" style="120" customWidth="1"/>
    <col min="2" max="2" width="9.28515625" style="120" customWidth="1"/>
    <col min="3" max="3" width="9" style="120" customWidth="1"/>
    <col min="4" max="4" width="10.85546875" style="120" customWidth="1"/>
    <col min="5" max="5" width="52.7109375" style="120" customWidth="1"/>
    <col min="6" max="6" width="9.85546875" style="139" customWidth="1"/>
    <col min="7" max="7" width="5.7109375" style="120" customWidth="1"/>
    <col min="8" max="9" width="10.140625" style="203" customWidth="1"/>
    <col min="10" max="10" width="14.85546875" style="203" customWidth="1"/>
    <col min="11" max="16384" width="9.140625" style="120"/>
  </cols>
  <sheetData>
    <row r="1" spans="1:10">
      <c r="A1" s="135" t="s">
        <v>76</v>
      </c>
      <c r="B1" s="135"/>
      <c r="C1" s="136"/>
      <c r="D1" s="137"/>
      <c r="E1" s="138" t="s">
        <v>616</v>
      </c>
      <c r="G1" s="140"/>
      <c r="H1" s="141"/>
      <c r="I1" s="141"/>
      <c r="J1" s="141"/>
    </row>
    <row r="2" spans="1:10" ht="13.5" thickBot="1">
      <c r="A2" s="142"/>
      <c r="B2" s="135"/>
      <c r="C2" s="136"/>
      <c r="D2" s="137"/>
      <c r="E2" s="143"/>
      <c r="G2" s="144"/>
      <c r="H2" s="145"/>
      <c r="I2" s="145"/>
      <c r="J2" s="145"/>
    </row>
    <row r="3" spans="1:10">
      <c r="A3" s="237" t="s">
        <v>78</v>
      </c>
      <c r="B3" s="238"/>
      <c r="C3" s="238"/>
      <c r="D3" s="146"/>
      <c r="E3" s="239" t="s">
        <v>79</v>
      </c>
      <c r="F3" s="240"/>
      <c r="G3" s="243" t="s">
        <v>80</v>
      </c>
      <c r="H3" s="245" t="s">
        <v>81</v>
      </c>
      <c r="I3" s="235" t="s">
        <v>602</v>
      </c>
      <c r="J3" s="235" t="s">
        <v>603</v>
      </c>
    </row>
    <row r="4" spans="1:10" ht="13.5" thickBot="1">
      <c r="A4" s="147" t="s">
        <v>82</v>
      </c>
      <c r="B4" s="148" t="s">
        <v>85</v>
      </c>
      <c r="C4" s="148" t="s">
        <v>83</v>
      </c>
      <c r="D4" s="148" t="s">
        <v>84</v>
      </c>
      <c r="E4" s="241"/>
      <c r="F4" s="242"/>
      <c r="G4" s="244"/>
      <c r="H4" s="246"/>
      <c r="I4" s="236"/>
      <c r="J4" s="236"/>
    </row>
    <row r="5" spans="1:10">
      <c r="A5" s="149"/>
      <c r="B5" s="150"/>
      <c r="C5" s="150"/>
      <c r="D5" s="151"/>
      <c r="E5" s="152"/>
      <c r="F5" s="153"/>
      <c r="G5" s="154"/>
      <c r="H5" s="155"/>
      <c r="I5" s="155"/>
      <c r="J5" s="155"/>
    </row>
    <row r="6" spans="1:10">
      <c r="A6" s="156"/>
      <c r="B6" s="157" t="s">
        <v>86</v>
      </c>
      <c r="C6" s="158"/>
      <c r="D6" s="159"/>
      <c r="E6" s="160" t="s">
        <v>88</v>
      </c>
      <c r="F6" s="160"/>
      <c r="G6" s="161"/>
      <c r="H6" s="162"/>
      <c r="I6" s="162"/>
      <c r="J6" s="162"/>
    </row>
    <row r="7" spans="1:10">
      <c r="A7" s="156"/>
      <c r="B7" s="161"/>
      <c r="C7" s="161"/>
      <c r="D7" s="163"/>
      <c r="E7" s="164"/>
      <c r="F7" s="165"/>
      <c r="G7" s="166"/>
      <c r="H7" s="162"/>
      <c r="I7" s="162"/>
      <c r="J7" s="162"/>
    </row>
    <row r="8" spans="1:10">
      <c r="A8" s="167">
        <f>MAX(A$1:A7)+1</f>
        <v>1</v>
      </c>
      <c r="B8" s="161"/>
      <c r="C8" s="168" t="s">
        <v>617</v>
      </c>
      <c r="D8" s="169"/>
      <c r="E8" s="170" t="s">
        <v>618</v>
      </c>
      <c r="F8" s="171"/>
      <c r="G8" s="172" t="s">
        <v>586</v>
      </c>
      <c r="H8" s="121">
        <v>1</v>
      </c>
      <c r="I8" s="257"/>
      <c r="J8" s="121">
        <f t="shared" ref="J8:J19" si="0">I8*H8</f>
        <v>0</v>
      </c>
    </row>
    <row r="9" spans="1:10">
      <c r="A9" s="156"/>
      <c r="B9" s="161"/>
      <c r="C9" s="161"/>
      <c r="D9" s="163"/>
      <c r="E9" s="173" t="s">
        <v>619</v>
      </c>
      <c r="F9" s="174"/>
      <c r="G9" s="166"/>
      <c r="H9" s="162"/>
      <c r="I9" s="162"/>
      <c r="J9" s="162"/>
    </row>
    <row r="10" spans="1:10">
      <c r="A10" s="156"/>
      <c r="B10" s="161"/>
      <c r="C10" s="161"/>
      <c r="D10" s="163"/>
      <c r="E10" s="173" t="s">
        <v>620</v>
      </c>
      <c r="F10" s="174"/>
      <c r="G10" s="166"/>
      <c r="H10" s="162"/>
      <c r="I10" s="162"/>
      <c r="J10" s="162"/>
    </row>
    <row r="11" spans="1:10">
      <c r="A11" s="156"/>
      <c r="B11" s="161"/>
      <c r="C11" s="161"/>
      <c r="D11" s="163"/>
      <c r="E11" s="173" t="s">
        <v>621</v>
      </c>
      <c r="F11" s="174"/>
      <c r="G11" s="166"/>
      <c r="H11" s="162"/>
      <c r="I11" s="162"/>
      <c r="J11" s="162"/>
    </row>
    <row r="12" spans="1:10">
      <c r="A12" s="156"/>
      <c r="B12" s="161"/>
      <c r="C12" s="161"/>
      <c r="D12" s="163"/>
      <c r="E12" s="173"/>
      <c r="F12" s="174"/>
      <c r="G12" s="166"/>
      <c r="H12" s="162"/>
      <c r="I12" s="162"/>
      <c r="J12" s="162"/>
    </row>
    <row r="13" spans="1:10">
      <c r="A13" s="167">
        <f>MAX(A$1:A12)+1</f>
        <v>2</v>
      </c>
      <c r="B13" s="161"/>
      <c r="C13" s="168" t="s">
        <v>622</v>
      </c>
      <c r="D13" s="169"/>
      <c r="E13" s="170" t="s">
        <v>623</v>
      </c>
      <c r="F13" s="171"/>
      <c r="G13" s="172" t="s">
        <v>586</v>
      </c>
      <c r="H13" s="121">
        <v>1</v>
      </c>
      <c r="I13" s="257"/>
      <c r="J13" s="121">
        <f t="shared" si="0"/>
        <v>0</v>
      </c>
    </row>
    <row r="14" spans="1:10">
      <c r="A14" s="156"/>
      <c r="B14" s="161"/>
      <c r="C14" s="161"/>
      <c r="D14" s="163"/>
      <c r="E14" s="173" t="s">
        <v>635</v>
      </c>
      <c r="F14" s="175"/>
      <c r="G14" s="166"/>
      <c r="H14" s="162"/>
      <c r="I14" s="162"/>
      <c r="J14" s="162"/>
    </row>
    <row r="15" spans="1:10">
      <c r="A15" s="167"/>
      <c r="B15" s="161"/>
      <c r="C15" s="168"/>
      <c r="D15" s="169"/>
      <c r="E15" s="170"/>
      <c r="F15" s="171"/>
      <c r="G15" s="172"/>
      <c r="H15" s="121"/>
      <c r="I15" s="121"/>
      <c r="J15" s="121"/>
    </row>
    <row r="16" spans="1:10">
      <c r="A16" s="167">
        <f>MAX(A$1:A15)+1</f>
        <v>3</v>
      </c>
      <c r="B16" s="161"/>
      <c r="C16" s="168" t="s">
        <v>624</v>
      </c>
      <c r="D16" s="169"/>
      <c r="E16" s="170" t="s">
        <v>625</v>
      </c>
      <c r="F16" s="171"/>
      <c r="G16" s="172" t="s">
        <v>586</v>
      </c>
      <c r="H16" s="121">
        <v>1</v>
      </c>
      <c r="I16" s="257"/>
      <c r="J16" s="121">
        <f t="shared" si="0"/>
        <v>0</v>
      </c>
    </row>
    <row r="17" spans="1:10">
      <c r="A17" s="156"/>
      <c r="B17" s="161"/>
      <c r="C17" s="161"/>
      <c r="D17" s="163"/>
      <c r="E17" s="173" t="s">
        <v>635</v>
      </c>
      <c r="F17" s="176"/>
      <c r="G17" s="166"/>
      <c r="H17" s="162"/>
      <c r="I17" s="162"/>
      <c r="J17" s="162"/>
    </row>
    <row r="18" spans="1:10">
      <c r="A18" s="156"/>
      <c r="B18" s="161"/>
      <c r="C18" s="161"/>
      <c r="D18" s="163"/>
      <c r="E18" s="173"/>
      <c r="F18" s="177"/>
      <c r="G18" s="166"/>
      <c r="H18" s="162"/>
      <c r="I18" s="162"/>
      <c r="J18" s="162"/>
    </row>
    <row r="19" spans="1:10">
      <c r="A19" s="167">
        <f>MAX(A$1:A18)+1</f>
        <v>4</v>
      </c>
      <c r="B19" s="161"/>
      <c r="C19" s="168" t="s">
        <v>626</v>
      </c>
      <c r="D19" s="169"/>
      <c r="E19" s="170" t="s">
        <v>627</v>
      </c>
      <c r="F19" s="171"/>
      <c r="G19" s="172" t="s">
        <v>586</v>
      </c>
      <c r="H19" s="121">
        <v>1</v>
      </c>
      <c r="I19" s="257"/>
      <c r="J19" s="121">
        <f t="shared" si="0"/>
        <v>0</v>
      </c>
    </row>
    <row r="20" spans="1:10">
      <c r="A20" s="167"/>
      <c r="B20" s="161"/>
      <c r="C20" s="168"/>
      <c r="D20" s="169"/>
      <c r="E20" s="173" t="s">
        <v>628</v>
      </c>
      <c r="F20" s="171"/>
      <c r="G20" s="172"/>
      <c r="H20" s="121"/>
      <c r="I20" s="121"/>
      <c r="J20" s="121"/>
    </row>
    <row r="21" spans="1:10">
      <c r="A21" s="178"/>
      <c r="B21" s="179"/>
      <c r="C21" s="180"/>
      <c r="D21" s="181"/>
      <c r="E21" s="182"/>
      <c r="F21" s="183"/>
      <c r="G21" s="163"/>
      <c r="H21" s="184"/>
      <c r="I21" s="184"/>
      <c r="J21" s="184"/>
    </row>
    <row r="22" spans="1:10">
      <c r="A22" s="167">
        <f>MAX(A$1:A21)+1</f>
        <v>5</v>
      </c>
      <c r="B22" s="161"/>
      <c r="C22" s="168" t="s">
        <v>629</v>
      </c>
      <c r="D22" s="169"/>
      <c r="E22" s="170" t="s">
        <v>630</v>
      </c>
      <c r="F22" s="171"/>
      <c r="G22" s="172" t="s">
        <v>2</v>
      </c>
      <c r="H22" s="121">
        <v>1</v>
      </c>
      <c r="I22" s="257"/>
      <c r="J22" s="121">
        <f t="shared" ref="J22" si="1">I22*H22</f>
        <v>0</v>
      </c>
    </row>
    <row r="23" spans="1:10" ht="25.5">
      <c r="A23" s="178"/>
      <c r="B23" s="185"/>
      <c r="C23" s="185"/>
      <c r="D23" s="169"/>
      <c r="E23" s="173" t="s">
        <v>631</v>
      </c>
      <c r="F23" s="186"/>
      <c r="G23" s="187"/>
      <c r="H23" s="184"/>
      <c r="I23" s="184"/>
      <c r="J23" s="184"/>
    </row>
    <row r="24" spans="1:10">
      <c r="A24" s="178"/>
      <c r="B24" s="179"/>
      <c r="C24" s="180"/>
      <c r="D24" s="181"/>
      <c r="E24" s="182"/>
      <c r="F24" s="183"/>
      <c r="G24" s="163"/>
      <c r="H24" s="184"/>
      <c r="I24" s="184"/>
      <c r="J24" s="184"/>
    </row>
    <row r="25" spans="1:10">
      <c r="A25" s="167">
        <f>MAX(A$1:A24)+1</f>
        <v>6</v>
      </c>
      <c r="B25" s="179"/>
      <c r="C25" s="168" t="s">
        <v>638</v>
      </c>
      <c r="D25" s="169"/>
      <c r="E25" s="170" t="s">
        <v>639</v>
      </c>
      <c r="F25" s="171"/>
      <c r="G25" s="172" t="s">
        <v>5</v>
      </c>
      <c r="H25" s="121">
        <v>313</v>
      </c>
      <c r="I25" s="257"/>
      <c r="J25" s="121">
        <f t="shared" ref="J25" si="2">I25*H25</f>
        <v>0</v>
      </c>
    </row>
    <row r="26" spans="1:10">
      <c r="A26" s="167"/>
      <c r="B26" s="179"/>
      <c r="C26" s="168"/>
      <c r="D26" s="169"/>
      <c r="E26" s="173" t="s">
        <v>640</v>
      </c>
      <c r="F26" s="171"/>
      <c r="G26" s="172"/>
      <c r="H26" s="121"/>
      <c r="I26" s="121"/>
      <c r="J26" s="121"/>
    </row>
    <row r="27" spans="1:10">
      <c r="A27" s="178"/>
      <c r="B27" s="179"/>
      <c r="C27" s="180"/>
      <c r="D27" s="188"/>
      <c r="E27" s="173" t="s">
        <v>641</v>
      </c>
      <c r="F27" s="189"/>
      <c r="G27" s="163"/>
      <c r="H27" s="190"/>
      <c r="I27" s="190"/>
      <c r="J27" s="190"/>
    </row>
    <row r="28" spans="1:10" ht="25.5">
      <c r="A28" s="178"/>
      <c r="B28" s="179"/>
      <c r="C28" s="180"/>
      <c r="D28" s="188"/>
      <c r="E28" s="173" t="s">
        <v>642</v>
      </c>
      <c r="F28" s="189"/>
      <c r="G28" s="163"/>
      <c r="H28" s="190"/>
      <c r="I28" s="190"/>
      <c r="J28" s="190"/>
    </row>
    <row r="29" spans="1:10">
      <c r="A29" s="178"/>
      <c r="B29" s="179"/>
      <c r="C29" s="180"/>
      <c r="D29" s="181"/>
      <c r="E29" s="173" t="s">
        <v>643</v>
      </c>
      <c r="F29" s="191"/>
      <c r="G29" s="163"/>
      <c r="H29" s="184"/>
      <c r="I29" s="184"/>
      <c r="J29" s="184"/>
    </row>
    <row r="30" spans="1:10">
      <c r="A30" s="156"/>
      <c r="B30" s="161"/>
      <c r="C30" s="192"/>
      <c r="D30" s="192"/>
      <c r="E30" s="193"/>
      <c r="F30" s="175"/>
      <c r="G30" s="163"/>
      <c r="H30" s="194"/>
      <c r="I30" s="194"/>
      <c r="J30" s="194"/>
    </row>
    <row r="31" spans="1:10" ht="13.5" thickBot="1">
      <c r="A31" s="195"/>
      <c r="B31" s="196"/>
      <c r="C31" s="197"/>
      <c r="D31" s="198"/>
      <c r="E31" s="199"/>
      <c r="F31" s="200"/>
      <c r="G31" s="201"/>
      <c r="H31" s="202"/>
      <c r="I31" s="202"/>
      <c r="J31" s="202"/>
    </row>
    <row r="32" spans="1:10" ht="13.5" thickBot="1">
      <c r="A32" s="116"/>
      <c r="B32" s="117"/>
      <c r="C32" s="117"/>
      <c r="D32" s="117"/>
      <c r="E32" s="117" t="s">
        <v>632</v>
      </c>
      <c r="F32" s="118"/>
      <c r="G32" s="117"/>
      <c r="H32" s="118"/>
      <c r="I32" s="118"/>
      <c r="J32" s="119">
        <f>SUM(J5:J31)</f>
        <v>0</v>
      </c>
    </row>
  </sheetData>
  <sheetProtection algorithmName="SHA-512" hashValue="ezKnfLfbu172yNlCkKqU2FmbU2NxBHQ7+/aI3Mkg65tsnI3pmYTQuwgIwUz+6Y3pNEufPn8FScMRmvlL3VIi4Q==" saltValue="B9eTZIfxoKEtlq47my2X8g==" spinCount="100000" sheet="1" objects="1" scenarios="1"/>
  <mergeCells count="6">
    <mergeCell ref="J3:J4"/>
    <mergeCell ref="A3:C3"/>
    <mergeCell ref="E3:F4"/>
    <mergeCell ref="G3:G4"/>
    <mergeCell ref="H3:H4"/>
    <mergeCell ref="I3:I4"/>
  </mergeCells>
  <pageMargins left="0.39370078740157483" right="0.19685039370078741" top="0.98425196850393704" bottom="0.98425196850393704" header="0.51181102362204722" footer="0.51181102362204722"/>
  <pageSetup paperSize="9" scale="72" orientation="portrait" r:id="rId1"/>
  <headerFooter>
    <oddHeader>&amp;LNÁZOV STAVIEB : Rekonštrukcia a obnova mostov na cestách III. triedy BBSK, oblasť JUH
STAVBA : Most ev. č. 2561-5, C III/2561 v km 9,116 – Kráľovce-Krnišov&amp;RO. Výkaz výmer a rozpočet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J643"/>
  <sheetViews>
    <sheetView showGridLines="0" zoomScaleNormal="100" workbookViewId="0">
      <pane ySplit="4" topLeftCell="A5" activePane="bottomLeft" state="frozen"/>
      <selection pane="bottomLeft"/>
    </sheetView>
  </sheetViews>
  <sheetFormatPr defaultRowHeight="12.75"/>
  <cols>
    <col min="1" max="1" width="4.7109375" style="9" customWidth="1"/>
    <col min="2" max="2" width="9.28515625" style="9" customWidth="1"/>
    <col min="3" max="3" width="9" style="9" customWidth="1"/>
    <col min="4" max="4" width="10.85546875" style="9" customWidth="1"/>
    <col min="5" max="5" width="52.7109375" style="9" customWidth="1"/>
    <col min="6" max="6" width="9.85546875" style="115" customWidth="1"/>
    <col min="7" max="7" width="5.7109375" style="9" customWidth="1"/>
    <col min="8" max="9" width="10.140625" style="115" customWidth="1"/>
    <col min="10" max="10" width="14.85546875" style="115" customWidth="1"/>
    <col min="11" max="16384" width="9.140625" style="9"/>
  </cols>
  <sheetData>
    <row r="1" spans="1:10">
      <c r="A1" s="2" t="s">
        <v>76</v>
      </c>
      <c r="B1" s="2"/>
      <c r="C1" s="3"/>
      <c r="D1" s="4"/>
      <c r="E1" s="5" t="s">
        <v>600</v>
      </c>
      <c r="F1" s="6"/>
      <c r="G1" s="7"/>
      <c r="H1" s="8"/>
      <c r="I1" s="8"/>
      <c r="J1" s="8"/>
    </row>
    <row r="2" spans="1:10" ht="13.5" thickBot="1">
      <c r="A2" s="10" t="s">
        <v>77</v>
      </c>
      <c r="B2" s="2"/>
      <c r="C2" s="3"/>
      <c r="D2" s="4"/>
      <c r="E2" s="11">
        <v>2141</v>
      </c>
      <c r="F2" s="6"/>
      <c r="G2" s="12"/>
      <c r="H2" s="13"/>
      <c r="I2" s="13"/>
      <c r="J2" s="13"/>
    </row>
    <row r="3" spans="1:10">
      <c r="A3" s="247" t="s">
        <v>78</v>
      </c>
      <c r="B3" s="248"/>
      <c r="C3" s="248"/>
      <c r="D3" s="14"/>
      <c r="E3" s="249" t="s">
        <v>79</v>
      </c>
      <c r="F3" s="250"/>
      <c r="G3" s="253" t="s">
        <v>80</v>
      </c>
      <c r="H3" s="255" t="s">
        <v>81</v>
      </c>
      <c r="I3" s="235" t="s">
        <v>602</v>
      </c>
      <c r="J3" s="235" t="s">
        <v>603</v>
      </c>
    </row>
    <row r="4" spans="1:10" ht="13.5" thickBot="1">
      <c r="A4" s="15" t="s">
        <v>82</v>
      </c>
      <c r="B4" s="16" t="s">
        <v>85</v>
      </c>
      <c r="C4" s="16" t="s">
        <v>83</v>
      </c>
      <c r="D4" s="16" t="s">
        <v>84</v>
      </c>
      <c r="E4" s="251"/>
      <c r="F4" s="252"/>
      <c r="G4" s="254"/>
      <c r="H4" s="256"/>
      <c r="I4" s="236"/>
      <c r="J4" s="236"/>
    </row>
    <row r="5" spans="1:10">
      <c r="A5" s="17"/>
      <c r="B5" s="18"/>
      <c r="C5" s="18"/>
      <c r="D5" s="19"/>
      <c r="E5" s="20"/>
      <c r="F5" s="21"/>
      <c r="G5" s="22"/>
      <c r="H5" s="23"/>
      <c r="I5" s="23"/>
      <c r="J5" s="23"/>
    </row>
    <row r="6" spans="1:10">
      <c r="A6" s="24"/>
      <c r="B6" s="25" t="s">
        <v>86</v>
      </c>
      <c r="C6" s="26"/>
      <c r="D6" s="27"/>
      <c r="E6" s="28" t="s">
        <v>88</v>
      </c>
      <c r="F6" s="29"/>
      <c r="G6" s="30"/>
      <c r="H6" s="31"/>
      <c r="I6" s="31"/>
      <c r="J6" s="31"/>
    </row>
    <row r="7" spans="1:10">
      <c r="A7" s="24"/>
      <c r="B7" s="25"/>
      <c r="C7" s="26"/>
      <c r="D7" s="27"/>
      <c r="E7" s="28"/>
      <c r="F7" s="29"/>
      <c r="G7" s="30"/>
      <c r="H7" s="31"/>
      <c r="I7" s="31"/>
      <c r="J7" s="31"/>
    </row>
    <row r="8" spans="1:10">
      <c r="A8" s="24">
        <f>MAX(A$1:A7)+1</f>
        <v>1</v>
      </c>
      <c r="B8" s="25"/>
      <c r="C8" s="32" t="s">
        <v>601</v>
      </c>
      <c r="D8" s="33"/>
      <c r="E8" s="34" t="s">
        <v>585</v>
      </c>
      <c r="F8" s="35"/>
      <c r="G8" s="36" t="s">
        <v>586</v>
      </c>
      <c r="H8" s="37">
        <v>1</v>
      </c>
      <c r="I8" s="257"/>
      <c r="J8" s="121">
        <f t="shared" ref="J8:J71" si="0">I8*H8</f>
        <v>0</v>
      </c>
    </row>
    <row r="9" spans="1:10">
      <c r="A9" s="24"/>
      <c r="B9" s="25"/>
      <c r="C9" s="38"/>
      <c r="D9" s="39"/>
      <c r="E9" s="40" t="s">
        <v>587</v>
      </c>
      <c r="F9" s="41"/>
      <c r="G9" s="42"/>
      <c r="H9" s="43"/>
      <c r="I9" s="43"/>
      <c r="J9" s="43"/>
    </row>
    <row r="10" spans="1:10">
      <c r="A10" s="24"/>
      <c r="B10" s="25"/>
      <c r="C10" s="38"/>
      <c r="D10" s="39"/>
      <c r="E10" s="44" t="s">
        <v>588</v>
      </c>
      <c r="F10" s="41"/>
      <c r="G10" s="42"/>
      <c r="H10" s="43"/>
      <c r="I10" s="43"/>
      <c r="J10" s="43"/>
    </row>
    <row r="11" spans="1:10" ht="25.5">
      <c r="A11" s="24"/>
      <c r="B11" s="25"/>
      <c r="C11" s="38"/>
      <c r="D11" s="39"/>
      <c r="E11" s="44" t="s">
        <v>589</v>
      </c>
      <c r="F11" s="41"/>
      <c r="G11" s="42"/>
      <c r="H11" s="43"/>
      <c r="I11" s="43"/>
      <c r="J11" s="43"/>
    </row>
    <row r="12" spans="1:10">
      <c r="A12" s="24"/>
      <c r="B12" s="25"/>
      <c r="C12" s="38"/>
      <c r="D12" s="38"/>
      <c r="E12" s="40" t="s">
        <v>590</v>
      </c>
      <c r="F12" s="45"/>
      <c r="G12" s="38"/>
      <c r="H12" s="46"/>
      <c r="I12" s="46"/>
      <c r="J12" s="46"/>
    </row>
    <row r="13" spans="1:10">
      <c r="A13" s="24"/>
      <c r="B13" s="25"/>
      <c r="C13" s="32"/>
      <c r="D13" s="33"/>
      <c r="E13" s="44" t="s">
        <v>591</v>
      </c>
      <c r="F13" s="35"/>
      <c r="G13" s="36"/>
      <c r="H13" s="47"/>
      <c r="I13" s="47"/>
      <c r="J13" s="47"/>
    </row>
    <row r="14" spans="1:10" ht="25.5">
      <c r="A14" s="24"/>
      <c r="B14" s="25"/>
      <c r="C14" s="32"/>
      <c r="D14" s="33"/>
      <c r="E14" s="44" t="s">
        <v>592</v>
      </c>
      <c r="F14" s="35"/>
      <c r="G14" s="36"/>
      <c r="H14" s="47"/>
      <c r="I14" s="47"/>
      <c r="J14" s="47"/>
    </row>
    <row r="15" spans="1:10">
      <c r="A15" s="48"/>
      <c r="B15" s="49"/>
      <c r="C15" s="50"/>
      <c r="D15" s="51"/>
      <c r="E15" s="52"/>
      <c r="F15" s="53"/>
      <c r="G15" s="39"/>
      <c r="H15" s="54"/>
      <c r="I15" s="54"/>
      <c r="J15" s="54"/>
    </row>
    <row r="16" spans="1:10" ht="25.5">
      <c r="A16" s="24">
        <f>MAX(A$1:A15)+1</f>
        <v>2</v>
      </c>
      <c r="B16" s="49"/>
      <c r="C16" s="32" t="s">
        <v>482</v>
      </c>
      <c r="D16" s="33"/>
      <c r="E16" s="34" t="s">
        <v>483</v>
      </c>
      <c r="F16" s="35"/>
      <c r="G16" s="36" t="s">
        <v>1</v>
      </c>
      <c r="H16" s="47">
        <v>489.28</v>
      </c>
      <c r="I16" s="258"/>
      <c r="J16" s="47">
        <f t="shared" si="0"/>
        <v>0</v>
      </c>
    </row>
    <row r="17" spans="1:10">
      <c r="A17" s="48"/>
      <c r="B17" s="49"/>
      <c r="C17" s="50"/>
      <c r="D17" s="51"/>
      <c r="E17" s="55" t="s">
        <v>472</v>
      </c>
      <c r="F17" s="53">
        <f>6.34*1.905</f>
        <v>12.08</v>
      </c>
      <c r="G17" s="39"/>
      <c r="H17" s="54"/>
      <c r="I17" s="54"/>
      <c r="J17" s="54"/>
    </row>
    <row r="18" spans="1:10">
      <c r="A18" s="48"/>
      <c r="B18" s="49"/>
      <c r="C18" s="50"/>
      <c r="D18" s="51"/>
      <c r="E18" s="55" t="s">
        <v>473</v>
      </c>
      <c r="F18" s="53">
        <f>78.63*2.4</f>
        <v>188.71</v>
      </c>
      <c r="G18" s="39"/>
      <c r="H18" s="54"/>
      <c r="I18" s="54"/>
      <c r="J18" s="54"/>
    </row>
    <row r="19" spans="1:10">
      <c r="A19" s="48"/>
      <c r="B19" s="49"/>
      <c r="C19" s="50"/>
      <c r="D19" s="51"/>
      <c r="E19" s="55" t="s">
        <v>474</v>
      </c>
      <c r="F19" s="53">
        <f>37.67*2.5</f>
        <v>94.18</v>
      </c>
      <c r="G19" s="39"/>
      <c r="H19" s="54"/>
      <c r="I19" s="54"/>
      <c r="J19" s="54"/>
    </row>
    <row r="20" spans="1:10">
      <c r="A20" s="48"/>
      <c r="B20" s="49"/>
      <c r="C20" s="50"/>
      <c r="D20" s="51"/>
      <c r="E20" s="55" t="s">
        <v>475</v>
      </c>
      <c r="F20" s="53">
        <f>14.64*2.4</f>
        <v>35.14</v>
      </c>
      <c r="G20" s="39"/>
      <c r="H20" s="54"/>
      <c r="I20" s="54"/>
      <c r="J20" s="54"/>
    </row>
    <row r="21" spans="1:10">
      <c r="A21" s="48"/>
      <c r="B21" s="49"/>
      <c r="C21" s="50"/>
      <c r="D21" s="51"/>
      <c r="E21" s="55" t="s">
        <v>576</v>
      </c>
      <c r="F21" s="53">
        <f>4*0.1</f>
        <v>0.4</v>
      </c>
      <c r="G21" s="39"/>
      <c r="H21" s="54"/>
      <c r="I21" s="54"/>
      <c r="J21" s="54"/>
    </row>
    <row r="22" spans="1:10" ht="25.5">
      <c r="A22" s="48"/>
      <c r="B22" s="49"/>
      <c r="C22" s="50"/>
      <c r="D22" s="51"/>
      <c r="E22" s="55" t="s">
        <v>542</v>
      </c>
      <c r="F22" s="53">
        <f>193.38*0.44</f>
        <v>85.09</v>
      </c>
      <c r="G22" s="39"/>
      <c r="H22" s="54"/>
      <c r="I22" s="54"/>
      <c r="J22" s="54"/>
    </row>
    <row r="23" spans="1:10">
      <c r="A23" s="48"/>
      <c r="B23" s="49"/>
      <c r="C23" s="50"/>
      <c r="D23" s="51"/>
      <c r="E23" s="55" t="s">
        <v>546</v>
      </c>
      <c r="F23" s="53">
        <f>39.6*0.4</f>
        <v>15.84</v>
      </c>
      <c r="G23" s="39"/>
      <c r="H23" s="54"/>
      <c r="I23" s="54"/>
      <c r="J23" s="54"/>
    </row>
    <row r="24" spans="1:10">
      <c r="A24" s="48"/>
      <c r="B24" s="49"/>
      <c r="C24" s="50"/>
      <c r="D24" s="51"/>
      <c r="E24" s="55" t="s">
        <v>476</v>
      </c>
      <c r="F24" s="53">
        <f>48.8*0.042</f>
        <v>2.0499999999999998</v>
      </c>
      <c r="G24" s="39"/>
      <c r="H24" s="54"/>
      <c r="I24" s="54"/>
      <c r="J24" s="54"/>
    </row>
    <row r="25" spans="1:10" ht="25.5">
      <c r="A25" s="48"/>
      <c r="B25" s="49"/>
      <c r="C25" s="50"/>
      <c r="D25" s="51"/>
      <c r="E25" s="55" t="s">
        <v>540</v>
      </c>
      <c r="F25" s="56">
        <f xml:space="preserve"> 105.5*0.051+103.18*0.102+314.18*0.127</f>
        <v>55.81</v>
      </c>
      <c r="G25" s="39"/>
      <c r="H25" s="54"/>
      <c r="I25" s="54"/>
      <c r="J25" s="54"/>
    </row>
    <row r="26" spans="1:10">
      <c r="A26" s="48"/>
      <c r="B26" s="49"/>
      <c r="C26" s="50"/>
      <c r="D26" s="51"/>
      <c r="E26" s="57" t="s">
        <v>159</v>
      </c>
      <c r="F26" s="53">
        <f>SUM(F17:F25)</f>
        <v>489.3</v>
      </c>
      <c r="G26" s="39"/>
      <c r="H26" s="54"/>
      <c r="I26" s="54"/>
      <c r="J26" s="54"/>
    </row>
    <row r="27" spans="1:10">
      <c r="A27" s="48"/>
      <c r="B27" s="49"/>
      <c r="C27" s="50"/>
      <c r="D27" s="51"/>
      <c r="E27" s="57"/>
      <c r="F27" s="53"/>
      <c r="G27" s="39"/>
      <c r="H27" s="54"/>
      <c r="I27" s="54"/>
      <c r="J27" s="54"/>
    </row>
    <row r="28" spans="1:10">
      <c r="A28" s="24">
        <f>MAX(A$1:A27)+1</f>
        <v>3</v>
      </c>
      <c r="B28" s="49"/>
      <c r="C28" s="32" t="s">
        <v>89</v>
      </c>
      <c r="D28" s="33"/>
      <c r="E28" s="34" t="s">
        <v>90</v>
      </c>
      <c r="F28" s="35"/>
      <c r="G28" s="36" t="s">
        <v>22</v>
      </c>
      <c r="H28" s="47">
        <v>381.86</v>
      </c>
      <c r="I28" s="258"/>
      <c r="J28" s="47">
        <f t="shared" si="0"/>
        <v>0</v>
      </c>
    </row>
    <row r="29" spans="1:10">
      <c r="A29" s="24"/>
      <c r="B29" s="49"/>
      <c r="C29" s="32"/>
      <c r="D29" s="33"/>
      <c r="E29" s="52" t="s">
        <v>484</v>
      </c>
      <c r="F29" s="35"/>
      <c r="G29" s="36"/>
      <c r="H29" s="47"/>
      <c r="I29" s="47"/>
      <c r="J29" s="47"/>
    </row>
    <row r="30" spans="1:10">
      <c r="A30" s="48"/>
      <c r="B30" s="49"/>
      <c r="C30" s="50"/>
      <c r="D30" s="51"/>
      <c r="E30" s="55" t="s">
        <v>478</v>
      </c>
      <c r="F30" s="53">
        <v>399.27</v>
      </c>
      <c r="G30" s="39"/>
      <c r="H30" s="54"/>
      <c r="I30" s="54"/>
      <c r="J30" s="54"/>
    </row>
    <row r="31" spans="1:10">
      <c r="A31" s="48"/>
      <c r="B31" s="49"/>
      <c r="C31" s="50"/>
      <c r="D31" s="51"/>
      <c r="E31" s="55" t="s">
        <v>479</v>
      </c>
      <c r="F31" s="53">
        <v>24.51</v>
      </c>
      <c r="G31" s="39"/>
      <c r="H31" s="54"/>
      <c r="I31" s="54"/>
      <c r="J31" s="54"/>
    </row>
    <row r="32" spans="1:10">
      <c r="A32" s="48"/>
      <c r="B32" s="49"/>
      <c r="C32" s="50"/>
      <c r="D32" s="51"/>
      <c r="E32" s="55" t="s">
        <v>480</v>
      </c>
      <c r="F32" s="53">
        <v>-96.38</v>
      </c>
      <c r="G32" s="39"/>
      <c r="H32" s="54"/>
      <c r="I32" s="54"/>
      <c r="J32" s="54"/>
    </row>
    <row r="33" spans="1:10">
      <c r="A33" s="48"/>
      <c r="B33" s="49"/>
      <c r="C33" s="50"/>
      <c r="D33" s="51"/>
      <c r="E33" s="55" t="s">
        <v>571</v>
      </c>
      <c r="F33" s="56">
        <v>54.46</v>
      </c>
      <c r="G33" s="39"/>
      <c r="H33" s="54"/>
      <c r="I33" s="54"/>
      <c r="J33" s="54"/>
    </row>
    <row r="34" spans="1:10">
      <c r="A34" s="48"/>
      <c r="B34" s="49"/>
      <c r="C34" s="50"/>
      <c r="D34" s="51"/>
      <c r="E34" s="57" t="s">
        <v>159</v>
      </c>
      <c r="F34" s="53">
        <f>SUM(F30:F33)</f>
        <v>381.86</v>
      </c>
      <c r="G34" s="39"/>
      <c r="H34" s="54"/>
      <c r="I34" s="54"/>
      <c r="J34" s="54"/>
    </row>
    <row r="35" spans="1:10">
      <c r="A35" s="48"/>
      <c r="B35" s="49"/>
      <c r="C35" s="50"/>
      <c r="D35" s="51"/>
      <c r="E35" s="57"/>
      <c r="F35" s="53"/>
      <c r="G35" s="39"/>
      <c r="H35" s="54"/>
      <c r="I35" s="54"/>
      <c r="J35" s="54"/>
    </row>
    <row r="36" spans="1:10">
      <c r="A36" s="48"/>
      <c r="B36" s="49"/>
      <c r="C36" s="50"/>
      <c r="D36" s="51"/>
      <c r="E36" s="57"/>
      <c r="F36" s="53"/>
      <c r="G36" s="39"/>
      <c r="H36" s="54"/>
      <c r="I36" s="54"/>
      <c r="J36" s="54"/>
    </row>
    <row r="37" spans="1:10" ht="15.75">
      <c r="A37" s="48"/>
      <c r="B37" s="25" t="s">
        <v>222</v>
      </c>
      <c r="C37" s="58"/>
      <c r="D37" s="59"/>
      <c r="E37" s="60" t="s">
        <v>223</v>
      </c>
      <c r="F37" s="53"/>
      <c r="G37" s="39"/>
      <c r="H37" s="54"/>
      <c r="I37" s="54"/>
      <c r="J37" s="54"/>
    </row>
    <row r="38" spans="1:10">
      <c r="A38" s="48"/>
      <c r="B38" s="49"/>
      <c r="C38" s="50"/>
      <c r="D38" s="51"/>
      <c r="E38" s="57"/>
      <c r="F38" s="53"/>
      <c r="G38" s="39"/>
      <c r="H38" s="54"/>
      <c r="I38" s="54"/>
      <c r="J38" s="54"/>
    </row>
    <row r="39" spans="1:10" ht="25.5">
      <c r="A39" s="24">
        <f>MAX(A$1:A38)+1</f>
        <v>4</v>
      </c>
      <c r="B39" s="49"/>
      <c r="C39" s="32" t="s">
        <v>224</v>
      </c>
      <c r="D39" s="33"/>
      <c r="E39" s="34" t="s">
        <v>225</v>
      </c>
      <c r="F39" s="35"/>
      <c r="G39" s="36" t="s">
        <v>22</v>
      </c>
      <c r="H39" s="61">
        <v>6.34</v>
      </c>
      <c r="I39" s="259"/>
      <c r="J39" s="61">
        <f t="shared" si="0"/>
        <v>0</v>
      </c>
    </row>
    <row r="40" spans="1:10">
      <c r="A40" s="48"/>
      <c r="B40" s="49"/>
      <c r="C40" s="32"/>
      <c r="D40" s="33"/>
      <c r="E40" s="52" t="s">
        <v>442</v>
      </c>
      <c r="F40" s="35"/>
      <c r="G40" s="36"/>
      <c r="H40" s="54"/>
      <c r="I40" s="54"/>
      <c r="J40" s="54"/>
    </row>
    <row r="41" spans="1:10">
      <c r="A41" s="48"/>
      <c r="B41" s="49"/>
      <c r="C41" s="32"/>
      <c r="D41" s="33"/>
      <c r="E41" s="55" t="s">
        <v>443</v>
      </c>
      <c r="F41" s="53">
        <f xml:space="preserve"> 10.9*0.15*0.3+3*2*0.3</f>
        <v>2.29</v>
      </c>
      <c r="G41" s="36"/>
      <c r="H41" s="54"/>
      <c r="I41" s="54"/>
      <c r="J41" s="54"/>
    </row>
    <row r="42" spans="1:10">
      <c r="A42" s="48"/>
      <c r="B42" s="49"/>
      <c r="C42" s="32"/>
      <c r="D42" s="33"/>
      <c r="E42" s="55" t="s">
        <v>445</v>
      </c>
      <c r="F42" s="53">
        <f xml:space="preserve"> (8.2+1)*2*0.15*0.3</f>
        <v>0.83</v>
      </c>
      <c r="G42" s="36"/>
      <c r="H42" s="54"/>
      <c r="I42" s="54"/>
      <c r="J42" s="54"/>
    </row>
    <row r="43" spans="1:10">
      <c r="A43" s="48"/>
      <c r="B43" s="49"/>
      <c r="C43" s="32"/>
      <c r="D43" s="33"/>
      <c r="E43" s="55" t="s">
        <v>444</v>
      </c>
      <c r="F43" s="56">
        <f xml:space="preserve"> 11.2*0.2*0.3+4.25*2*0.3</f>
        <v>3.22</v>
      </c>
      <c r="G43" s="36"/>
      <c r="H43" s="54"/>
      <c r="I43" s="54"/>
      <c r="J43" s="54"/>
    </row>
    <row r="44" spans="1:10">
      <c r="A44" s="48"/>
      <c r="B44" s="49"/>
      <c r="C44" s="32"/>
      <c r="D44" s="33"/>
      <c r="E44" s="57" t="s">
        <v>159</v>
      </c>
      <c r="F44" s="53">
        <f>SUM(F41:F43)</f>
        <v>6.34</v>
      </c>
      <c r="G44" s="36"/>
      <c r="H44" s="54"/>
      <c r="I44" s="54"/>
      <c r="J44" s="54"/>
    </row>
    <row r="45" spans="1:10">
      <c r="A45" s="48"/>
      <c r="B45" s="49"/>
      <c r="C45" s="32"/>
      <c r="D45" s="33"/>
      <c r="E45" s="34"/>
      <c r="F45" s="35"/>
      <c r="G45" s="36"/>
      <c r="H45" s="54"/>
      <c r="I45" s="54"/>
      <c r="J45" s="54"/>
    </row>
    <row r="46" spans="1:10" ht="25.5">
      <c r="A46" s="24">
        <f>MAX(A$1:A45)+1</f>
        <v>5</v>
      </c>
      <c r="B46" s="49"/>
      <c r="C46" s="32" t="s">
        <v>230</v>
      </c>
      <c r="D46" s="33"/>
      <c r="E46" s="34" t="s">
        <v>231</v>
      </c>
      <c r="F46" s="35"/>
      <c r="G46" s="36" t="s">
        <v>22</v>
      </c>
      <c r="H46" s="61">
        <v>78.63</v>
      </c>
      <c r="I46" s="259"/>
      <c r="J46" s="61">
        <f t="shared" si="0"/>
        <v>0</v>
      </c>
    </row>
    <row r="47" spans="1:10">
      <c r="A47" s="48"/>
      <c r="B47" s="49"/>
      <c r="C47" s="32"/>
      <c r="D47" s="33"/>
      <c r="E47" s="52" t="s">
        <v>442</v>
      </c>
      <c r="F47" s="35"/>
      <c r="G47" s="36"/>
      <c r="H47" s="54"/>
      <c r="I47" s="54"/>
      <c r="J47" s="54"/>
    </row>
    <row r="48" spans="1:10">
      <c r="A48" s="48"/>
      <c r="B48" s="49"/>
      <c r="C48" s="32"/>
      <c r="D48" s="33"/>
      <c r="E48" s="55" t="s">
        <v>451</v>
      </c>
      <c r="F48" s="53">
        <f xml:space="preserve"> 0.9*7.9+3*0.9*2-2.29</f>
        <v>10.220000000000001</v>
      </c>
      <c r="G48" s="36"/>
      <c r="H48" s="54"/>
      <c r="I48" s="54"/>
      <c r="J48" s="54"/>
    </row>
    <row r="49" spans="1:10">
      <c r="A49" s="48"/>
      <c r="B49" s="49"/>
      <c r="C49" s="32"/>
      <c r="D49" s="33"/>
      <c r="E49" s="55" t="s">
        <v>450</v>
      </c>
      <c r="F49" s="53">
        <f xml:space="preserve"> 8.1*1*0.56-0.83</f>
        <v>3.71</v>
      </c>
      <c r="G49" s="36"/>
      <c r="H49" s="54"/>
      <c r="I49" s="54"/>
      <c r="J49" s="54"/>
    </row>
    <row r="50" spans="1:10">
      <c r="A50" s="48"/>
      <c r="B50" s="49"/>
      <c r="C50" s="32"/>
      <c r="D50" s="33"/>
      <c r="E50" s="55" t="s">
        <v>452</v>
      </c>
      <c r="F50" s="56">
        <f xml:space="preserve"> 0.95*8.2+4.25*0.8*2-3.22</f>
        <v>11.37</v>
      </c>
      <c r="G50" s="36"/>
      <c r="H50" s="54"/>
      <c r="I50" s="54"/>
      <c r="J50" s="54"/>
    </row>
    <row r="51" spans="1:10">
      <c r="A51" s="48"/>
      <c r="B51" s="49"/>
      <c r="C51" s="32"/>
      <c r="D51" s="33"/>
      <c r="E51" s="57" t="s">
        <v>159</v>
      </c>
      <c r="F51" s="53">
        <f>SUM(F48:F50)</f>
        <v>25.3</v>
      </c>
      <c r="G51" s="36"/>
      <c r="H51" s="54"/>
      <c r="I51" s="54"/>
      <c r="J51" s="54"/>
    </row>
    <row r="52" spans="1:10">
      <c r="A52" s="48"/>
      <c r="B52" s="49"/>
      <c r="C52" s="32"/>
      <c r="D52" s="33"/>
      <c r="E52" s="52" t="s">
        <v>449</v>
      </c>
      <c r="F52" s="53"/>
      <c r="G52" s="36"/>
      <c r="H52" s="54"/>
      <c r="I52" s="54"/>
      <c r="J52" s="54"/>
    </row>
    <row r="53" spans="1:10">
      <c r="A53" s="48"/>
      <c r="B53" s="49"/>
      <c r="C53" s="32"/>
      <c r="D53" s="33"/>
      <c r="E53" s="55" t="s">
        <v>458</v>
      </c>
      <c r="F53" s="56">
        <f>5*18.2-37.67</f>
        <v>53.33</v>
      </c>
      <c r="G53" s="36"/>
      <c r="H53" s="54"/>
      <c r="I53" s="54"/>
      <c r="J53" s="54"/>
    </row>
    <row r="54" spans="1:10">
      <c r="A54" s="48"/>
      <c r="B54" s="49"/>
      <c r="C54" s="32"/>
      <c r="D54" s="33"/>
      <c r="E54" s="62" t="s">
        <v>159</v>
      </c>
      <c r="F54" s="63">
        <f>F51+F53</f>
        <v>78.63</v>
      </c>
      <c r="G54" s="36"/>
      <c r="H54" s="54"/>
      <c r="I54" s="54"/>
      <c r="J54" s="54"/>
    </row>
    <row r="55" spans="1:10">
      <c r="A55" s="48"/>
      <c r="B55" s="49"/>
      <c r="C55" s="50"/>
      <c r="D55" s="51"/>
      <c r="E55" s="57"/>
      <c r="F55" s="53"/>
      <c r="G55" s="39"/>
      <c r="H55" s="54"/>
      <c r="I55" s="54"/>
      <c r="J55" s="54"/>
    </row>
    <row r="56" spans="1:10" ht="25.5">
      <c r="A56" s="24">
        <f>MAX(A$1:A55)+1</f>
        <v>6</v>
      </c>
      <c r="B56" s="49"/>
      <c r="C56" s="32" t="s">
        <v>228</v>
      </c>
      <c r="D56" s="33"/>
      <c r="E56" s="34" t="s">
        <v>229</v>
      </c>
      <c r="F56" s="35"/>
      <c r="G56" s="36" t="s">
        <v>22</v>
      </c>
      <c r="H56" s="61">
        <v>37.67</v>
      </c>
      <c r="I56" s="259"/>
      <c r="J56" s="61">
        <f t="shared" si="0"/>
        <v>0</v>
      </c>
    </row>
    <row r="57" spans="1:10">
      <c r="A57" s="48"/>
      <c r="B57" s="49"/>
      <c r="C57" s="32"/>
      <c r="D57" s="33"/>
      <c r="E57" s="55" t="s">
        <v>447</v>
      </c>
      <c r="F57" s="53">
        <f xml:space="preserve"> 0.14*18.2*12+0.195*18.2*2</f>
        <v>37.67</v>
      </c>
      <c r="G57" s="36"/>
      <c r="H57" s="54"/>
      <c r="I57" s="54"/>
      <c r="J57" s="54"/>
    </row>
    <row r="58" spans="1:10">
      <c r="A58" s="48"/>
      <c r="B58" s="49"/>
      <c r="C58" s="50"/>
      <c r="D58" s="51"/>
      <c r="E58" s="57"/>
      <c r="F58" s="53"/>
      <c r="G58" s="39"/>
      <c r="H58" s="54"/>
      <c r="I58" s="54"/>
      <c r="J58" s="54"/>
    </row>
    <row r="59" spans="1:10" ht="25.5">
      <c r="A59" s="24">
        <f>MAX(A$1:A58)+1</f>
        <v>7</v>
      </c>
      <c r="B59" s="49"/>
      <c r="C59" s="32" t="s">
        <v>226</v>
      </c>
      <c r="D59" s="33"/>
      <c r="E59" s="34" t="s">
        <v>227</v>
      </c>
      <c r="F59" s="35"/>
      <c r="G59" s="36" t="s">
        <v>22</v>
      </c>
      <c r="H59" s="61">
        <v>14.64</v>
      </c>
      <c r="I59" s="259"/>
      <c r="J59" s="61">
        <f t="shared" si="0"/>
        <v>0</v>
      </c>
    </row>
    <row r="60" spans="1:10">
      <c r="A60" s="48"/>
      <c r="B60" s="49"/>
      <c r="C60" s="50"/>
      <c r="D60" s="51"/>
      <c r="E60" s="55" t="s">
        <v>448</v>
      </c>
      <c r="F60" s="53">
        <f xml:space="preserve"> 0.3*2*24.4</f>
        <v>14.64</v>
      </c>
      <c r="G60" s="39"/>
      <c r="H60" s="54"/>
      <c r="I60" s="54"/>
      <c r="J60" s="54"/>
    </row>
    <row r="61" spans="1:10">
      <c r="A61" s="48"/>
      <c r="B61" s="49"/>
      <c r="C61" s="50"/>
      <c r="D61" s="51"/>
      <c r="E61" s="55"/>
      <c r="F61" s="53"/>
      <c r="G61" s="39"/>
      <c r="H61" s="54"/>
      <c r="I61" s="54"/>
      <c r="J61" s="54"/>
    </row>
    <row r="62" spans="1:10" ht="25.5">
      <c r="A62" s="24">
        <f>MAX(A$1:A61)+1</f>
        <v>8</v>
      </c>
      <c r="B62" s="49"/>
      <c r="C62" s="32" t="s">
        <v>573</v>
      </c>
      <c r="D62" s="33"/>
      <c r="E62" s="34" t="s">
        <v>574</v>
      </c>
      <c r="F62" s="35"/>
      <c r="G62" s="36" t="s">
        <v>2</v>
      </c>
      <c r="H62" s="61">
        <v>4</v>
      </c>
      <c r="I62" s="259"/>
      <c r="J62" s="61">
        <f t="shared" si="0"/>
        <v>0</v>
      </c>
    </row>
    <row r="63" spans="1:10">
      <c r="A63" s="48"/>
      <c r="B63" s="49"/>
      <c r="C63" s="50"/>
      <c r="D63" s="51"/>
      <c r="E63" s="55" t="s">
        <v>575</v>
      </c>
      <c r="F63" s="53">
        <v>4</v>
      </c>
      <c r="G63" s="39"/>
      <c r="H63" s="54"/>
      <c r="I63" s="54"/>
      <c r="J63" s="54"/>
    </row>
    <row r="64" spans="1:10">
      <c r="A64" s="48"/>
      <c r="B64" s="49"/>
      <c r="C64" s="50"/>
      <c r="D64" s="51"/>
      <c r="E64" s="55"/>
      <c r="F64" s="53"/>
      <c r="G64" s="39"/>
      <c r="H64" s="54"/>
      <c r="I64" s="54"/>
      <c r="J64" s="54"/>
    </row>
    <row r="65" spans="1:10" ht="25.5">
      <c r="A65" s="24">
        <f>MAX(A$1:A64)+1</f>
        <v>9</v>
      </c>
      <c r="B65" s="49"/>
      <c r="C65" s="32" t="s">
        <v>453</v>
      </c>
      <c r="D65" s="33"/>
      <c r="E65" s="34" t="s">
        <v>454</v>
      </c>
      <c r="F65" s="35"/>
      <c r="G65" s="36" t="s">
        <v>5</v>
      </c>
      <c r="H65" s="61">
        <v>193.38</v>
      </c>
      <c r="I65" s="259"/>
      <c r="J65" s="61">
        <f t="shared" si="0"/>
        <v>0</v>
      </c>
    </row>
    <row r="66" spans="1:10" ht="38.25">
      <c r="A66" s="48"/>
      <c r="B66" s="49"/>
      <c r="C66" s="64"/>
      <c r="D66" s="65" t="s">
        <v>455</v>
      </c>
      <c r="E66" s="66" t="s">
        <v>456</v>
      </c>
      <c r="F66" s="67"/>
      <c r="G66" s="68" t="s">
        <v>5</v>
      </c>
      <c r="H66" s="54">
        <v>193.38</v>
      </c>
      <c r="I66" s="54"/>
      <c r="J66" s="54"/>
    </row>
    <row r="67" spans="1:10" ht="25.5">
      <c r="A67" s="48"/>
      <c r="B67" s="49"/>
      <c r="C67" s="50"/>
      <c r="D67" s="51"/>
      <c r="E67" s="55" t="s">
        <v>457</v>
      </c>
      <c r="F67" s="53">
        <f xml:space="preserve"> 7.625*18.2</f>
        <v>138.78</v>
      </c>
      <c r="G67" s="39"/>
      <c r="H67" s="54"/>
      <c r="I67" s="54"/>
      <c r="J67" s="54"/>
    </row>
    <row r="68" spans="1:10">
      <c r="A68" s="48"/>
      <c r="B68" s="49"/>
      <c r="C68" s="50"/>
      <c r="D68" s="51"/>
      <c r="E68" s="55" t="s">
        <v>541</v>
      </c>
      <c r="F68" s="56">
        <f xml:space="preserve"> 29.2+25.4</f>
        <v>54.6</v>
      </c>
      <c r="G68" s="39"/>
      <c r="H68" s="54"/>
      <c r="I68" s="54"/>
      <c r="J68" s="54"/>
    </row>
    <row r="69" spans="1:10">
      <c r="A69" s="48"/>
      <c r="B69" s="49"/>
      <c r="C69" s="50"/>
      <c r="D69" s="51"/>
      <c r="E69" s="57" t="s">
        <v>159</v>
      </c>
      <c r="F69" s="53">
        <f>SUM(F67:F68)</f>
        <v>193.38</v>
      </c>
      <c r="G69" s="39"/>
      <c r="H69" s="54"/>
      <c r="I69" s="54"/>
      <c r="J69" s="54"/>
    </row>
    <row r="70" spans="1:10">
      <c r="A70" s="48"/>
      <c r="B70" s="49"/>
      <c r="C70" s="50"/>
      <c r="D70" s="51"/>
      <c r="E70" s="57"/>
      <c r="F70" s="53"/>
      <c r="G70" s="39"/>
      <c r="H70" s="54"/>
      <c r="I70" s="54"/>
      <c r="J70" s="54"/>
    </row>
    <row r="71" spans="1:10" ht="38.25">
      <c r="A71" s="24">
        <f>MAX(A$1:A70)+1</f>
        <v>10</v>
      </c>
      <c r="B71" s="49"/>
      <c r="C71" s="32" t="s">
        <v>543</v>
      </c>
      <c r="D71" s="33"/>
      <c r="E71" s="34" t="s">
        <v>544</v>
      </c>
      <c r="F71" s="35"/>
      <c r="G71" s="36" t="s">
        <v>5</v>
      </c>
      <c r="H71" s="61">
        <v>39.6</v>
      </c>
      <c r="I71" s="259"/>
      <c r="J71" s="61">
        <f t="shared" si="0"/>
        <v>0</v>
      </c>
    </row>
    <row r="72" spans="1:10" ht="38.25">
      <c r="A72" s="24"/>
      <c r="B72" s="49"/>
      <c r="C72" s="32"/>
      <c r="D72" s="65" t="s">
        <v>547</v>
      </c>
      <c r="E72" s="66" t="s">
        <v>548</v>
      </c>
      <c r="F72" s="67"/>
      <c r="G72" s="68" t="s">
        <v>5</v>
      </c>
      <c r="H72" s="54">
        <v>39.6</v>
      </c>
      <c r="I72" s="54"/>
      <c r="J72" s="54"/>
    </row>
    <row r="73" spans="1:10">
      <c r="A73" s="48"/>
      <c r="B73" s="49"/>
      <c r="C73" s="50"/>
      <c r="D73" s="51"/>
      <c r="E73" s="55" t="s">
        <v>545</v>
      </c>
      <c r="F73" s="53">
        <f xml:space="preserve"> 20.6+19</f>
        <v>39.6</v>
      </c>
      <c r="G73" s="39"/>
      <c r="H73" s="54"/>
      <c r="I73" s="54"/>
      <c r="J73" s="54"/>
    </row>
    <row r="74" spans="1:10">
      <c r="A74" s="48"/>
      <c r="B74" s="49"/>
      <c r="C74" s="50"/>
      <c r="D74" s="51"/>
      <c r="E74" s="57"/>
      <c r="F74" s="53"/>
      <c r="G74" s="39"/>
      <c r="H74" s="54"/>
      <c r="I74" s="54"/>
      <c r="J74" s="54"/>
    </row>
    <row r="75" spans="1:10" ht="38.25">
      <c r="A75" s="24">
        <f>MAX(A$1:A74)+1</f>
        <v>11</v>
      </c>
      <c r="B75" s="49"/>
      <c r="C75" s="32" t="s">
        <v>232</v>
      </c>
      <c r="D75" s="33"/>
      <c r="E75" s="34" t="s">
        <v>233</v>
      </c>
      <c r="F75" s="35"/>
      <c r="G75" s="36" t="s">
        <v>11</v>
      </c>
      <c r="H75" s="61">
        <v>48.8</v>
      </c>
      <c r="I75" s="259"/>
      <c r="J75" s="61">
        <f t="shared" ref="J75:J135" si="1">I75*H75</f>
        <v>0</v>
      </c>
    </row>
    <row r="76" spans="1:10">
      <c r="A76" s="48"/>
      <c r="B76" s="49"/>
      <c r="C76" s="50"/>
      <c r="D76" s="51"/>
      <c r="E76" s="55" t="s">
        <v>441</v>
      </c>
      <c r="F76" s="53">
        <f xml:space="preserve"> 24.4*2</f>
        <v>48.8</v>
      </c>
      <c r="G76" s="39"/>
      <c r="H76" s="54"/>
      <c r="I76" s="54"/>
      <c r="J76" s="54"/>
    </row>
    <row r="77" spans="1:10">
      <c r="A77" s="48"/>
      <c r="B77" s="49"/>
      <c r="C77" s="50"/>
      <c r="D77" s="51"/>
      <c r="E77" s="57"/>
      <c r="F77" s="53"/>
      <c r="G77" s="39"/>
      <c r="H77" s="54"/>
      <c r="I77" s="54"/>
      <c r="J77" s="54"/>
    </row>
    <row r="78" spans="1:10">
      <c r="A78" s="24">
        <f>MAX(A$1:A77)+1</f>
        <v>12</v>
      </c>
      <c r="B78" s="49"/>
      <c r="C78" s="32" t="s">
        <v>234</v>
      </c>
      <c r="D78" s="33"/>
      <c r="E78" s="34" t="s">
        <v>235</v>
      </c>
      <c r="F78" s="35"/>
      <c r="G78" s="36" t="s">
        <v>1</v>
      </c>
      <c r="H78" s="47">
        <v>489.28</v>
      </c>
      <c r="I78" s="258"/>
      <c r="J78" s="47">
        <f t="shared" si="1"/>
        <v>0</v>
      </c>
    </row>
    <row r="79" spans="1:10">
      <c r="A79" s="48" t="s">
        <v>470</v>
      </c>
      <c r="B79" s="49"/>
      <c r="C79" s="64"/>
      <c r="D79" s="65" t="s">
        <v>236</v>
      </c>
      <c r="E79" s="66" t="s">
        <v>237</v>
      </c>
      <c r="F79" s="67"/>
      <c r="G79" s="68" t="s">
        <v>1</v>
      </c>
      <c r="H79" s="54">
        <v>489.28</v>
      </c>
      <c r="I79" s="54"/>
      <c r="J79" s="54"/>
    </row>
    <row r="80" spans="1:10">
      <c r="A80" s="48"/>
      <c r="B80" s="49"/>
      <c r="C80" s="64"/>
      <c r="D80" s="65"/>
      <c r="E80" s="55" t="s">
        <v>471</v>
      </c>
      <c r="F80" s="67"/>
      <c r="G80" s="68"/>
      <c r="H80" s="54"/>
      <c r="I80" s="54"/>
      <c r="J80" s="54"/>
    </row>
    <row r="81" spans="1:10">
      <c r="A81" s="48"/>
      <c r="B81" s="49"/>
      <c r="C81" s="64"/>
      <c r="D81" s="65"/>
      <c r="E81" s="55" t="s">
        <v>472</v>
      </c>
      <c r="F81" s="53">
        <f>6.34*1.905</f>
        <v>12.08</v>
      </c>
      <c r="G81" s="68"/>
      <c r="H81" s="54"/>
      <c r="I81" s="54"/>
      <c r="J81" s="54"/>
    </row>
    <row r="82" spans="1:10">
      <c r="A82" s="48"/>
      <c r="B82" s="49"/>
      <c r="C82" s="64"/>
      <c r="D82" s="65"/>
      <c r="E82" s="55" t="s">
        <v>473</v>
      </c>
      <c r="F82" s="53">
        <f>78.63*2.4</f>
        <v>188.71</v>
      </c>
      <c r="G82" s="68"/>
      <c r="H82" s="54"/>
      <c r="I82" s="54"/>
      <c r="J82" s="54"/>
    </row>
    <row r="83" spans="1:10">
      <c r="A83" s="48"/>
      <c r="B83" s="49"/>
      <c r="C83" s="64"/>
      <c r="D83" s="65"/>
      <c r="E83" s="55" t="s">
        <v>474</v>
      </c>
      <c r="F83" s="53">
        <f>37.67*2.5</f>
        <v>94.18</v>
      </c>
      <c r="G83" s="68"/>
      <c r="H83" s="54"/>
      <c r="I83" s="54"/>
      <c r="J83" s="54"/>
    </row>
    <row r="84" spans="1:10">
      <c r="A84" s="48"/>
      <c r="B84" s="49"/>
      <c r="C84" s="64"/>
      <c r="D84" s="65"/>
      <c r="E84" s="55" t="s">
        <v>475</v>
      </c>
      <c r="F84" s="53">
        <f>14.64*2.4</f>
        <v>35.14</v>
      </c>
      <c r="G84" s="68"/>
      <c r="H84" s="54"/>
      <c r="I84" s="54"/>
      <c r="J84" s="54"/>
    </row>
    <row r="85" spans="1:10">
      <c r="A85" s="48"/>
      <c r="B85" s="49"/>
      <c r="C85" s="64"/>
      <c r="D85" s="65"/>
      <c r="E85" s="55" t="s">
        <v>576</v>
      </c>
      <c r="F85" s="53">
        <f>4*0.1</f>
        <v>0.4</v>
      </c>
      <c r="G85" s="68"/>
      <c r="H85" s="54"/>
      <c r="I85" s="54"/>
      <c r="J85" s="54"/>
    </row>
    <row r="86" spans="1:10" ht="25.5">
      <c r="A86" s="48"/>
      <c r="B86" s="49"/>
      <c r="C86" s="64"/>
      <c r="D86" s="65"/>
      <c r="E86" s="55" t="s">
        <v>542</v>
      </c>
      <c r="F86" s="53">
        <f>193.38*0.44</f>
        <v>85.09</v>
      </c>
      <c r="G86" s="68"/>
      <c r="H86" s="54"/>
      <c r="I86" s="54"/>
      <c r="J86" s="54"/>
    </row>
    <row r="87" spans="1:10">
      <c r="A87" s="48"/>
      <c r="B87" s="49"/>
      <c r="C87" s="64"/>
      <c r="D87" s="65"/>
      <c r="E87" s="55" t="s">
        <v>546</v>
      </c>
      <c r="F87" s="53">
        <f>39.6*0.4</f>
        <v>15.84</v>
      </c>
      <c r="G87" s="68"/>
      <c r="H87" s="54"/>
      <c r="I87" s="54"/>
      <c r="J87" s="54"/>
    </row>
    <row r="88" spans="1:10">
      <c r="A88" s="48"/>
      <c r="B88" s="49"/>
      <c r="C88" s="64"/>
      <c r="D88" s="65"/>
      <c r="E88" s="55" t="s">
        <v>476</v>
      </c>
      <c r="F88" s="53">
        <f>48.8*0.042</f>
        <v>2.0499999999999998</v>
      </c>
      <c r="G88" s="68"/>
      <c r="H88" s="54"/>
      <c r="I88" s="54"/>
      <c r="J88" s="54"/>
    </row>
    <row r="89" spans="1:10" ht="25.5">
      <c r="A89" s="48"/>
      <c r="B89" s="49"/>
      <c r="C89" s="64"/>
      <c r="D89" s="65"/>
      <c r="E89" s="55" t="s">
        <v>540</v>
      </c>
      <c r="F89" s="56">
        <f xml:space="preserve"> 105.5*0.051+103.18*0.102+314.18*0.127</f>
        <v>55.81</v>
      </c>
      <c r="G89" s="68"/>
      <c r="H89" s="54"/>
      <c r="I89" s="54"/>
      <c r="J89" s="54"/>
    </row>
    <row r="90" spans="1:10">
      <c r="A90" s="48"/>
      <c r="B90" s="49"/>
      <c r="C90" s="64"/>
      <c r="D90" s="65"/>
      <c r="E90" s="57" t="s">
        <v>159</v>
      </c>
      <c r="F90" s="53">
        <f>SUM(F81:F89)</f>
        <v>489.3</v>
      </c>
      <c r="G90" s="68"/>
      <c r="H90" s="54"/>
      <c r="I90" s="54"/>
      <c r="J90" s="54"/>
    </row>
    <row r="91" spans="1:10">
      <c r="A91" s="48"/>
      <c r="B91" s="49"/>
      <c r="C91" s="50"/>
      <c r="D91" s="51"/>
      <c r="E91" s="57"/>
      <c r="F91" s="53"/>
      <c r="G91" s="39"/>
      <c r="H91" s="54"/>
      <c r="I91" s="54"/>
      <c r="J91" s="54"/>
    </row>
    <row r="92" spans="1:10" ht="25.5">
      <c r="A92" s="24">
        <f>MAX(A$1:A91)+1</f>
        <v>13</v>
      </c>
      <c r="B92" s="49"/>
      <c r="C92" s="32" t="s">
        <v>238</v>
      </c>
      <c r="D92" s="33"/>
      <c r="E92" s="34" t="s">
        <v>239</v>
      </c>
      <c r="F92" s="35"/>
      <c r="G92" s="36" t="s">
        <v>5</v>
      </c>
      <c r="H92" s="47">
        <v>522.86</v>
      </c>
      <c r="I92" s="258"/>
      <c r="J92" s="47">
        <f t="shared" si="1"/>
        <v>0</v>
      </c>
    </row>
    <row r="93" spans="1:10" ht="25.5">
      <c r="A93" s="24"/>
      <c r="B93" s="49"/>
      <c r="C93" s="32"/>
      <c r="D93" s="65" t="s">
        <v>536</v>
      </c>
      <c r="E93" s="66" t="s">
        <v>537</v>
      </c>
      <c r="F93" s="67"/>
      <c r="G93" s="68" t="s">
        <v>5</v>
      </c>
      <c r="H93" s="54">
        <v>105.5</v>
      </c>
      <c r="I93" s="54"/>
      <c r="J93" s="54"/>
    </row>
    <row r="94" spans="1:10">
      <c r="A94" s="24"/>
      <c r="B94" s="49"/>
      <c r="C94" s="32"/>
      <c r="D94" s="33"/>
      <c r="E94" s="55" t="s">
        <v>538</v>
      </c>
      <c r="F94" s="69">
        <f xml:space="preserve"> 67+38.5</f>
        <v>105.5</v>
      </c>
      <c r="G94" s="36"/>
      <c r="H94" s="47"/>
      <c r="I94" s="47"/>
      <c r="J94" s="47"/>
    </row>
    <row r="95" spans="1:10" ht="25.5">
      <c r="A95" s="48"/>
      <c r="B95" s="49"/>
      <c r="C95" s="32"/>
      <c r="D95" s="65" t="s">
        <v>240</v>
      </c>
      <c r="E95" s="66" t="s">
        <v>241</v>
      </c>
      <c r="F95" s="67"/>
      <c r="G95" s="68" t="s">
        <v>5</v>
      </c>
      <c r="H95" s="54">
        <v>103.18</v>
      </c>
      <c r="I95" s="54"/>
      <c r="J95" s="54"/>
    </row>
    <row r="96" spans="1:10">
      <c r="A96" s="48"/>
      <c r="B96" s="49"/>
      <c r="C96" s="32"/>
      <c r="D96" s="65"/>
      <c r="E96" s="55" t="s">
        <v>446</v>
      </c>
      <c r="F96" s="69">
        <f xml:space="preserve"> 15.4*6.7</f>
        <v>103.18</v>
      </c>
      <c r="G96" s="68"/>
      <c r="H96" s="54"/>
      <c r="I96" s="54"/>
      <c r="J96" s="54"/>
    </row>
    <row r="97" spans="1:10" ht="25.5">
      <c r="A97" s="48"/>
      <c r="B97" s="49"/>
      <c r="C97" s="32"/>
      <c r="D97" s="65" t="s">
        <v>242</v>
      </c>
      <c r="E97" s="66" t="s">
        <v>243</v>
      </c>
      <c r="F97" s="67"/>
      <c r="G97" s="68" t="s">
        <v>5</v>
      </c>
      <c r="H97" s="54">
        <v>314.18</v>
      </c>
      <c r="I97" s="54"/>
      <c r="J97" s="54"/>
    </row>
    <row r="98" spans="1:10">
      <c r="A98" s="48"/>
      <c r="B98" s="49"/>
      <c r="C98" s="32"/>
      <c r="D98" s="33"/>
      <c r="E98" s="55" t="s">
        <v>446</v>
      </c>
      <c r="F98" s="69">
        <f xml:space="preserve"> 15.4*6.7</f>
        <v>103.18</v>
      </c>
      <c r="G98" s="36"/>
      <c r="H98" s="54"/>
      <c r="I98" s="54"/>
      <c r="J98" s="54"/>
    </row>
    <row r="99" spans="1:10">
      <c r="A99" s="48"/>
      <c r="B99" s="49"/>
      <c r="C99" s="32"/>
      <c r="D99" s="33"/>
      <c r="E99" s="55" t="s">
        <v>539</v>
      </c>
      <c r="F99" s="56">
        <f xml:space="preserve"> (67+38.5)*2</f>
        <v>211</v>
      </c>
      <c r="G99" s="36"/>
      <c r="H99" s="54"/>
      <c r="I99" s="54"/>
      <c r="J99" s="54"/>
    </row>
    <row r="100" spans="1:10">
      <c r="A100" s="48"/>
      <c r="B100" s="49"/>
      <c r="C100" s="32"/>
      <c r="D100" s="33"/>
      <c r="E100" s="57" t="s">
        <v>159</v>
      </c>
      <c r="F100" s="53">
        <f>SUM(F98:F99)</f>
        <v>314.18</v>
      </c>
      <c r="G100" s="36"/>
      <c r="H100" s="54"/>
      <c r="I100" s="54"/>
      <c r="J100" s="54"/>
    </row>
    <row r="101" spans="1:10">
      <c r="A101" s="48"/>
      <c r="B101" s="49"/>
      <c r="C101" s="32"/>
      <c r="D101" s="33"/>
      <c r="E101" s="55"/>
      <c r="F101" s="53"/>
      <c r="G101" s="36"/>
      <c r="H101" s="54"/>
      <c r="I101" s="54"/>
      <c r="J101" s="54"/>
    </row>
    <row r="102" spans="1:10" ht="25.5">
      <c r="A102" s="24">
        <f>MAX(A$1:A101)+1</f>
        <v>14</v>
      </c>
      <c r="B102" s="49"/>
      <c r="C102" s="32" t="s">
        <v>530</v>
      </c>
      <c r="D102" s="33"/>
      <c r="E102" s="34" t="s">
        <v>531</v>
      </c>
      <c r="F102" s="35"/>
      <c r="G102" s="36" t="s">
        <v>11</v>
      </c>
      <c r="H102" s="61">
        <v>22.5</v>
      </c>
      <c r="I102" s="259"/>
      <c r="J102" s="61">
        <f t="shared" si="1"/>
        <v>0</v>
      </c>
    </row>
    <row r="103" spans="1:10" ht="25.5">
      <c r="A103" s="48"/>
      <c r="B103" s="49"/>
      <c r="C103" s="32"/>
      <c r="D103" s="65" t="s">
        <v>532</v>
      </c>
      <c r="E103" s="66" t="s">
        <v>533</v>
      </c>
      <c r="F103" s="67"/>
      <c r="G103" s="68" t="s">
        <v>11</v>
      </c>
      <c r="H103" s="54">
        <v>22.5</v>
      </c>
      <c r="I103" s="54"/>
      <c r="J103" s="54"/>
    </row>
    <row r="104" spans="1:10">
      <c r="A104" s="48"/>
      <c r="B104" s="49"/>
      <c r="C104" s="32"/>
      <c r="D104" s="33"/>
      <c r="E104" s="55" t="s">
        <v>534</v>
      </c>
      <c r="F104" s="53"/>
      <c r="G104" s="36"/>
      <c r="H104" s="54"/>
      <c r="I104" s="54"/>
      <c r="J104" s="54"/>
    </row>
    <row r="105" spans="1:10">
      <c r="A105" s="48"/>
      <c r="B105" s="49"/>
      <c r="C105" s="32"/>
      <c r="D105" s="33"/>
      <c r="E105" s="55" t="s">
        <v>535</v>
      </c>
      <c r="F105" s="53">
        <f>15+7.5</f>
        <v>22.5</v>
      </c>
      <c r="G105" s="36"/>
      <c r="H105" s="54"/>
      <c r="I105" s="54"/>
      <c r="J105" s="54"/>
    </row>
    <row r="106" spans="1:10">
      <c r="A106" s="48"/>
      <c r="B106" s="49"/>
      <c r="C106" s="32"/>
      <c r="D106" s="33"/>
      <c r="E106" s="55"/>
      <c r="F106" s="53"/>
      <c r="G106" s="36"/>
      <c r="H106" s="54"/>
      <c r="I106" s="54"/>
      <c r="J106" s="54"/>
    </row>
    <row r="107" spans="1:10">
      <c r="A107" s="24">
        <f>MAX(A$1:A106)+1</f>
        <v>15</v>
      </c>
      <c r="B107" s="49"/>
      <c r="C107" s="32" t="s">
        <v>485</v>
      </c>
      <c r="D107" s="33"/>
      <c r="E107" s="34" t="s">
        <v>486</v>
      </c>
      <c r="F107" s="35"/>
      <c r="G107" s="36" t="s">
        <v>487</v>
      </c>
      <c r="H107" s="47">
        <v>13630</v>
      </c>
      <c r="I107" s="258"/>
      <c r="J107" s="47">
        <f t="shared" si="1"/>
        <v>0</v>
      </c>
    </row>
    <row r="108" spans="1:10">
      <c r="A108" s="48"/>
      <c r="B108" s="49"/>
      <c r="C108" s="32"/>
      <c r="D108" s="65" t="s">
        <v>488</v>
      </c>
      <c r="E108" s="66" t="s">
        <v>489</v>
      </c>
      <c r="F108" s="35"/>
      <c r="G108" s="68" t="s">
        <v>487</v>
      </c>
      <c r="H108" s="54">
        <v>13630</v>
      </c>
      <c r="I108" s="54"/>
      <c r="J108" s="54"/>
    </row>
    <row r="109" spans="1:10">
      <c r="A109" s="48"/>
      <c r="B109" s="49"/>
      <c r="C109" s="32"/>
      <c r="D109" s="65"/>
      <c r="E109" s="52" t="s">
        <v>583</v>
      </c>
      <c r="F109" s="35"/>
      <c r="G109" s="68"/>
      <c r="H109" s="54"/>
      <c r="I109" s="54"/>
      <c r="J109" s="54"/>
    </row>
    <row r="110" spans="1:10">
      <c r="A110" s="48"/>
      <c r="B110" s="49"/>
      <c r="C110" s="32"/>
      <c r="D110" s="65"/>
      <c r="E110" s="55" t="s">
        <v>494</v>
      </c>
      <c r="F110" s="35"/>
      <c r="G110" s="68"/>
      <c r="H110" s="54"/>
      <c r="I110" s="54"/>
      <c r="J110" s="54"/>
    </row>
    <row r="111" spans="1:10">
      <c r="A111" s="48"/>
      <c r="B111" s="49"/>
      <c r="C111" s="32"/>
      <c r="D111" s="65"/>
      <c r="E111" s="55" t="s">
        <v>495</v>
      </c>
      <c r="F111" s="69">
        <f>20*584</f>
        <v>11680</v>
      </c>
      <c r="G111" s="68"/>
      <c r="H111" s="54"/>
      <c r="I111" s="54"/>
      <c r="J111" s="54"/>
    </row>
    <row r="112" spans="1:10">
      <c r="A112" s="48"/>
      <c r="B112" s="49"/>
      <c r="C112" s="32"/>
      <c r="D112" s="65"/>
      <c r="E112" s="55" t="s">
        <v>496</v>
      </c>
      <c r="F112" s="69"/>
      <c r="G112" s="68"/>
      <c r="H112" s="54"/>
      <c r="I112" s="54"/>
      <c r="J112" s="54"/>
    </row>
    <row r="113" spans="1:10">
      <c r="A113" s="48"/>
      <c r="B113" s="49"/>
      <c r="C113" s="32"/>
      <c r="D113" s="65"/>
      <c r="E113" s="55" t="s">
        <v>497</v>
      </c>
      <c r="F113" s="70">
        <f>25*78</f>
        <v>1950</v>
      </c>
      <c r="G113" s="68"/>
      <c r="H113" s="54"/>
      <c r="I113" s="54"/>
      <c r="J113" s="54"/>
    </row>
    <row r="114" spans="1:10">
      <c r="A114" s="48"/>
      <c r="B114" s="49"/>
      <c r="C114" s="32"/>
      <c r="D114" s="65"/>
      <c r="E114" s="57" t="s">
        <v>159</v>
      </c>
      <c r="F114" s="69">
        <f>SUM(F111:F113)</f>
        <v>13630</v>
      </c>
      <c r="G114" s="68"/>
      <c r="H114" s="54"/>
      <c r="I114" s="54"/>
      <c r="J114" s="54"/>
    </row>
    <row r="115" spans="1:10">
      <c r="A115" s="48"/>
      <c r="B115" s="49"/>
      <c r="C115" s="32"/>
      <c r="D115" s="65"/>
      <c r="E115" s="66"/>
      <c r="F115" s="35"/>
      <c r="G115" s="68"/>
      <c r="H115" s="54"/>
      <c r="I115" s="54"/>
      <c r="J115" s="54"/>
    </row>
    <row r="116" spans="1:10">
      <c r="A116" s="24">
        <f>MAX(A$1:A115)+1</f>
        <v>16</v>
      </c>
      <c r="B116" s="49"/>
      <c r="C116" s="32" t="s">
        <v>490</v>
      </c>
      <c r="D116" s="33"/>
      <c r="E116" s="34" t="s">
        <v>491</v>
      </c>
      <c r="F116" s="35"/>
      <c r="G116" s="36" t="s">
        <v>487</v>
      </c>
      <c r="H116" s="61">
        <v>9333</v>
      </c>
      <c r="I116" s="259"/>
      <c r="J116" s="61">
        <f t="shared" si="1"/>
        <v>0</v>
      </c>
    </row>
    <row r="117" spans="1:10">
      <c r="A117" s="48"/>
      <c r="B117" s="49"/>
      <c r="C117" s="32"/>
      <c r="D117" s="65" t="s">
        <v>492</v>
      </c>
      <c r="E117" s="66" t="s">
        <v>493</v>
      </c>
      <c r="F117" s="35"/>
      <c r="G117" s="68" t="s">
        <v>487</v>
      </c>
      <c r="H117" s="54">
        <v>9333</v>
      </c>
      <c r="I117" s="54"/>
      <c r="J117" s="54"/>
    </row>
    <row r="118" spans="1:10">
      <c r="A118" s="48"/>
      <c r="B118" s="49"/>
      <c r="C118" s="32"/>
      <c r="D118" s="65"/>
      <c r="E118" s="52" t="s">
        <v>583</v>
      </c>
      <c r="F118" s="35"/>
      <c r="G118" s="68"/>
      <c r="H118" s="54"/>
      <c r="I118" s="54"/>
      <c r="J118" s="54"/>
    </row>
    <row r="119" spans="1:10">
      <c r="A119" s="48"/>
      <c r="B119" s="49"/>
      <c r="C119" s="32"/>
      <c r="D119" s="65"/>
      <c r="E119" s="55" t="s">
        <v>498</v>
      </c>
      <c r="F119" s="35"/>
      <c r="G119" s="68"/>
      <c r="H119" s="54"/>
      <c r="I119" s="54"/>
      <c r="J119" s="54"/>
    </row>
    <row r="120" spans="1:10">
      <c r="A120" s="48"/>
      <c r="B120" s="49"/>
      <c r="C120" s="32"/>
      <c r="D120" s="33"/>
      <c r="E120" s="55" t="s">
        <v>499</v>
      </c>
      <c r="F120" s="53">
        <f>61*53</f>
        <v>3233</v>
      </c>
      <c r="G120" s="36"/>
      <c r="H120" s="54"/>
      <c r="I120" s="54"/>
      <c r="J120" s="54"/>
    </row>
    <row r="121" spans="1:10">
      <c r="A121" s="48"/>
      <c r="B121" s="49"/>
      <c r="C121" s="32"/>
      <c r="D121" s="33"/>
      <c r="E121" s="55" t="s">
        <v>501</v>
      </c>
      <c r="F121" s="53">
        <f>61*47</f>
        <v>2867</v>
      </c>
      <c r="G121" s="36"/>
      <c r="H121" s="54"/>
      <c r="I121" s="54"/>
      <c r="J121" s="54"/>
    </row>
    <row r="122" spans="1:10">
      <c r="A122" s="48"/>
      <c r="B122" s="49"/>
      <c r="C122" s="32"/>
      <c r="D122" s="33"/>
      <c r="E122" s="55" t="s">
        <v>500</v>
      </c>
      <c r="F122" s="56">
        <f>61*53</f>
        <v>3233</v>
      </c>
      <c r="G122" s="36"/>
      <c r="H122" s="54"/>
      <c r="I122" s="54"/>
      <c r="J122" s="54"/>
    </row>
    <row r="123" spans="1:10">
      <c r="A123" s="48"/>
      <c r="B123" s="49"/>
      <c r="C123" s="32"/>
      <c r="D123" s="33"/>
      <c r="E123" s="57" t="s">
        <v>159</v>
      </c>
      <c r="F123" s="69">
        <f>SUM(F120:F122)</f>
        <v>9333</v>
      </c>
      <c r="G123" s="36"/>
      <c r="H123" s="54"/>
      <c r="I123" s="54"/>
      <c r="J123" s="54"/>
    </row>
    <row r="124" spans="1:10">
      <c r="A124" s="48"/>
      <c r="B124" s="49"/>
      <c r="C124" s="32"/>
      <c r="D124" s="33"/>
      <c r="E124" s="57"/>
      <c r="F124" s="53"/>
      <c r="G124" s="36"/>
      <c r="H124" s="54"/>
      <c r="I124" s="54"/>
      <c r="J124" s="54"/>
    </row>
    <row r="125" spans="1:10">
      <c r="A125" s="24"/>
      <c r="B125" s="71"/>
      <c r="C125" s="72"/>
      <c r="D125" s="72"/>
      <c r="E125" s="73"/>
      <c r="F125" s="74"/>
      <c r="G125" s="38"/>
      <c r="H125" s="61"/>
      <c r="I125" s="61"/>
      <c r="J125" s="61"/>
    </row>
    <row r="126" spans="1:10">
      <c r="A126" s="24"/>
      <c r="B126" s="75" t="s">
        <v>111</v>
      </c>
      <c r="C126" s="76"/>
      <c r="D126" s="33"/>
      <c r="E126" s="60" t="s">
        <v>112</v>
      </c>
      <c r="F126" s="77"/>
      <c r="G126" s="36"/>
      <c r="H126" s="78"/>
      <c r="I126" s="78"/>
      <c r="J126" s="78"/>
    </row>
    <row r="127" spans="1:10">
      <c r="A127" s="24"/>
      <c r="B127" s="75"/>
      <c r="C127" s="76"/>
      <c r="D127" s="33"/>
      <c r="E127" s="60"/>
      <c r="F127" s="77"/>
      <c r="G127" s="36"/>
      <c r="H127" s="78"/>
      <c r="I127" s="78"/>
      <c r="J127" s="78"/>
    </row>
    <row r="128" spans="1:10">
      <c r="A128" s="24">
        <f>MAX(A$1:A127)+1</f>
        <v>17</v>
      </c>
      <c r="B128" s="75"/>
      <c r="C128" s="32" t="s">
        <v>566</v>
      </c>
      <c r="D128" s="33"/>
      <c r="E128" s="34" t="s">
        <v>567</v>
      </c>
      <c r="F128" s="35"/>
      <c r="G128" s="36" t="s">
        <v>22</v>
      </c>
      <c r="H128" s="61">
        <v>54.46</v>
      </c>
      <c r="I128" s="259"/>
      <c r="J128" s="61">
        <f t="shared" si="1"/>
        <v>0</v>
      </c>
    </row>
    <row r="129" spans="1:10">
      <c r="A129" s="24"/>
      <c r="B129" s="75"/>
      <c r="C129" s="76"/>
      <c r="D129" s="65" t="s">
        <v>568</v>
      </c>
      <c r="E129" s="66" t="s">
        <v>569</v>
      </c>
      <c r="F129" s="67"/>
      <c r="G129" s="68" t="s">
        <v>22</v>
      </c>
      <c r="H129" s="54">
        <v>54.46</v>
      </c>
      <c r="I129" s="54"/>
      <c r="J129" s="54"/>
    </row>
    <row r="130" spans="1:10">
      <c r="A130" s="24"/>
      <c r="B130" s="75"/>
      <c r="C130" s="76"/>
      <c r="D130" s="33"/>
      <c r="E130" s="52" t="s">
        <v>570</v>
      </c>
      <c r="F130" s="77"/>
      <c r="G130" s="36"/>
      <c r="H130" s="78"/>
      <c r="I130" s="78"/>
      <c r="J130" s="78"/>
    </row>
    <row r="131" spans="1:10">
      <c r="A131" s="24"/>
      <c r="B131" s="75"/>
      <c r="C131" s="76"/>
      <c r="D131" s="33"/>
      <c r="E131" s="55" t="s">
        <v>564</v>
      </c>
      <c r="F131" s="69">
        <f>(0.2+1.2)/2*(23.2+17.3)</f>
        <v>28.35</v>
      </c>
      <c r="G131" s="36"/>
      <c r="H131" s="78"/>
      <c r="I131" s="78"/>
      <c r="J131" s="78"/>
    </row>
    <row r="132" spans="1:10">
      <c r="A132" s="24"/>
      <c r="B132" s="75"/>
      <c r="C132" s="76"/>
      <c r="D132" s="33"/>
      <c r="E132" s="55" t="s">
        <v>565</v>
      </c>
      <c r="F132" s="70">
        <f>(0.2+1.2)/2*(20.3+17)</f>
        <v>26.11</v>
      </c>
      <c r="G132" s="36"/>
      <c r="H132" s="78"/>
      <c r="I132" s="78"/>
      <c r="J132" s="78"/>
    </row>
    <row r="133" spans="1:10">
      <c r="A133" s="24"/>
      <c r="B133" s="75"/>
      <c r="C133" s="76"/>
      <c r="D133" s="33"/>
      <c r="E133" s="57" t="s">
        <v>159</v>
      </c>
      <c r="F133" s="53">
        <f>SUM(F131:F132)</f>
        <v>54.46</v>
      </c>
      <c r="G133" s="36"/>
      <c r="H133" s="78"/>
      <c r="I133" s="78"/>
      <c r="J133" s="78"/>
    </row>
    <row r="134" spans="1:10">
      <c r="A134" s="24"/>
      <c r="B134" s="38"/>
      <c r="C134" s="38"/>
      <c r="D134" s="38"/>
      <c r="E134" s="79"/>
      <c r="F134" s="45"/>
      <c r="G134" s="38"/>
      <c r="H134" s="37"/>
      <c r="I134" s="37"/>
      <c r="J134" s="37"/>
    </row>
    <row r="135" spans="1:10">
      <c r="A135" s="24">
        <f>MAX(A$1:A134)+1</f>
        <v>18</v>
      </c>
      <c r="B135" s="49"/>
      <c r="C135" s="32" t="s">
        <v>103</v>
      </c>
      <c r="D135" s="33"/>
      <c r="E135" s="34" t="s">
        <v>104</v>
      </c>
      <c r="F135" s="35"/>
      <c r="G135" s="36" t="s">
        <v>22</v>
      </c>
      <c r="H135" s="61">
        <v>399.27</v>
      </c>
      <c r="I135" s="259"/>
      <c r="J135" s="61">
        <f t="shared" si="1"/>
        <v>0</v>
      </c>
    </row>
    <row r="136" spans="1:10">
      <c r="A136" s="48"/>
      <c r="B136" s="49"/>
      <c r="C136" s="50"/>
      <c r="D136" s="65" t="s">
        <v>105</v>
      </c>
      <c r="E136" s="66" t="s">
        <v>106</v>
      </c>
      <c r="F136" s="67"/>
      <c r="G136" s="68" t="s">
        <v>22</v>
      </c>
      <c r="H136" s="54">
        <v>399.27</v>
      </c>
      <c r="I136" s="54"/>
      <c r="J136" s="54"/>
    </row>
    <row r="137" spans="1:10">
      <c r="A137" s="48"/>
      <c r="B137" s="49"/>
      <c r="C137" s="50"/>
      <c r="D137" s="65"/>
      <c r="E137" s="55" t="s">
        <v>459</v>
      </c>
      <c r="F137" s="69">
        <f>3.95*14.8</f>
        <v>58.46</v>
      </c>
      <c r="G137" s="68"/>
      <c r="H137" s="54"/>
      <c r="I137" s="54"/>
      <c r="J137" s="54"/>
    </row>
    <row r="138" spans="1:10">
      <c r="A138" s="48"/>
      <c r="B138" s="49"/>
      <c r="C138" s="50"/>
      <c r="D138" s="65"/>
      <c r="E138" s="55" t="s">
        <v>460</v>
      </c>
      <c r="F138" s="53">
        <f>2*1.5*7.4+2*1.5*2</f>
        <v>28.2</v>
      </c>
      <c r="G138" s="68"/>
      <c r="H138" s="54"/>
      <c r="I138" s="54"/>
      <c r="J138" s="54"/>
    </row>
    <row r="139" spans="1:10">
      <c r="A139" s="48"/>
      <c r="B139" s="49"/>
      <c r="C139" s="50"/>
      <c r="D139" s="65"/>
      <c r="E139" s="55" t="s">
        <v>461</v>
      </c>
      <c r="F139" s="53">
        <f>3.1*13.6</f>
        <v>42.16</v>
      </c>
      <c r="G139" s="68"/>
      <c r="H139" s="54"/>
      <c r="I139" s="54"/>
      <c r="J139" s="54"/>
    </row>
    <row r="140" spans="1:10">
      <c r="A140" s="48"/>
      <c r="B140" s="49"/>
      <c r="C140" s="50"/>
      <c r="D140" s="65"/>
      <c r="E140" s="55" t="s">
        <v>464</v>
      </c>
      <c r="F140" s="53">
        <f>261.4*0.75</f>
        <v>196.05</v>
      </c>
      <c r="G140" s="68"/>
      <c r="H140" s="54"/>
      <c r="I140" s="54"/>
      <c r="J140" s="54"/>
    </row>
    <row r="141" spans="1:10">
      <c r="A141" s="48"/>
      <c r="B141" s="49"/>
      <c r="C141" s="50"/>
      <c r="D141" s="51"/>
      <c r="E141" s="55" t="s">
        <v>465</v>
      </c>
      <c r="F141" s="56">
        <f xml:space="preserve"> 0.6*(42.5+81.5)</f>
        <v>74.400000000000006</v>
      </c>
      <c r="G141" s="39"/>
      <c r="H141" s="54"/>
      <c r="I141" s="54"/>
      <c r="J141" s="54"/>
    </row>
    <row r="142" spans="1:10">
      <c r="A142" s="48"/>
      <c r="B142" s="49"/>
      <c r="C142" s="50"/>
      <c r="D142" s="51"/>
      <c r="E142" s="57" t="s">
        <v>159</v>
      </c>
      <c r="F142" s="53">
        <f>SUM(F137:F141)</f>
        <v>399.27</v>
      </c>
      <c r="G142" s="39"/>
      <c r="H142" s="54"/>
      <c r="I142" s="54"/>
      <c r="J142" s="54"/>
    </row>
    <row r="143" spans="1:10">
      <c r="A143" s="48"/>
      <c r="B143" s="49"/>
      <c r="C143" s="50"/>
      <c r="D143" s="51"/>
      <c r="E143" s="52"/>
      <c r="F143" s="53"/>
      <c r="G143" s="39"/>
      <c r="H143" s="54"/>
      <c r="I143" s="54"/>
      <c r="J143" s="54"/>
    </row>
    <row r="144" spans="1:10">
      <c r="A144" s="24">
        <f>MAX(A$1:A143)+1</f>
        <v>19</v>
      </c>
      <c r="B144" s="49"/>
      <c r="C144" s="32" t="s">
        <v>107</v>
      </c>
      <c r="D144" s="33"/>
      <c r="E144" s="34" t="s">
        <v>108</v>
      </c>
      <c r="F144" s="35"/>
      <c r="G144" s="36" t="s">
        <v>22</v>
      </c>
      <c r="H144" s="61">
        <v>24.51</v>
      </c>
      <c r="I144" s="259"/>
      <c r="J144" s="61">
        <f t="shared" ref="J144:J193" si="2">I144*H144</f>
        <v>0</v>
      </c>
    </row>
    <row r="145" spans="1:10">
      <c r="A145" s="48"/>
      <c r="B145" s="49"/>
      <c r="C145" s="50"/>
      <c r="D145" s="65" t="s">
        <v>109</v>
      </c>
      <c r="E145" s="66" t="s">
        <v>110</v>
      </c>
      <c r="F145" s="67"/>
      <c r="G145" s="68" t="s">
        <v>22</v>
      </c>
      <c r="H145" s="54">
        <v>24.51</v>
      </c>
      <c r="I145" s="54"/>
      <c r="J145" s="54"/>
    </row>
    <row r="146" spans="1:10">
      <c r="A146" s="48"/>
      <c r="B146" s="49"/>
      <c r="C146" s="50"/>
      <c r="D146" s="51"/>
      <c r="E146" s="55" t="s">
        <v>462</v>
      </c>
      <c r="F146" s="69">
        <f>0.4*0.5*88.8</f>
        <v>17.760000000000002</v>
      </c>
      <c r="G146" s="39"/>
      <c r="H146" s="54"/>
      <c r="I146" s="54"/>
      <c r="J146" s="54"/>
    </row>
    <row r="147" spans="1:10">
      <c r="A147" s="48"/>
      <c r="B147" s="49"/>
      <c r="C147" s="50"/>
      <c r="D147" s="51"/>
      <c r="E147" s="55" t="s">
        <v>463</v>
      </c>
      <c r="F147" s="70">
        <f xml:space="preserve"> 0.5*0.6*(8.6+13.9)</f>
        <v>6.75</v>
      </c>
      <c r="G147" s="39"/>
      <c r="H147" s="54"/>
      <c r="I147" s="54"/>
      <c r="J147" s="54"/>
    </row>
    <row r="148" spans="1:10">
      <c r="A148" s="48"/>
      <c r="B148" s="49"/>
      <c r="C148" s="50"/>
      <c r="D148" s="51"/>
      <c r="E148" s="57" t="s">
        <v>159</v>
      </c>
      <c r="F148" s="69">
        <f>SUM(F146:F147)</f>
        <v>24.51</v>
      </c>
      <c r="G148" s="39"/>
      <c r="H148" s="54"/>
      <c r="I148" s="54"/>
      <c r="J148" s="54"/>
    </row>
    <row r="149" spans="1:10">
      <c r="A149" s="24"/>
      <c r="B149" s="49"/>
      <c r="C149" s="50"/>
      <c r="D149" s="51"/>
      <c r="E149" s="57"/>
      <c r="F149" s="53"/>
      <c r="G149" s="39"/>
      <c r="H149" s="54"/>
      <c r="I149" s="54"/>
      <c r="J149" s="54"/>
    </row>
    <row r="150" spans="1:10">
      <c r="A150" s="24">
        <f>MAX(A$1:A149)+1</f>
        <v>20</v>
      </c>
      <c r="B150" s="49"/>
      <c r="C150" s="32" t="s">
        <v>9</v>
      </c>
      <c r="D150" s="33"/>
      <c r="E150" s="34" t="s">
        <v>6</v>
      </c>
      <c r="F150" s="35"/>
      <c r="G150" s="36" t="s">
        <v>22</v>
      </c>
      <c r="H150" s="61">
        <v>96.38</v>
      </c>
      <c r="I150" s="259"/>
      <c r="J150" s="61">
        <f t="shared" si="2"/>
        <v>0</v>
      </c>
    </row>
    <row r="151" spans="1:10">
      <c r="A151" s="48"/>
      <c r="B151" s="49"/>
      <c r="C151" s="50"/>
      <c r="D151" s="65" t="s">
        <v>10</v>
      </c>
      <c r="E151" s="66" t="s">
        <v>0</v>
      </c>
      <c r="F151" s="67"/>
      <c r="G151" s="68" t="s">
        <v>22</v>
      </c>
      <c r="H151" s="54">
        <v>96.38</v>
      </c>
      <c r="I151" s="54"/>
      <c r="J151" s="54"/>
    </row>
    <row r="152" spans="1:10">
      <c r="A152" s="48"/>
      <c r="B152" s="49"/>
      <c r="C152" s="50"/>
      <c r="D152" s="51"/>
      <c r="E152" s="52" t="s">
        <v>466</v>
      </c>
      <c r="F152" s="69"/>
      <c r="G152" s="39"/>
      <c r="H152" s="54"/>
      <c r="I152" s="54"/>
      <c r="J152" s="54"/>
    </row>
    <row r="153" spans="1:10">
      <c r="A153" s="48"/>
      <c r="B153" s="49"/>
      <c r="C153" s="50"/>
      <c r="D153" s="51"/>
      <c r="E153" s="55" t="s">
        <v>468</v>
      </c>
      <c r="F153" s="69">
        <f>3.4*14.8</f>
        <v>50.32</v>
      </c>
      <c r="G153" s="39"/>
      <c r="H153" s="54"/>
      <c r="I153" s="54"/>
      <c r="J153" s="54"/>
    </row>
    <row r="154" spans="1:10">
      <c r="A154" s="48"/>
      <c r="B154" s="49"/>
      <c r="C154" s="50"/>
      <c r="D154" s="51"/>
      <c r="E154" s="55" t="s">
        <v>467</v>
      </c>
      <c r="F154" s="69">
        <f xml:space="preserve"> 2*0.75*7.4+2*0.75*2</f>
        <v>14.1</v>
      </c>
      <c r="G154" s="39"/>
      <c r="H154" s="54"/>
      <c r="I154" s="54"/>
      <c r="J154" s="54"/>
    </row>
    <row r="155" spans="1:10">
      <c r="A155" s="48"/>
      <c r="B155" s="49"/>
      <c r="C155" s="50"/>
      <c r="D155" s="51"/>
      <c r="E155" s="55" t="s">
        <v>469</v>
      </c>
      <c r="F155" s="70">
        <f>2.35*13.6</f>
        <v>31.96</v>
      </c>
      <c r="G155" s="39"/>
      <c r="H155" s="54"/>
      <c r="I155" s="54"/>
      <c r="J155" s="54"/>
    </row>
    <row r="156" spans="1:10">
      <c r="A156" s="48"/>
      <c r="B156" s="49"/>
      <c r="C156" s="50"/>
      <c r="D156" s="51"/>
      <c r="E156" s="57" t="s">
        <v>159</v>
      </c>
      <c r="F156" s="53">
        <f>SUM(F153:F155)</f>
        <v>96.38</v>
      </c>
      <c r="G156" s="39"/>
      <c r="H156" s="54"/>
      <c r="I156" s="54"/>
      <c r="J156" s="54"/>
    </row>
    <row r="157" spans="1:10">
      <c r="A157" s="48"/>
      <c r="B157" s="49"/>
      <c r="C157" s="50"/>
      <c r="D157" s="51"/>
      <c r="E157" s="57"/>
      <c r="F157" s="53"/>
      <c r="G157" s="39"/>
      <c r="H157" s="54"/>
      <c r="I157" s="54"/>
      <c r="J157" s="54"/>
    </row>
    <row r="158" spans="1:10">
      <c r="A158" s="24">
        <f>MAX(A$1:A157)+1</f>
        <v>21</v>
      </c>
      <c r="B158" s="49"/>
      <c r="C158" s="32" t="s">
        <v>579</v>
      </c>
      <c r="D158" s="33"/>
      <c r="E158" s="34" t="s">
        <v>580</v>
      </c>
      <c r="F158" s="35"/>
      <c r="G158" s="36" t="s">
        <v>22</v>
      </c>
      <c r="H158" s="61">
        <v>54.46</v>
      </c>
      <c r="I158" s="259"/>
      <c r="J158" s="61">
        <f t="shared" si="2"/>
        <v>0</v>
      </c>
    </row>
    <row r="159" spans="1:10">
      <c r="A159" s="48"/>
      <c r="B159" s="49"/>
      <c r="C159" s="64"/>
      <c r="D159" s="65" t="s">
        <v>581</v>
      </c>
      <c r="E159" s="66" t="s">
        <v>582</v>
      </c>
      <c r="F159" s="67"/>
      <c r="G159" s="68" t="s">
        <v>22</v>
      </c>
      <c r="H159" s="54">
        <v>54.46</v>
      </c>
      <c r="I159" s="54"/>
      <c r="J159" s="54"/>
    </row>
    <row r="160" spans="1:10" ht="25.5">
      <c r="A160" s="48"/>
      <c r="B160" s="49"/>
      <c r="C160" s="50"/>
      <c r="D160" s="51"/>
      <c r="E160" s="52" t="s">
        <v>572</v>
      </c>
      <c r="F160" s="53"/>
      <c r="G160" s="39"/>
      <c r="H160" s="54"/>
      <c r="I160" s="54"/>
      <c r="J160" s="54"/>
    </row>
    <row r="161" spans="1:10">
      <c r="A161" s="48"/>
      <c r="B161" s="49"/>
      <c r="C161" s="50"/>
      <c r="D161" s="51"/>
      <c r="E161" s="55" t="s">
        <v>564</v>
      </c>
      <c r="F161" s="69">
        <f>(0.2+1.2)/2*(23.2+17.3)</f>
        <v>28.35</v>
      </c>
      <c r="G161" s="39"/>
      <c r="H161" s="54"/>
      <c r="I161" s="54"/>
      <c r="J161" s="54"/>
    </row>
    <row r="162" spans="1:10">
      <c r="A162" s="48"/>
      <c r="B162" s="49"/>
      <c r="C162" s="50"/>
      <c r="D162" s="51"/>
      <c r="E162" s="55" t="s">
        <v>565</v>
      </c>
      <c r="F162" s="70">
        <f>(0.2+1.2)/2*(20.3+17)</f>
        <v>26.11</v>
      </c>
      <c r="G162" s="39"/>
      <c r="H162" s="54"/>
      <c r="I162" s="54"/>
      <c r="J162" s="54"/>
    </row>
    <row r="163" spans="1:10">
      <c r="A163" s="48"/>
      <c r="B163" s="49"/>
      <c r="C163" s="50"/>
      <c r="D163" s="51"/>
      <c r="E163" s="57" t="s">
        <v>159</v>
      </c>
      <c r="F163" s="53">
        <f>SUM(F161:F162)</f>
        <v>54.46</v>
      </c>
      <c r="G163" s="39"/>
      <c r="H163" s="54"/>
      <c r="I163" s="54"/>
      <c r="J163" s="54"/>
    </row>
    <row r="164" spans="1:10">
      <c r="A164" s="48"/>
      <c r="B164" s="49"/>
      <c r="C164" s="50"/>
      <c r="D164" s="51"/>
      <c r="E164" s="62"/>
      <c r="F164" s="63"/>
      <c r="G164" s="39"/>
      <c r="H164" s="54"/>
      <c r="I164" s="54"/>
      <c r="J164" s="54"/>
    </row>
    <row r="165" spans="1:10" ht="25.5">
      <c r="A165" s="24">
        <f>MAX(A$1:A164)+1</f>
        <v>22</v>
      </c>
      <c r="B165" s="49"/>
      <c r="C165" s="32" t="s">
        <v>367</v>
      </c>
      <c r="D165" s="33"/>
      <c r="E165" s="34" t="s">
        <v>368</v>
      </c>
      <c r="F165" s="35"/>
      <c r="G165" s="36" t="s">
        <v>5</v>
      </c>
      <c r="H165" s="61">
        <v>75.459999999999994</v>
      </c>
      <c r="I165" s="259"/>
      <c r="J165" s="61">
        <f t="shared" si="2"/>
        <v>0</v>
      </c>
    </row>
    <row r="166" spans="1:10" ht="25.5">
      <c r="A166" s="48"/>
      <c r="B166" s="49"/>
      <c r="C166" s="64"/>
      <c r="D166" s="65" t="s">
        <v>369</v>
      </c>
      <c r="E166" s="66" t="s">
        <v>370</v>
      </c>
      <c r="F166" s="67"/>
      <c r="G166" s="68" t="s">
        <v>5</v>
      </c>
      <c r="H166" s="54">
        <v>75.459999999999994</v>
      </c>
      <c r="I166" s="54"/>
      <c r="J166" s="54"/>
    </row>
    <row r="167" spans="1:10">
      <c r="A167" s="48"/>
      <c r="B167" s="49"/>
      <c r="C167" s="50"/>
      <c r="D167" s="51"/>
      <c r="E167" s="52" t="s">
        <v>359</v>
      </c>
      <c r="F167" s="63"/>
      <c r="G167" s="39"/>
      <c r="H167" s="54"/>
      <c r="I167" s="54"/>
      <c r="J167" s="54"/>
    </row>
    <row r="168" spans="1:10">
      <c r="A168" s="48"/>
      <c r="B168" s="49"/>
      <c r="C168" s="50"/>
      <c r="D168" s="51"/>
      <c r="E168" s="55" t="s">
        <v>372</v>
      </c>
      <c r="F168" s="53">
        <f xml:space="preserve"> 15*1.4</f>
        <v>21</v>
      </c>
      <c r="G168" s="39"/>
      <c r="H168" s="54"/>
      <c r="I168" s="54"/>
      <c r="J168" s="54"/>
    </row>
    <row r="169" spans="1:10">
      <c r="A169" s="48"/>
      <c r="B169" s="49"/>
      <c r="C169" s="50"/>
      <c r="D169" s="51"/>
      <c r="E169" s="55" t="s">
        <v>373</v>
      </c>
      <c r="F169" s="53">
        <f xml:space="preserve"> 24.15*1.4</f>
        <v>33.81</v>
      </c>
      <c r="G169" s="39"/>
      <c r="H169" s="54"/>
      <c r="I169" s="54"/>
      <c r="J169" s="54"/>
    </row>
    <row r="170" spans="1:10">
      <c r="A170" s="48"/>
      <c r="B170" s="49"/>
      <c r="C170" s="50"/>
      <c r="D170" s="51"/>
      <c r="E170" s="55" t="s">
        <v>374</v>
      </c>
      <c r="F170" s="56">
        <f xml:space="preserve"> 14.75*1.4</f>
        <v>20.65</v>
      </c>
      <c r="G170" s="39"/>
      <c r="H170" s="54"/>
      <c r="I170" s="54"/>
      <c r="J170" s="54"/>
    </row>
    <row r="171" spans="1:10">
      <c r="A171" s="48"/>
      <c r="B171" s="49"/>
      <c r="C171" s="50"/>
      <c r="D171" s="51"/>
      <c r="E171" s="57" t="s">
        <v>159</v>
      </c>
      <c r="F171" s="53">
        <f>SUM(F168:F170)</f>
        <v>75.459999999999994</v>
      </c>
      <c r="G171" s="39"/>
      <c r="H171" s="54"/>
      <c r="I171" s="54"/>
      <c r="J171" s="54"/>
    </row>
    <row r="172" spans="1:10">
      <c r="A172" s="48"/>
      <c r="B172" s="49"/>
      <c r="C172" s="50"/>
      <c r="D172" s="51"/>
      <c r="E172" s="57"/>
      <c r="F172" s="53"/>
      <c r="G172" s="39"/>
      <c r="H172" s="54"/>
      <c r="I172" s="54"/>
      <c r="J172" s="54"/>
    </row>
    <row r="173" spans="1:10">
      <c r="A173" s="80"/>
      <c r="B173" s="81"/>
      <c r="C173" s="82"/>
      <c r="D173" s="83"/>
      <c r="E173" s="84"/>
      <c r="F173" s="85"/>
      <c r="G173" s="39"/>
      <c r="H173" s="54"/>
      <c r="I173" s="54"/>
      <c r="J173" s="54"/>
    </row>
    <row r="174" spans="1:10">
      <c r="A174" s="48"/>
      <c r="B174" s="75" t="s">
        <v>113</v>
      </c>
      <c r="C174" s="76"/>
      <c r="D174" s="33"/>
      <c r="E174" s="86" t="s">
        <v>114</v>
      </c>
      <c r="F174" s="87"/>
      <c r="G174" s="68"/>
      <c r="H174" s="54"/>
      <c r="I174" s="54"/>
      <c r="J174" s="54"/>
    </row>
    <row r="175" spans="1:10">
      <c r="A175" s="48"/>
      <c r="B175" s="49"/>
      <c r="C175" s="64"/>
      <c r="D175" s="65"/>
      <c r="E175" s="55"/>
      <c r="F175" s="87"/>
      <c r="G175" s="68"/>
      <c r="H175" s="54"/>
      <c r="I175" s="54"/>
      <c r="J175" s="54"/>
    </row>
    <row r="176" spans="1:10">
      <c r="A176" s="24">
        <f>MAX(A$1:A175)+1</f>
        <v>23</v>
      </c>
      <c r="B176" s="49"/>
      <c r="C176" s="32" t="s">
        <v>91</v>
      </c>
      <c r="D176" s="33"/>
      <c r="E176" s="34" t="s">
        <v>92</v>
      </c>
      <c r="F176" s="35"/>
      <c r="G176" s="36" t="s">
        <v>22</v>
      </c>
      <c r="H176" s="61">
        <v>192.76</v>
      </c>
      <c r="I176" s="259"/>
      <c r="J176" s="61">
        <f t="shared" si="2"/>
        <v>0</v>
      </c>
    </row>
    <row r="177" spans="1:10" ht="25.5">
      <c r="A177" s="48"/>
      <c r="B177" s="49"/>
      <c r="C177" s="64"/>
      <c r="D177" s="65" t="s">
        <v>93</v>
      </c>
      <c r="E177" s="66" t="s">
        <v>94</v>
      </c>
      <c r="F177" s="67"/>
      <c r="G177" s="68" t="s">
        <v>22</v>
      </c>
      <c r="H177" s="54">
        <v>192.76</v>
      </c>
      <c r="I177" s="54"/>
      <c r="J177" s="54"/>
    </row>
    <row r="178" spans="1:10" ht="25.5">
      <c r="A178" s="48"/>
      <c r="B178" s="49"/>
      <c r="C178" s="50"/>
      <c r="D178" s="65"/>
      <c r="E178" s="52" t="s">
        <v>160</v>
      </c>
      <c r="F178" s="69"/>
      <c r="G178" s="68"/>
      <c r="H178" s="54"/>
      <c r="I178" s="54"/>
      <c r="J178" s="54"/>
    </row>
    <row r="179" spans="1:10">
      <c r="A179" s="48"/>
      <c r="B179" s="49"/>
      <c r="C179" s="50"/>
      <c r="D179" s="65"/>
      <c r="E179" s="55" t="s">
        <v>481</v>
      </c>
      <c r="F179" s="56">
        <v>96.38</v>
      </c>
      <c r="G179" s="68"/>
      <c r="H179" s="54"/>
      <c r="I179" s="54"/>
      <c r="J179" s="54"/>
    </row>
    <row r="180" spans="1:10">
      <c r="A180" s="48"/>
      <c r="B180" s="49"/>
      <c r="C180" s="50"/>
      <c r="D180" s="65"/>
      <c r="E180" s="57" t="s">
        <v>161</v>
      </c>
      <c r="F180" s="53">
        <f>SUM(F179:F179)</f>
        <v>96.38</v>
      </c>
      <c r="G180" s="68"/>
      <c r="H180" s="54"/>
      <c r="I180" s="54"/>
      <c r="J180" s="54"/>
    </row>
    <row r="181" spans="1:10">
      <c r="A181" s="48"/>
      <c r="B181" s="49"/>
      <c r="C181" s="50"/>
      <c r="D181" s="65"/>
      <c r="E181" s="57" t="s">
        <v>162</v>
      </c>
      <c r="F181" s="56">
        <v>96.38</v>
      </c>
      <c r="G181" s="68"/>
      <c r="H181" s="54"/>
      <c r="I181" s="54"/>
      <c r="J181" s="54"/>
    </row>
    <row r="182" spans="1:10">
      <c r="A182" s="48"/>
      <c r="B182" s="49"/>
      <c r="C182" s="50"/>
      <c r="D182" s="65"/>
      <c r="E182" s="62" t="s">
        <v>159</v>
      </c>
      <c r="F182" s="63">
        <f>SUM(F180:F181)</f>
        <v>192.76</v>
      </c>
      <c r="G182" s="68"/>
      <c r="H182" s="54"/>
      <c r="I182" s="54"/>
      <c r="J182" s="54"/>
    </row>
    <row r="183" spans="1:10">
      <c r="A183" s="48"/>
      <c r="B183" s="49"/>
      <c r="C183" s="50"/>
      <c r="D183" s="65"/>
      <c r="E183" s="55"/>
      <c r="F183" s="87"/>
      <c r="G183" s="68"/>
      <c r="H183" s="54"/>
      <c r="I183" s="54"/>
      <c r="J183" s="54"/>
    </row>
    <row r="184" spans="1:10">
      <c r="A184" s="24">
        <f>MAX(A$1:A183)+1</f>
        <v>24</v>
      </c>
      <c r="B184" s="49"/>
      <c r="C184" s="32" t="s">
        <v>95</v>
      </c>
      <c r="D184" s="33"/>
      <c r="E184" s="34" t="s">
        <v>96</v>
      </c>
      <c r="F184" s="35"/>
      <c r="G184" s="36" t="s">
        <v>22</v>
      </c>
      <c r="H184" s="61">
        <v>381.86</v>
      </c>
      <c r="I184" s="259"/>
      <c r="J184" s="61">
        <f t="shared" si="2"/>
        <v>0</v>
      </c>
    </row>
    <row r="185" spans="1:10" ht="25.5">
      <c r="A185" s="48"/>
      <c r="B185" s="49"/>
      <c r="C185" s="64"/>
      <c r="D185" s="65" t="s">
        <v>97</v>
      </c>
      <c r="E185" s="66" t="s">
        <v>98</v>
      </c>
      <c r="F185" s="67"/>
      <c r="G185" s="68" t="s">
        <v>22</v>
      </c>
      <c r="H185" s="54">
        <v>381.86</v>
      </c>
      <c r="I185" s="54"/>
      <c r="J185" s="54"/>
    </row>
    <row r="186" spans="1:10">
      <c r="A186" s="48"/>
      <c r="B186" s="49"/>
      <c r="C186" s="64"/>
      <c r="D186" s="65"/>
      <c r="E186" s="52" t="s">
        <v>477</v>
      </c>
      <c r="F186" s="29"/>
      <c r="G186" s="68"/>
      <c r="H186" s="54"/>
      <c r="I186" s="54"/>
      <c r="J186" s="54"/>
    </row>
    <row r="187" spans="1:10">
      <c r="A187" s="48"/>
      <c r="B187" s="49"/>
      <c r="C187" s="64"/>
      <c r="D187" s="65"/>
      <c r="E187" s="55" t="s">
        <v>478</v>
      </c>
      <c r="F187" s="53">
        <v>399.27</v>
      </c>
      <c r="G187" s="68"/>
      <c r="H187" s="54"/>
      <c r="I187" s="54"/>
      <c r="J187" s="54"/>
    </row>
    <row r="188" spans="1:10">
      <c r="A188" s="48"/>
      <c r="B188" s="49"/>
      <c r="C188" s="64"/>
      <c r="D188" s="65"/>
      <c r="E188" s="55" t="s">
        <v>479</v>
      </c>
      <c r="F188" s="53">
        <v>24.51</v>
      </c>
      <c r="G188" s="68"/>
      <c r="H188" s="54"/>
      <c r="I188" s="54"/>
      <c r="J188" s="54"/>
    </row>
    <row r="189" spans="1:10">
      <c r="A189" s="48"/>
      <c r="B189" s="49"/>
      <c r="C189" s="64"/>
      <c r="D189" s="65"/>
      <c r="E189" s="55" t="s">
        <v>480</v>
      </c>
      <c r="F189" s="53">
        <v>-96.38</v>
      </c>
      <c r="G189" s="68"/>
      <c r="H189" s="54"/>
      <c r="I189" s="54"/>
      <c r="J189" s="54"/>
    </row>
    <row r="190" spans="1:10">
      <c r="A190" s="48"/>
      <c r="B190" s="49"/>
      <c r="C190" s="64"/>
      <c r="D190" s="65"/>
      <c r="E190" s="55" t="s">
        <v>571</v>
      </c>
      <c r="F190" s="56">
        <v>54.46</v>
      </c>
      <c r="G190" s="68"/>
      <c r="H190" s="54"/>
      <c r="I190" s="54"/>
      <c r="J190" s="54"/>
    </row>
    <row r="191" spans="1:10">
      <c r="A191" s="48"/>
      <c r="B191" s="49"/>
      <c r="C191" s="50"/>
      <c r="D191" s="65"/>
      <c r="E191" s="57" t="s">
        <v>159</v>
      </c>
      <c r="F191" s="53">
        <f>SUM(F187:F190)</f>
        <v>381.86</v>
      </c>
      <c r="G191" s="68"/>
      <c r="H191" s="54"/>
      <c r="I191" s="54"/>
      <c r="J191" s="54"/>
    </row>
    <row r="192" spans="1:10">
      <c r="A192" s="48"/>
      <c r="B192" s="49"/>
      <c r="C192" s="50"/>
      <c r="D192" s="51"/>
      <c r="E192" s="88"/>
      <c r="F192" s="87"/>
      <c r="G192" s="39"/>
      <c r="H192" s="54"/>
      <c r="I192" s="54"/>
      <c r="J192" s="54"/>
    </row>
    <row r="193" spans="1:10">
      <c r="A193" s="24">
        <f>MAX(A$1:A192)+1</f>
        <v>25</v>
      </c>
      <c r="B193" s="49"/>
      <c r="C193" s="32" t="s">
        <v>99</v>
      </c>
      <c r="D193" s="33"/>
      <c r="E193" s="34" t="s">
        <v>100</v>
      </c>
      <c r="F193" s="35"/>
      <c r="G193" s="36" t="s">
        <v>22</v>
      </c>
      <c r="H193" s="61">
        <v>96.38</v>
      </c>
      <c r="I193" s="259"/>
      <c r="J193" s="61">
        <f t="shared" si="2"/>
        <v>0</v>
      </c>
    </row>
    <row r="194" spans="1:10" ht="25.5">
      <c r="A194" s="48"/>
      <c r="B194" s="49"/>
      <c r="C194" s="64"/>
      <c r="D194" s="65" t="s">
        <v>101</v>
      </c>
      <c r="E194" s="66" t="s">
        <v>102</v>
      </c>
      <c r="F194" s="67"/>
      <c r="G194" s="68" t="s">
        <v>22</v>
      </c>
      <c r="H194" s="54">
        <v>96.38</v>
      </c>
      <c r="I194" s="54"/>
      <c r="J194" s="54"/>
    </row>
    <row r="195" spans="1:10">
      <c r="A195" s="48"/>
      <c r="B195" s="49"/>
      <c r="C195" s="64"/>
      <c r="D195" s="65"/>
      <c r="E195" s="52" t="s">
        <v>163</v>
      </c>
      <c r="F195" s="87"/>
      <c r="G195" s="68"/>
      <c r="H195" s="54"/>
      <c r="I195" s="54"/>
      <c r="J195" s="54"/>
    </row>
    <row r="196" spans="1:10">
      <c r="A196" s="48"/>
      <c r="B196" s="49"/>
      <c r="C196" s="64"/>
      <c r="D196" s="65"/>
      <c r="E196" s="55" t="s">
        <v>481</v>
      </c>
      <c r="F196" s="53">
        <v>96.38</v>
      </c>
      <c r="G196" s="68"/>
      <c r="H196" s="54"/>
      <c r="I196" s="54"/>
      <c r="J196" s="54"/>
    </row>
    <row r="197" spans="1:10">
      <c r="A197" s="80"/>
      <c r="B197" s="81"/>
      <c r="C197" s="82"/>
      <c r="D197" s="83"/>
      <c r="E197" s="84"/>
      <c r="F197" s="85"/>
      <c r="G197" s="39"/>
      <c r="H197" s="54"/>
      <c r="I197" s="54"/>
      <c r="J197" s="54"/>
    </row>
    <row r="198" spans="1:10">
      <c r="A198" s="80"/>
      <c r="B198" s="81"/>
      <c r="C198" s="82"/>
      <c r="D198" s="83"/>
      <c r="E198" s="84"/>
      <c r="F198" s="85"/>
      <c r="G198" s="39"/>
      <c r="H198" s="54"/>
      <c r="I198" s="54"/>
      <c r="J198" s="54"/>
    </row>
    <row r="199" spans="1:10" ht="15.75">
      <c r="A199" s="89"/>
      <c r="B199" s="75" t="s">
        <v>87</v>
      </c>
      <c r="C199" s="75"/>
      <c r="D199" s="33"/>
      <c r="E199" s="60" t="s">
        <v>115</v>
      </c>
      <c r="F199" s="90"/>
      <c r="G199" s="91"/>
      <c r="H199" s="78"/>
      <c r="I199" s="78"/>
      <c r="J199" s="78"/>
    </row>
    <row r="200" spans="1:10">
      <c r="A200" s="89"/>
      <c r="B200" s="75"/>
      <c r="C200" s="71"/>
      <c r="D200" s="75"/>
      <c r="E200" s="55"/>
      <c r="F200" s="77"/>
      <c r="G200" s="36"/>
      <c r="H200" s="92"/>
      <c r="I200" s="92"/>
      <c r="J200" s="92"/>
    </row>
    <row r="201" spans="1:10">
      <c r="A201" s="24">
        <f>MAX(A$1:A200)+1</f>
        <v>26</v>
      </c>
      <c r="B201" s="75"/>
      <c r="C201" s="32" t="s">
        <v>193</v>
      </c>
      <c r="D201" s="33"/>
      <c r="E201" s="34" t="s">
        <v>194</v>
      </c>
      <c r="F201" s="35"/>
      <c r="G201" s="36" t="s">
        <v>22</v>
      </c>
      <c r="H201" s="61">
        <v>31.62</v>
      </c>
      <c r="I201" s="259"/>
      <c r="J201" s="61">
        <f t="shared" ref="J201:J253" si="3">I201*H201</f>
        <v>0</v>
      </c>
    </row>
    <row r="202" spans="1:10">
      <c r="A202" s="89"/>
      <c r="B202" s="75"/>
      <c r="C202" s="71"/>
      <c r="D202" s="93" t="s">
        <v>195</v>
      </c>
      <c r="E202" s="94" t="s">
        <v>196</v>
      </c>
      <c r="F202" s="95"/>
      <c r="G202" s="39" t="s">
        <v>22</v>
      </c>
      <c r="H202" s="54">
        <v>31.62</v>
      </c>
      <c r="I202" s="54"/>
      <c r="J202" s="54"/>
    </row>
    <row r="203" spans="1:10">
      <c r="A203" s="89"/>
      <c r="B203" s="75"/>
      <c r="C203" s="71"/>
      <c r="D203" s="93"/>
      <c r="E203" s="52" t="s">
        <v>359</v>
      </c>
      <c r="F203" s="95"/>
      <c r="G203" s="39"/>
      <c r="H203" s="54"/>
      <c r="I203" s="54"/>
      <c r="J203" s="54"/>
    </row>
    <row r="204" spans="1:10">
      <c r="A204" s="89"/>
      <c r="B204" s="75"/>
      <c r="C204" s="71"/>
      <c r="D204" s="75"/>
      <c r="E204" s="55" t="s">
        <v>362</v>
      </c>
      <c r="F204" s="69">
        <f xml:space="preserve"> 0.76*7.9+(1.893+1.908)*0.75*1.4</f>
        <v>10</v>
      </c>
      <c r="G204" s="36"/>
      <c r="H204" s="92"/>
      <c r="I204" s="92"/>
      <c r="J204" s="92"/>
    </row>
    <row r="205" spans="1:10">
      <c r="A205" s="89"/>
      <c r="B205" s="75"/>
      <c r="C205" s="71"/>
      <c r="D205" s="75"/>
      <c r="E205" s="55" t="s">
        <v>363</v>
      </c>
      <c r="F205" s="69">
        <f xml:space="preserve"> 0.65*2*7.4+2.296*0.4*1.4*2</f>
        <v>12.19</v>
      </c>
      <c r="G205" s="36"/>
      <c r="H205" s="92"/>
      <c r="I205" s="92"/>
      <c r="J205" s="92"/>
    </row>
    <row r="206" spans="1:10" ht="25.5">
      <c r="A206" s="89"/>
      <c r="B206" s="75"/>
      <c r="C206" s="71"/>
      <c r="D206" s="75"/>
      <c r="E206" s="55" t="s">
        <v>364</v>
      </c>
      <c r="F206" s="70">
        <f xml:space="preserve"> 0.76*8.2+1.906*0.589*1.4+1.894*0.615*1.4</f>
        <v>9.43</v>
      </c>
      <c r="G206" s="36"/>
      <c r="H206" s="92"/>
      <c r="I206" s="92"/>
      <c r="J206" s="92"/>
    </row>
    <row r="207" spans="1:10">
      <c r="A207" s="89"/>
      <c r="B207" s="75"/>
      <c r="C207" s="71"/>
      <c r="D207" s="75"/>
      <c r="E207" s="57" t="s">
        <v>159</v>
      </c>
      <c r="F207" s="53">
        <f>SUM(F198:F206)</f>
        <v>31.62</v>
      </c>
      <c r="G207" s="36"/>
      <c r="H207" s="92"/>
      <c r="I207" s="92"/>
      <c r="J207" s="92"/>
    </row>
    <row r="208" spans="1:10">
      <c r="A208" s="89"/>
      <c r="B208" s="75"/>
      <c r="C208" s="71"/>
      <c r="D208" s="75"/>
      <c r="E208" s="57"/>
      <c r="F208" s="53"/>
      <c r="G208" s="36"/>
      <c r="H208" s="92"/>
      <c r="I208" s="92"/>
      <c r="J208" s="92"/>
    </row>
    <row r="209" spans="1:10">
      <c r="A209" s="24">
        <f>MAX(A$1:A208)+1</f>
        <v>27</v>
      </c>
      <c r="B209" s="75"/>
      <c r="C209" s="32" t="s">
        <v>355</v>
      </c>
      <c r="D209" s="33"/>
      <c r="E209" s="34" t="s">
        <v>356</v>
      </c>
      <c r="F209" s="35"/>
      <c r="G209" s="36" t="s">
        <v>1</v>
      </c>
      <c r="H209" s="47">
        <v>3.2</v>
      </c>
      <c r="I209" s="258"/>
      <c r="J209" s="47">
        <f t="shared" si="3"/>
        <v>0</v>
      </c>
    </row>
    <row r="210" spans="1:10">
      <c r="A210" s="89"/>
      <c r="B210" s="75"/>
      <c r="C210" s="71"/>
      <c r="D210" s="65" t="s">
        <v>357</v>
      </c>
      <c r="E210" s="66" t="s">
        <v>358</v>
      </c>
      <c r="F210" s="67"/>
      <c r="G210" s="68" t="s">
        <v>1</v>
      </c>
      <c r="H210" s="92">
        <v>0.37</v>
      </c>
      <c r="I210" s="92"/>
      <c r="J210" s="92"/>
    </row>
    <row r="211" spans="1:10">
      <c r="A211" s="89"/>
      <c r="B211" s="75"/>
      <c r="C211" s="71"/>
      <c r="D211" s="75"/>
      <c r="E211" s="52" t="s">
        <v>359</v>
      </c>
      <c r="F211" s="53"/>
      <c r="G211" s="36"/>
      <c r="H211" s="92"/>
      <c r="I211" s="92"/>
      <c r="J211" s="92"/>
    </row>
    <row r="212" spans="1:10">
      <c r="A212" s="89"/>
      <c r="B212" s="75"/>
      <c r="C212" s="71"/>
      <c r="D212" s="75"/>
      <c r="E212" s="55" t="s">
        <v>366</v>
      </c>
      <c r="F212" s="53">
        <f>373.23*0.001</f>
        <v>0.37</v>
      </c>
      <c r="G212" s="36"/>
      <c r="H212" s="92"/>
      <c r="I212" s="92"/>
      <c r="J212" s="92"/>
    </row>
    <row r="213" spans="1:10">
      <c r="A213" s="89"/>
      <c r="B213" s="75"/>
      <c r="C213" s="71"/>
      <c r="D213" s="65" t="s">
        <v>360</v>
      </c>
      <c r="E213" s="66" t="s">
        <v>361</v>
      </c>
      <c r="F213" s="67"/>
      <c r="G213" s="68" t="s">
        <v>1</v>
      </c>
      <c r="H213" s="92">
        <v>2.83</v>
      </c>
      <c r="I213" s="92"/>
      <c r="J213" s="92"/>
    </row>
    <row r="214" spans="1:10">
      <c r="A214" s="89"/>
      <c r="B214" s="75"/>
      <c r="C214" s="71"/>
      <c r="D214" s="75"/>
      <c r="E214" s="52" t="s">
        <v>359</v>
      </c>
      <c r="F214" s="53"/>
      <c r="G214" s="36"/>
      <c r="H214" s="92"/>
      <c r="I214" s="92"/>
      <c r="J214" s="92"/>
    </row>
    <row r="215" spans="1:10">
      <c r="A215" s="89"/>
      <c r="B215" s="75"/>
      <c r="C215" s="71"/>
      <c r="D215" s="75"/>
      <c r="E215" s="55" t="s">
        <v>365</v>
      </c>
      <c r="F215" s="53">
        <f>230.4*12.29*0.001</f>
        <v>2.83</v>
      </c>
      <c r="G215" s="36"/>
      <c r="H215" s="92"/>
      <c r="I215" s="92"/>
      <c r="J215" s="92"/>
    </row>
    <row r="216" spans="1:10">
      <c r="A216" s="89"/>
      <c r="B216" s="75"/>
      <c r="C216" s="71"/>
      <c r="D216" s="75"/>
      <c r="E216" s="62"/>
      <c r="F216" s="63"/>
      <c r="G216" s="36"/>
      <c r="H216" s="92"/>
      <c r="I216" s="92"/>
      <c r="J216" s="92"/>
    </row>
    <row r="217" spans="1:10" ht="25.5">
      <c r="A217" s="24">
        <f>MAX(A$1:A216)+1</f>
        <v>28</v>
      </c>
      <c r="B217" s="75"/>
      <c r="C217" s="32" t="s">
        <v>266</v>
      </c>
      <c r="D217" s="33"/>
      <c r="E217" s="34" t="s">
        <v>267</v>
      </c>
      <c r="F217" s="35"/>
      <c r="G217" s="36" t="s">
        <v>22</v>
      </c>
      <c r="H217" s="61">
        <v>9.42</v>
      </c>
      <c r="I217" s="259"/>
      <c r="J217" s="61">
        <f t="shared" si="3"/>
        <v>0</v>
      </c>
    </row>
    <row r="218" spans="1:10" ht="25.5">
      <c r="A218" s="89"/>
      <c r="B218" s="75"/>
      <c r="C218" s="71"/>
      <c r="D218" s="93" t="s">
        <v>268</v>
      </c>
      <c r="E218" s="94" t="s">
        <v>269</v>
      </c>
      <c r="F218" s="95"/>
      <c r="G218" s="39" t="s">
        <v>22</v>
      </c>
      <c r="H218" s="54">
        <v>8.07</v>
      </c>
      <c r="I218" s="54"/>
      <c r="J218" s="54"/>
    </row>
    <row r="219" spans="1:10">
      <c r="A219" s="89"/>
      <c r="B219" s="75"/>
      <c r="C219" s="71"/>
      <c r="D219" s="75"/>
      <c r="E219" s="52" t="s">
        <v>270</v>
      </c>
      <c r="F219" s="63"/>
      <c r="G219" s="36"/>
      <c r="H219" s="92"/>
      <c r="I219" s="92"/>
      <c r="J219" s="92"/>
    </row>
    <row r="220" spans="1:10">
      <c r="A220" s="89"/>
      <c r="B220" s="75"/>
      <c r="C220" s="71"/>
      <c r="D220" s="75"/>
      <c r="E220" s="55" t="s">
        <v>271</v>
      </c>
      <c r="F220" s="69">
        <f xml:space="preserve"> (0.6+0.623)/2*1.5*8.8</f>
        <v>8.07</v>
      </c>
      <c r="G220" s="36"/>
      <c r="H220" s="92"/>
      <c r="I220" s="92"/>
      <c r="J220" s="92"/>
    </row>
    <row r="221" spans="1:10" ht="25.5">
      <c r="A221" s="89"/>
      <c r="B221" s="75"/>
      <c r="C221" s="71"/>
      <c r="D221" s="93" t="s">
        <v>272</v>
      </c>
      <c r="E221" s="94" t="s">
        <v>273</v>
      </c>
      <c r="F221" s="95"/>
      <c r="G221" s="39" t="s">
        <v>22</v>
      </c>
      <c r="H221" s="92">
        <v>1.35</v>
      </c>
      <c r="I221" s="92"/>
      <c r="J221" s="92"/>
    </row>
    <row r="222" spans="1:10">
      <c r="A222" s="89"/>
      <c r="B222" s="75"/>
      <c r="C222" s="71"/>
      <c r="D222" s="75"/>
      <c r="E222" s="52" t="s">
        <v>270</v>
      </c>
      <c r="F222" s="63"/>
      <c r="G222" s="36"/>
      <c r="H222" s="92"/>
      <c r="I222" s="92"/>
      <c r="J222" s="92"/>
    </row>
    <row r="223" spans="1:10">
      <c r="A223" s="89"/>
      <c r="B223" s="75"/>
      <c r="C223" s="71"/>
      <c r="D223" s="75"/>
      <c r="E223" s="55" t="s">
        <v>274</v>
      </c>
      <c r="F223" s="69">
        <f xml:space="preserve"> (0.239+0.323)/2*0.6*0.4*10*2</f>
        <v>1.35</v>
      </c>
      <c r="G223" s="36"/>
      <c r="H223" s="92"/>
      <c r="I223" s="92"/>
      <c r="J223" s="92"/>
    </row>
    <row r="224" spans="1:10">
      <c r="A224" s="89"/>
      <c r="B224" s="75"/>
      <c r="C224" s="71"/>
      <c r="D224" s="75"/>
      <c r="E224" s="62"/>
      <c r="F224" s="63"/>
      <c r="G224" s="36"/>
      <c r="H224" s="92"/>
      <c r="I224" s="92"/>
      <c r="J224" s="92"/>
    </row>
    <row r="225" spans="1:10" ht="25.5">
      <c r="A225" s="24">
        <f>MAX(A$1:A224)+1</f>
        <v>29</v>
      </c>
      <c r="B225" s="75"/>
      <c r="C225" s="32" t="s">
        <v>275</v>
      </c>
      <c r="D225" s="33"/>
      <c r="E225" s="34" t="s">
        <v>276</v>
      </c>
      <c r="F225" s="35"/>
      <c r="G225" s="36" t="s">
        <v>5</v>
      </c>
      <c r="H225" s="61">
        <v>29.43</v>
      </c>
      <c r="I225" s="259"/>
      <c r="J225" s="61">
        <f t="shared" si="3"/>
        <v>0</v>
      </c>
    </row>
    <row r="226" spans="1:10" ht="25.5">
      <c r="A226" s="89"/>
      <c r="B226" s="75"/>
      <c r="C226" s="64"/>
      <c r="D226" s="65" t="s">
        <v>277</v>
      </c>
      <c r="E226" s="66" t="s">
        <v>278</v>
      </c>
      <c r="F226" s="67"/>
      <c r="G226" s="68" t="s">
        <v>5</v>
      </c>
      <c r="H226" s="54">
        <v>29.43</v>
      </c>
      <c r="I226" s="54"/>
      <c r="J226" s="54"/>
    </row>
    <row r="227" spans="1:10">
      <c r="A227" s="89"/>
      <c r="B227" s="75"/>
      <c r="C227" s="71"/>
      <c r="D227" s="75"/>
      <c r="E227" s="52" t="s">
        <v>270</v>
      </c>
      <c r="F227" s="63"/>
      <c r="G227" s="36"/>
      <c r="H227" s="92"/>
      <c r="I227" s="92"/>
      <c r="J227" s="92"/>
    </row>
    <row r="228" spans="1:10" ht="25.5">
      <c r="A228" s="89"/>
      <c r="B228" s="75"/>
      <c r="C228" s="71"/>
      <c r="D228" s="75"/>
      <c r="E228" s="55" t="s">
        <v>279</v>
      </c>
      <c r="F228" s="69">
        <f xml:space="preserve"> 0.6*8.8*2+(0.6+0.623)/2*1.5*2+8.8*1.5-7.4*1</f>
        <v>18.190000000000001</v>
      </c>
      <c r="G228" s="36"/>
      <c r="H228" s="92"/>
      <c r="I228" s="92"/>
      <c r="J228" s="92"/>
    </row>
    <row r="229" spans="1:10" ht="25.5">
      <c r="A229" s="89"/>
      <c r="B229" s="75"/>
      <c r="C229" s="71"/>
      <c r="D229" s="75"/>
      <c r="E229" s="55" t="s">
        <v>280</v>
      </c>
      <c r="F229" s="70">
        <f xml:space="preserve"> ((0.6+0.4)*2*(0.239+0.323)/2)*10*2</f>
        <v>11.24</v>
      </c>
      <c r="G229" s="36"/>
      <c r="H229" s="92"/>
      <c r="I229" s="92"/>
      <c r="J229" s="92"/>
    </row>
    <row r="230" spans="1:10">
      <c r="A230" s="89"/>
      <c r="B230" s="75"/>
      <c r="C230" s="71"/>
      <c r="D230" s="75"/>
      <c r="E230" s="57" t="s">
        <v>159</v>
      </c>
      <c r="F230" s="69">
        <f>SUM(F228:F229)</f>
        <v>29.43</v>
      </c>
      <c r="G230" s="36"/>
      <c r="H230" s="92"/>
      <c r="I230" s="92"/>
      <c r="J230" s="92"/>
    </row>
    <row r="231" spans="1:10">
      <c r="A231" s="89"/>
      <c r="B231" s="75"/>
      <c r="C231" s="71"/>
      <c r="D231" s="75"/>
      <c r="E231" s="62"/>
      <c r="F231" s="63"/>
      <c r="G231" s="36"/>
      <c r="H231" s="92"/>
      <c r="I231" s="92"/>
      <c r="J231" s="92"/>
    </row>
    <row r="232" spans="1:10" ht="25.5">
      <c r="A232" s="24">
        <f>MAX(A$1:A231)+1</f>
        <v>30</v>
      </c>
      <c r="B232" s="75"/>
      <c r="C232" s="32" t="s">
        <v>281</v>
      </c>
      <c r="D232" s="33"/>
      <c r="E232" s="34" t="s">
        <v>282</v>
      </c>
      <c r="F232" s="35"/>
      <c r="G232" s="36" t="s">
        <v>1</v>
      </c>
      <c r="H232" s="61">
        <v>3.5</v>
      </c>
      <c r="I232" s="259"/>
      <c r="J232" s="61">
        <f t="shared" si="3"/>
        <v>0</v>
      </c>
    </row>
    <row r="233" spans="1:10">
      <c r="A233" s="89"/>
      <c r="B233" s="75"/>
      <c r="C233" s="71"/>
      <c r="D233" s="75"/>
      <c r="E233" s="55" t="s">
        <v>283</v>
      </c>
      <c r="F233" s="63">
        <f xml:space="preserve"> 3499.65*0.001</f>
        <v>3.5</v>
      </c>
      <c r="G233" s="36"/>
      <c r="H233" s="92"/>
      <c r="I233" s="92"/>
      <c r="J233" s="92"/>
    </row>
    <row r="234" spans="1:10">
      <c r="A234" s="80"/>
      <c r="B234" s="81"/>
      <c r="C234" s="82"/>
      <c r="D234" s="65"/>
      <c r="E234" s="55"/>
      <c r="F234" s="53"/>
      <c r="G234" s="68"/>
      <c r="H234" s="54"/>
      <c r="I234" s="54"/>
      <c r="J234" s="54"/>
    </row>
    <row r="235" spans="1:10" ht="25.5">
      <c r="A235" s="24">
        <f>MAX(A$1:A234)+1</f>
        <v>31</v>
      </c>
      <c r="B235" s="81"/>
      <c r="C235" s="32" t="s">
        <v>41</v>
      </c>
      <c r="D235" s="33"/>
      <c r="E235" s="34" t="s">
        <v>42</v>
      </c>
      <c r="F235" s="35"/>
      <c r="G235" s="36" t="s">
        <v>22</v>
      </c>
      <c r="H235" s="61">
        <v>37.03</v>
      </c>
      <c r="I235" s="259"/>
      <c r="J235" s="61">
        <f t="shared" si="3"/>
        <v>0</v>
      </c>
    </row>
    <row r="236" spans="1:10" ht="25.5">
      <c r="A236" s="80"/>
      <c r="B236" s="81"/>
      <c r="C236" s="82"/>
      <c r="D236" s="93" t="s">
        <v>43</v>
      </c>
      <c r="E236" s="94" t="s">
        <v>44</v>
      </c>
      <c r="F236" s="95"/>
      <c r="G236" s="39" t="s">
        <v>22</v>
      </c>
      <c r="H236" s="54">
        <v>35.909999999999997</v>
      </c>
      <c r="I236" s="54"/>
      <c r="J236" s="54"/>
    </row>
    <row r="237" spans="1:10">
      <c r="A237" s="80"/>
      <c r="B237" s="81"/>
      <c r="C237" s="82"/>
      <c r="D237" s="93"/>
      <c r="E237" s="52" t="s">
        <v>166</v>
      </c>
      <c r="F237" s="95"/>
      <c r="G237" s="39"/>
      <c r="H237" s="54"/>
      <c r="I237" s="54"/>
      <c r="J237" s="54"/>
    </row>
    <row r="238" spans="1:10" ht="25.5">
      <c r="A238" s="80"/>
      <c r="B238" s="81"/>
      <c r="C238" s="82"/>
      <c r="D238" s="83"/>
      <c r="E238" s="55" t="s">
        <v>254</v>
      </c>
      <c r="F238" s="69">
        <f xml:space="preserve"> 5.41*1.5+7.18*0.523+0.035*8.6-0.077*7</f>
        <v>11.63</v>
      </c>
      <c r="G238" s="39"/>
      <c r="H238" s="54"/>
      <c r="I238" s="54"/>
      <c r="J238" s="54"/>
    </row>
    <row r="239" spans="1:10">
      <c r="A239" s="80"/>
      <c r="B239" s="81"/>
      <c r="C239" s="82"/>
      <c r="D239" s="83"/>
      <c r="E239" s="55" t="s">
        <v>388</v>
      </c>
      <c r="F239" s="70">
        <f xml:space="preserve"> 1.08*2.6+1.08*3.05</f>
        <v>6.1</v>
      </c>
      <c r="G239" s="39"/>
      <c r="H239" s="54"/>
      <c r="I239" s="54"/>
      <c r="J239" s="54"/>
    </row>
    <row r="240" spans="1:10">
      <c r="A240" s="80"/>
      <c r="B240" s="81"/>
      <c r="C240" s="82"/>
      <c r="D240" s="83"/>
      <c r="E240" s="57" t="s">
        <v>159</v>
      </c>
      <c r="F240" s="69">
        <f>SUM(F238:F239)</f>
        <v>17.73</v>
      </c>
      <c r="G240" s="39"/>
      <c r="H240" s="54"/>
      <c r="I240" s="54"/>
      <c r="J240" s="54"/>
    </row>
    <row r="241" spans="1:10">
      <c r="A241" s="80"/>
      <c r="B241" s="81"/>
      <c r="C241" s="82"/>
      <c r="D241" s="83"/>
      <c r="E241" s="52" t="s">
        <v>255</v>
      </c>
      <c r="F241" s="70"/>
      <c r="G241" s="39"/>
      <c r="H241" s="54"/>
      <c r="I241" s="54"/>
      <c r="J241" s="54"/>
    </row>
    <row r="242" spans="1:10" ht="25.5">
      <c r="A242" s="80"/>
      <c r="B242" s="81"/>
      <c r="C242" s="82"/>
      <c r="D242" s="83"/>
      <c r="E242" s="55" t="s">
        <v>256</v>
      </c>
      <c r="F242" s="69">
        <f xml:space="preserve"> 5.41*1.5+6.71*0.523+0.035*8.6-0.077*7</f>
        <v>11.39</v>
      </c>
      <c r="G242" s="39"/>
      <c r="H242" s="54"/>
      <c r="I242" s="54"/>
      <c r="J242" s="54"/>
    </row>
    <row r="243" spans="1:10">
      <c r="A243" s="80"/>
      <c r="B243" s="81"/>
      <c r="C243" s="82"/>
      <c r="D243" s="83"/>
      <c r="E243" s="55" t="s">
        <v>389</v>
      </c>
      <c r="F243" s="70">
        <f xml:space="preserve"> 1.07*3.4+1.07*2.95</f>
        <v>6.79</v>
      </c>
      <c r="G243" s="39"/>
      <c r="H243" s="54"/>
      <c r="I243" s="54"/>
      <c r="J243" s="54"/>
    </row>
    <row r="244" spans="1:10">
      <c r="A244" s="80"/>
      <c r="B244" s="81"/>
      <c r="C244" s="82"/>
      <c r="D244" s="83"/>
      <c r="E244" s="57" t="s">
        <v>159</v>
      </c>
      <c r="F244" s="70">
        <f>SUM(F242:F243)</f>
        <v>18.18</v>
      </c>
      <c r="G244" s="39"/>
      <c r="H244" s="54"/>
      <c r="I244" s="54"/>
      <c r="J244" s="54"/>
    </row>
    <row r="245" spans="1:10">
      <c r="A245" s="80"/>
      <c r="B245" s="81"/>
      <c r="C245" s="82"/>
      <c r="D245" s="83"/>
      <c r="E245" s="62" t="s">
        <v>159</v>
      </c>
      <c r="F245" s="96">
        <f>F240+F244</f>
        <v>35.909999999999997</v>
      </c>
      <c r="G245" s="39"/>
      <c r="H245" s="54"/>
      <c r="I245" s="54"/>
      <c r="J245" s="54"/>
    </row>
    <row r="246" spans="1:10" ht="25.5">
      <c r="A246" s="80"/>
      <c r="B246" s="81"/>
      <c r="C246" s="82"/>
      <c r="D246" s="83"/>
      <c r="E246" s="55" t="s">
        <v>244</v>
      </c>
      <c r="F246" s="69"/>
      <c r="G246" s="39"/>
      <c r="H246" s="54"/>
      <c r="I246" s="54"/>
      <c r="J246" s="54"/>
    </row>
    <row r="247" spans="1:10" ht="25.5">
      <c r="A247" s="80"/>
      <c r="B247" s="81"/>
      <c r="C247" s="82"/>
      <c r="D247" s="93" t="s">
        <v>257</v>
      </c>
      <c r="E247" s="94" t="s">
        <v>258</v>
      </c>
      <c r="F247" s="95"/>
      <c r="G247" s="39" t="s">
        <v>22</v>
      </c>
      <c r="H247" s="54">
        <v>1.1200000000000001</v>
      </c>
      <c r="I247" s="54"/>
      <c r="J247" s="54"/>
    </row>
    <row r="248" spans="1:10">
      <c r="A248" s="80"/>
      <c r="B248" s="81"/>
      <c r="C248" s="82"/>
      <c r="D248" s="83"/>
      <c r="E248" s="52" t="s">
        <v>259</v>
      </c>
      <c r="F248" s="69"/>
      <c r="G248" s="39"/>
      <c r="H248" s="54"/>
      <c r="I248" s="54"/>
      <c r="J248" s="54"/>
    </row>
    <row r="249" spans="1:10">
      <c r="A249" s="80"/>
      <c r="B249" s="81"/>
      <c r="C249" s="82"/>
      <c r="D249" s="83"/>
      <c r="E249" s="55" t="s">
        <v>260</v>
      </c>
      <c r="F249" s="69">
        <f xml:space="preserve"> (0.239+0.323)/2*0.5*0.4*10</f>
        <v>0.56000000000000005</v>
      </c>
      <c r="G249" s="39"/>
      <c r="H249" s="54"/>
      <c r="I249" s="54"/>
      <c r="J249" s="54"/>
    </row>
    <row r="250" spans="1:10">
      <c r="A250" s="80"/>
      <c r="B250" s="81"/>
      <c r="C250" s="82"/>
      <c r="D250" s="83"/>
      <c r="E250" s="55" t="s">
        <v>261</v>
      </c>
      <c r="F250" s="70">
        <f xml:space="preserve"> (0.239+0.323)/2*0.5*0.4*10</f>
        <v>0.56000000000000005</v>
      </c>
      <c r="G250" s="39"/>
      <c r="H250" s="54"/>
      <c r="I250" s="54"/>
      <c r="J250" s="54"/>
    </row>
    <row r="251" spans="1:10">
      <c r="A251" s="80"/>
      <c r="B251" s="81"/>
      <c r="C251" s="82"/>
      <c r="D251" s="83"/>
      <c r="E251" s="57" t="s">
        <v>159</v>
      </c>
      <c r="F251" s="69">
        <f>SUM(F249:F250)</f>
        <v>1.1200000000000001</v>
      </c>
      <c r="G251" s="39"/>
      <c r="H251" s="54"/>
      <c r="I251" s="54"/>
      <c r="J251" s="54"/>
    </row>
    <row r="252" spans="1:10">
      <c r="A252" s="80"/>
      <c r="B252" s="81"/>
      <c r="C252" s="82"/>
      <c r="D252" s="83"/>
      <c r="E252" s="84"/>
      <c r="F252" s="69"/>
      <c r="G252" s="39"/>
      <c r="H252" s="54"/>
      <c r="I252" s="54"/>
      <c r="J252" s="54"/>
    </row>
    <row r="253" spans="1:10" ht="25.5">
      <c r="A253" s="24">
        <f>MAX(A$1:A252)+1</f>
        <v>32</v>
      </c>
      <c r="B253" s="81"/>
      <c r="C253" s="32" t="s">
        <v>45</v>
      </c>
      <c r="D253" s="33"/>
      <c r="E253" s="34" t="s">
        <v>46</v>
      </c>
      <c r="F253" s="35"/>
      <c r="G253" s="36" t="s">
        <v>5</v>
      </c>
      <c r="H253" s="61">
        <v>99.4</v>
      </c>
      <c r="I253" s="259"/>
      <c r="J253" s="61">
        <f t="shared" si="3"/>
        <v>0</v>
      </c>
    </row>
    <row r="254" spans="1:10" ht="25.5">
      <c r="A254" s="80"/>
      <c r="B254" s="81"/>
      <c r="C254" s="64"/>
      <c r="D254" s="65" t="s">
        <v>47</v>
      </c>
      <c r="E254" s="66" t="s">
        <v>48</v>
      </c>
      <c r="F254" s="67"/>
      <c r="G254" s="68" t="s">
        <v>5</v>
      </c>
      <c r="H254" s="54">
        <v>99.4</v>
      </c>
      <c r="I254" s="54"/>
      <c r="J254" s="54"/>
    </row>
    <row r="255" spans="1:10">
      <c r="A255" s="80"/>
      <c r="B255" s="81"/>
      <c r="C255" s="64"/>
      <c r="D255" s="65"/>
      <c r="E255" s="52" t="s">
        <v>166</v>
      </c>
      <c r="F255" s="69"/>
      <c r="G255" s="68"/>
      <c r="H255" s="54"/>
      <c r="I255" s="54"/>
      <c r="J255" s="54"/>
    </row>
    <row r="256" spans="1:10">
      <c r="A256" s="80"/>
      <c r="B256" s="81"/>
      <c r="C256" s="82"/>
      <c r="D256" s="83"/>
      <c r="E256" s="55" t="s">
        <v>262</v>
      </c>
      <c r="F256" s="69">
        <f xml:space="preserve"> 12.48*2+1.39*2</f>
        <v>27.74</v>
      </c>
      <c r="G256" s="39"/>
      <c r="H256" s="54"/>
      <c r="I256" s="54"/>
      <c r="J256" s="54"/>
    </row>
    <row r="257" spans="1:10">
      <c r="A257" s="80"/>
      <c r="B257" s="81"/>
      <c r="C257" s="82"/>
      <c r="D257" s="83"/>
      <c r="E257" s="55" t="s">
        <v>390</v>
      </c>
      <c r="F257" s="69">
        <f xml:space="preserve"> 3.62*2+1.08+3.654*2+1.08</f>
        <v>16.71</v>
      </c>
      <c r="G257" s="39"/>
      <c r="H257" s="54"/>
      <c r="I257" s="54"/>
      <c r="J257" s="54"/>
    </row>
    <row r="258" spans="1:10" ht="25.5">
      <c r="A258" s="80"/>
      <c r="B258" s="81"/>
      <c r="C258" s="82"/>
      <c r="D258" s="83"/>
      <c r="E258" s="55" t="s">
        <v>263</v>
      </c>
      <c r="F258" s="70">
        <f xml:space="preserve"> ((0.5+0.4)*2*(0.239+0.323)/2)*10</f>
        <v>5.0599999999999996</v>
      </c>
      <c r="G258" s="39"/>
      <c r="H258" s="54"/>
      <c r="I258" s="54"/>
      <c r="J258" s="54"/>
    </row>
    <row r="259" spans="1:10">
      <c r="A259" s="80"/>
      <c r="B259" s="81"/>
      <c r="C259" s="82"/>
      <c r="D259" s="83"/>
      <c r="E259" s="57" t="s">
        <v>159</v>
      </c>
      <c r="F259" s="69">
        <f>SUM(F256:F258)</f>
        <v>49.51</v>
      </c>
      <c r="G259" s="39"/>
      <c r="H259" s="54"/>
      <c r="I259" s="54"/>
      <c r="J259" s="54"/>
    </row>
    <row r="260" spans="1:10">
      <c r="A260" s="80"/>
      <c r="B260" s="81"/>
      <c r="C260" s="82"/>
      <c r="D260" s="83"/>
      <c r="E260" s="52" t="s">
        <v>255</v>
      </c>
      <c r="F260" s="69"/>
      <c r="G260" s="39"/>
      <c r="H260" s="54"/>
      <c r="I260" s="54"/>
      <c r="J260" s="54"/>
    </row>
    <row r="261" spans="1:10">
      <c r="A261" s="80"/>
      <c r="B261" s="81"/>
      <c r="C261" s="82"/>
      <c r="D261" s="83"/>
      <c r="E261" s="55" t="s">
        <v>264</v>
      </c>
      <c r="F261" s="69">
        <f xml:space="preserve"> 11.878*2+1.39*2</f>
        <v>26.54</v>
      </c>
      <c r="G261" s="39"/>
      <c r="H261" s="54"/>
      <c r="I261" s="54"/>
      <c r="J261" s="54"/>
    </row>
    <row r="262" spans="1:10">
      <c r="A262" s="80"/>
      <c r="B262" s="81"/>
      <c r="C262" s="82"/>
      <c r="D262" s="83"/>
      <c r="E262" s="55" t="s">
        <v>391</v>
      </c>
      <c r="F262" s="69">
        <f xml:space="preserve"> 4.07*2+1.07+4.01*2+1.07</f>
        <v>18.3</v>
      </c>
      <c r="G262" s="39"/>
      <c r="H262" s="54"/>
      <c r="I262" s="54"/>
      <c r="J262" s="54"/>
    </row>
    <row r="263" spans="1:10" ht="25.5">
      <c r="A263" s="80"/>
      <c r="B263" s="81"/>
      <c r="C263" s="82"/>
      <c r="D263" s="83"/>
      <c r="E263" s="55" t="s">
        <v>263</v>
      </c>
      <c r="F263" s="70">
        <f xml:space="preserve"> ((0.5+0.4)*2*(0.239+0.323)/2)*10</f>
        <v>5.0599999999999996</v>
      </c>
      <c r="G263" s="39"/>
      <c r="H263" s="54"/>
      <c r="I263" s="54"/>
      <c r="J263" s="54"/>
    </row>
    <row r="264" spans="1:10">
      <c r="A264" s="80"/>
      <c r="B264" s="81"/>
      <c r="C264" s="82"/>
      <c r="D264" s="83"/>
      <c r="E264" s="57" t="s">
        <v>159</v>
      </c>
      <c r="F264" s="70">
        <f>SUM(F261:F263)</f>
        <v>49.9</v>
      </c>
      <c r="G264" s="39"/>
      <c r="H264" s="54"/>
      <c r="I264" s="54"/>
      <c r="J264" s="54"/>
    </row>
    <row r="265" spans="1:10">
      <c r="A265" s="80"/>
      <c r="B265" s="81"/>
      <c r="C265" s="82"/>
      <c r="D265" s="83"/>
      <c r="E265" s="62" t="s">
        <v>159</v>
      </c>
      <c r="F265" s="96">
        <f>F259+F264</f>
        <v>99.41</v>
      </c>
      <c r="G265" s="39"/>
      <c r="H265" s="54"/>
      <c r="I265" s="54"/>
      <c r="J265" s="54"/>
    </row>
    <row r="266" spans="1:10">
      <c r="A266" s="80"/>
      <c r="B266" s="81"/>
      <c r="C266" s="82"/>
      <c r="D266" s="83"/>
      <c r="E266" s="84"/>
      <c r="F266" s="69"/>
      <c r="G266" s="39"/>
      <c r="H266" s="54"/>
      <c r="I266" s="54"/>
      <c r="J266" s="54"/>
    </row>
    <row r="267" spans="1:10" ht="25.5">
      <c r="A267" s="24">
        <f>MAX(A$1:A266)+1</f>
        <v>33</v>
      </c>
      <c r="B267" s="81"/>
      <c r="C267" s="32" t="s">
        <v>49</v>
      </c>
      <c r="D267" s="33"/>
      <c r="E267" s="34" t="s">
        <v>50</v>
      </c>
      <c r="F267" s="35"/>
      <c r="G267" s="36" t="s">
        <v>1</v>
      </c>
      <c r="H267" s="61">
        <v>6.63</v>
      </c>
      <c r="I267" s="259"/>
      <c r="J267" s="61">
        <f t="shared" ref="J267:J322" si="4">I267*H267</f>
        <v>0</v>
      </c>
    </row>
    <row r="268" spans="1:10" ht="25.5">
      <c r="A268" s="80"/>
      <c r="B268" s="81"/>
      <c r="C268" s="82"/>
      <c r="D268" s="65" t="s">
        <v>51</v>
      </c>
      <c r="E268" s="66" t="s">
        <v>52</v>
      </c>
      <c r="F268" s="67"/>
      <c r="G268" s="68" t="s">
        <v>1</v>
      </c>
      <c r="H268" s="54">
        <v>6.63</v>
      </c>
      <c r="I268" s="54"/>
      <c r="J268" s="54"/>
    </row>
    <row r="269" spans="1:10">
      <c r="A269" s="80"/>
      <c r="B269" s="81"/>
      <c r="C269" s="82"/>
      <c r="D269" s="65"/>
      <c r="E269" s="55" t="s">
        <v>165</v>
      </c>
      <c r="F269" s="97"/>
      <c r="G269" s="68"/>
      <c r="H269" s="54"/>
      <c r="I269" s="54"/>
      <c r="J269" s="54"/>
    </row>
    <row r="270" spans="1:10">
      <c r="A270" s="80"/>
      <c r="B270" s="81"/>
      <c r="C270" s="82"/>
      <c r="D270" s="65"/>
      <c r="E270" s="52" t="s">
        <v>166</v>
      </c>
      <c r="F270" s="97"/>
      <c r="G270" s="68"/>
      <c r="H270" s="54"/>
      <c r="I270" s="54"/>
      <c r="J270" s="54"/>
    </row>
    <row r="271" spans="1:10">
      <c r="A271" s="80"/>
      <c r="B271" s="81"/>
      <c r="C271" s="82"/>
      <c r="D271" s="65"/>
      <c r="E271" s="55" t="s">
        <v>265</v>
      </c>
      <c r="F271" s="69">
        <f xml:space="preserve"> 2352.52*0.001</f>
        <v>2.35</v>
      </c>
      <c r="G271" s="68"/>
      <c r="H271" s="54"/>
      <c r="I271" s="54"/>
      <c r="J271" s="54"/>
    </row>
    <row r="272" spans="1:10">
      <c r="A272" s="80"/>
      <c r="B272" s="81"/>
      <c r="C272" s="82"/>
      <c r="D272" s="65"/>
      <c r="E272" s="55" t="s">
        <v>392</v>
      </c>
      <c r="F272" s="70">
        <f xml:space="preserve"> (424.03+497.75)*0.001</f>
        <v>0.92</v>
      </c>
      <c r="G272" s="68"/>
      <c r="H272" s="54"/>
      <c r="I272" s="54"/>
      <c r="J272" s="54"/>
    </row>
    <row r="273" spans="1:10">
      <c r="A273" s="80"/>
      <c r="B273" s="81"/>
      <c r="C273" s="82"/>
      <c r="D273" s="65"/>
      <c r="E273" s="57" t="s">
        <v>159</v>
      </c>
      <c r="F273" s="69">
        <f>SUM(F271:F272)</f>
        <v>3.27</v>
      </c>
      <c r="G273" s="68"/>
      <c r="H273" s="54"/>
      <c r="I273" s="54"/>
      <c r="J273" s="54"/>
    </row>
    <row r="274" spans="1:10">
      <c r="A274" s="80"/>
      <c r="B274" s="81"/>
      <c r="C274" s="82"/>
      <c r="D274" s="65"/>
      <c r="E274" s="52" t="s">
        <v>255</v>
      </c>
      <c r="F274" s="53"/>
      <c r="G274" s="68"/>
      <c r="H274" s="54"/>
      <c r="I274" s="54"/>
      <c r="J274" s="54"/>
    </row>
    <row r="275" spans="1:10">
      <c r="A275" s="80"/>
      <c r="B275" s="81"/>
      <c r="C275" s="82"/>
      <c r="D275" s="65"/>
      <c r="E275" s="55" t="s">
        <v>265</v>
      </c>
      <c r="F275" s="69">
        <f xml:space="preserve"> 2352.52*0.001</f>
        <v>2.35</v>
      </c>
      <c r="G275" s="68"/>
      <c r="H275" s="54"/>
      <c r="I275" s="54"/>
      <c r="J275" s="54"/>
    </row>
    <row r="276" spans="1:10">
      <c r="A276" s="80"/>
      <c r="B276" s="81"/>
      <c r="C276" s="82"/>
      <c r="D276" s="65"/>
      <c r="E276" s="55" t="s">
        <v>393</v>
      </c>
      <c r="F276" s="70">
        <f xml:space="preserve"> (533.84+465.8)*0.001</f>
        <v>1</v>
      </c>
      <c r="G276" s="68"/>
      <c r="H276" s="54"/>
      <c r="I276" s="54"/>
      <c r="J276" s="54"/>
    </row>
    <row r="277" spans="1:10">
      <c r="A277" s="80"/>
      <c r="B277" s="81"/>
      <c r="C277" s="82"/>
      <c r="D277" s="65"/>
      <c r="E277" s="57" t="s">
        <v>159</v>
      </c>
      <c r="F277" s="70">
        <f>SUM(F275:F276)</f>
        <v>3.35</v>
      </c>
      <c r="G277" s="68"/>
      <c r="H277" s="54"/>
      <c r="I277" s="54"/>
      <c r="J277" s="54"/>
    </row>
    <row r="278" spans="1:10">
      <c r="A278" s="80"/>
      <c r="B278" s="81"/>
      <c r="C278" s="82"/>
      <c r="D278" s="65"/>
      <c r="E278" s="62" t="s">
        <v>159</v>
      </c>
      <c r="F278" s="96">
        <f>F273+F277</f>
        <v>6.62</v>
      </c>
      <c r="G278" s="68"/>
      <c r="H278" s="54"/>
      <c r="I278" s="54"/>
      <c r="J278" s="54"/>
    </row>
    <row r="279" spans="1:10" ht="25.5">
      <c r="A279" s="80"/>
      <c r="B279" s="81"/>
      <c r="C279" s="82"/>
      <c r="D279" s="65"/>
      <c r="E279" s="55" t="s">
        <v>394</v>
      </c>
      <c r="F279" s="96"/>
      <c r="G279" s="68"/>
      <c r="H279" s="54"/>
      <c r="I279" s="54"/>
      <c r="J279" s="54"/>
    </row>
    <row r="280" spans="1:10" ht="25.5">
      <c r="A280" s="80"/>
      <c r="B280" s="81"/>
      <c r="C280" s="82"/>
      <c r="D280" s="65"/>
      <c r="E280" s="55" t="s">
        <v>395</v>
      </c>
      <c r="F280" s="96"/>
      <c r="G280" s="68"/>
      <c r="H280" s="54"/>
      <c r="I280" s="54"/>
      <c r="J280" s="54"/>
    </row>
    <row r="281" spans="1:10" ht="25.5">
      <c r="A281" s="80"/>
      <c r="B281" s="81"/>
      <c r="C281" s="82"/>
      <c r="D281" s="83"/>
      <c r="E281" s="55" t="s">
        <v>167</v>
      </c>
      <c r="F281" s="69"/>
      <c r="G281" s="39"/>
      <c r="H281" s="54"/>
      <c r="I281" s="54"/>
      <c r="J281" s="54"/>
    </row>
    <row r="282" spans="1:10">
      <c r="A282" s="80"/>
      <c r="B282" s="81"/>
      <c r="C282" s="82"/>
      <c r="D282" s="83"/>
      <c r="E282" s="55"/>
      <c r="F282" s="53"/>
      <c r="G282" s="39"/>
      <c r="H282" s="54"/>
      <c r="I282" s="54"/>
      <c r="J282" s="54"/>
    </row>
    <row r="283" spans="1:10" ht="25.5">
      <c r="A283" s="24">
        <f>MAX(A$1:A282)+1</f>
        <v>34</v>
      </c>
      <c r="B283" s="81"/>
      <c r="C283" s="32" t="s">
        <v>53</v>
      </c>
      <c r="D283" s="33"/>
      <c r="E283" s="34" t="s">
        <v>54</v>
      </c>
      <c r="F283" s="35"/>
      <c r="G283" s="36" t="s">
        <v>22</v>
      </c>
      <c r="H283" s="61">
        <v>18.059999999999999</v>
      </c>
      <c r="I283" s="259"/>
      <c r="J283" s="61">
        <f t="shared" si="4"/>
        <v>0</v>
      </c>
    </row>
    <row r="284" spans="1:10" ht="25.5">
      <c r="A284" s="80"/>
      <c r="B284" s="81"/>
      <c r="C284" s="82"/>
      <c r="D284" s="93" t="s">
        <v>55</v>
      </c>
      <c r="E284" s="94" t="s">
        <v>56</v>
      </c>
      <c r="F284" s="95"/>
      <c r="G284" s="39" t="s">
        <v>22</v>
      </c>
      <c r="H284" s="54">
        <v>18.059999999999999</v>
      </c>
      <c r="I284" s="54"/>
      <c r="J284" s="54"/>
    </row>
    <row r="285" spans="1:10">
      <c r="A285" s="80"/>
      <c r="B285" s="81"/>
      <c r="C285" s="82"/>
      <c r="D285" s="83"/>
      <c r="E285" s="55" t="s">
        <v>298</v>
      </c>
      <c r="F285" s="69">
        <f xml:space="preserve"> 0.37*24.4</f>
        <v>9.0299999999999994</v>
      </c>
      <c r="G285" s="39"/>
      <c r="H285" s="54"/>
      <c r="I285" s="54"/>
      <c r="J285" s="54"/>
    </row>
    <row r="286" spans="1:10">
      <c r="A286" s="80"/>
      <c r="B286" s="81"/>
      <c r="C286" s="82"/>
      <c r="D286" s="83"/>
      <c r="E286" s="55" t="s">
        <v>297</v>
      </c>
      <c r="F286" s="70">
        <f xml:space="preserve"> 0.37*24.4</f>
        <v>9.0299999999999994</v>
      </c>
      <c r="G286" s="39"/>
      <c r="H286" s="54"/>
      <c r="I286" s="54"/>
      <c r="J286" s="54"/>
    </row>
    <row r="287" spans="1:10">
      <c r="A287" s="80"/>
      <c r="B287" s="81"/>
      <c r="C287" s="82"/>
      <c r="D287" s="83"/>
      <c r="E287" s="57" t="s">
        <v>159</v>
      </c>
      <c r="F287" s="69">
        <f>SUM(F285:F286)</f>
        <v>18.059999999999999</v>
      </c>
      <c r="G287" s="39"/>
      <c r="H287" s="54"/>
      <c r="I287" s="54"/>
      <c r="J287" s="54"/>
    </row>
    <row r="288" spans="1:10" ht="25.5">
      <c r="A288" s="80"/>
      <c r="B288" s="81"/>
      <c r="C288" s="82"/>
      <c r="D288" s="83"/>
      <c r="E288" s="55" t="s">
        <v>168</v>
      </c>
      <c r="F288" s="69"/>
      <c r="G288" s="39"/>
      <c r="H288" s="54"/>
      <c r="I288" s="54"/>
      <c r="J288" s="54"/>
    </row>
    <row r="289" spans="1:10">
      <c r="A289" s="80"/>
      <c r="B289" s="81"/>
      <c r="C289" s="82"/>
      <c r="D289" s="83"/>
      <c r="E289" s="84"/>
      <c r="F289" s="98"/>
      <c r="G289" s="39"/>
      <c r="H289" s="54"/>
      <c r="I289" s="54"/>
      <c r="J289" s="54"/>
    </row>
    <row r="290" spans="1:10" ht="25.5">
      <c r="A290" s="24">
        <f>MAX(A$1:A289)+1</f>
        <v>35</v>
      </c>
      <c r="B290" s="81"/>
      <c r="C290" s="32" t="s">
        <v>57</v>
      </c>
      <c r="D290" s="33"/>
      <c r="E290" s="34" t="s">
        <v>116</v>
      </c>
      <c r="F290" s="35"/>
      <c r="G290" s="36" t="s">
        <v>5</v>
      </c>
      <c r="H290" s="61">
        <v>68.34</v>
      </c>
      <c r="I290" s="259"/>
      <c r="J290" s="61">
        <f t="shared" si="4"/>
        <v>0</v>
      </c>
    </row>
    <row r="291" spans="1:10" ht="25.5">
      <c r="A291" s="80"/>
      <c r="B291" s="81"/>
      <c r="C291" s="64"/>
      <c r="D291" s="65" t="s">
        <v>58</v>
      </c>
      <c r="E291" s="66" t="s">
        <v>117</v>
      </c>
      <c r="F291" s="67"/>
      <c r="G291" s="68" t="s">
        <v>5</v>
      </c>
      <c r="H291" s="54">
        <v>68.34</v>
      </c>
      <c r="I291" s="54"/>
      <c r="J291" s="54"/>
    </row>
    <row r="292" spans="1:10">
      <c r="A292" s="80"/>
      <c r="B292" s="81"/>
      <c r="C292" s="64"/>
      <c r="D292" s="65"/>
      <c r="E292" s="55" t="s">
        <v>299</v>
      </c>
      <c r="F292" s="69">
        <f xml:space="preserve"> 0.37*2+1.37*24.4</f>
        <v>34.17</v>
      </c>
      <c r="G292" s="68"/>
      <c r="H292" s="54"/>
      <c r="I292" s="54"/>
      <c r="J292" s="54"/>
    </row>
    <row r="293" spans="1:10">
      <c r="A293" s="80"/>
      <c r="B293" s="81"/>
      <c r="C293" s="64"/>
      <c r="D293" s="65"/>
      <c r="E293" s="55" t="s">
        <v>300</v>
      </c>
      <c r="F293" s="70">
        <f xml:space="preserve"> 0.37*2+1.37*24.4</f>
        <v>34.17</v>
      </c>
      <c r="G293" s="68"/>
      <c r="H293" s="54"/>
      <c r="I293" s="54"/>
      <c r="J293" s="54"/>
    </row>
    <row r="294" spans="1:10">
      <c r="A294" s="80"/>
      <c r="B294" s="81"/>
      <c r="C294" s="64"/>
      <c r="D294" s="65"/>
      <c r="E294" s="57" t="s">
        <v>159</v>
      </c>
      <c r="F294" s="69">
        <f>SUM(F292:F293)</f>
        <v>68.34</v>
      </c>
      <c r="G294" s="68"/>
      <c r="H294" s="54"/>
      <c r="I294" s="54"/>
      <c r="J294" s="54"/>
    </row>
    <row r="295" spans="1:10">
      <c r="A295" s="80"/>
      <c r="B295" s="81"/>
      <c r="C295" s="64"/>
      <c r="D295" s="65"/>
      <c r="E295" s="55" t="s">
        <v>301</v>
      </c>
      <c r="F295" s="53"/>
      <c r="G295" s="68"/>
      <c r="H295" s="54"/>
      <c r="I295" s="54"/>
      <c r="J295" s="54"/>
    </row>
    <row r="296" spans="1:10">
      <c r="A296" s="80"/>
      <c r="B296" s="81"/>
      <c r="C296" s="64"/>
      <c r="D296" s="65"/>
      <c r="E296" s="55"/>
      <c r="F296" s="53"/>
      <c r="G296" s="68"/>
      <c r="H296" s="54"/>
      <c r="I296" s="54"/>
      <c r="J296" s="54"/>
    </row>
    <row r="297" spans="1:10" ht="25.5">
      <c r="A297" s="24">
        <f>MAX(A$1:A296)+1</f>
        <v>36</v>
      </c>
      <c r="B297" s="81"/>
      <c r="C297" s="32" t="s">
        <v>59</v>
      </c>
      <c r="D297" s="33"/>
      <c r="E297" s="34" t="s">
        <v>118</v>
      </c>
      <c r="F297" s="35"/>
      <c r="G297" s="36" t="s">
        <v>1</v>
      </c>
      <c r="H297" s="61">
        <v>2</v>
      </c>
      <c r="I297" s="259"/>
      <c r="J297" s="61">
        <f t="shared" si="4"/>
        <v>0</v>
      </c>
    </row>
    <row r="298" spans="1:10" ht="25.5">
      <c r="A298" s="80"/>
      <c r="B298" s="81"/>
      <c r="C298" s="82"/>
      <c r="D298" s="65" t="s">
        <v>60</v>
      </c>
      <c r="E298" s="66" t="s">
        <v>119</v>
      </c>
      <c r="F298" s="67"/>
      <c r="G298" s="68" t="s">
        <v>1</v>
      </c>
      <c r="H298" s="54">
        <v>2</v>
      </c>
      <c r="I298" s="54"/>
      <c r="J298" s="54"/>
    </row>
    <row r="299" spans="1:10">
      <c r="A299" s="80"/>
      <c r="B299" s="81"/>
      <c r="C299" s="82"/>
      <c r="D299" s="65"/>
      <c r="E299" s="52" t="s">
        <v>165</v>
      </c>
      <c r="F299" s="97"/>
      <c r="G299" s="68"/>
      <c r="H299" s="54"/>
      <c r="I299" s="54"/>
      <c r="J299" s="54"/>
    </row>
    <row r="300" spans="1:10">
      <c r="A300" s="80"/>
      <c r="B300" s="81"/>
      <c r="C300" s="82"/>
      <c r="D300" s="65"/>
      <c r="E300" s="55" t="s">
        <v>302</v>
      </c>
      <c r="F300" s="69">
        <f xml:space="preserve"> 1001.7*0.001</f>
        <v>1</v>
      </c>
      <c r="G300" s="68"/>
      <c r="H300" s="54"/>
      <c r="I300" s="54"/>
      <c r="J300" s="54"/>
    </row>
    <row r="301" spans="1:10">
      <c r="A301" s="80"/>
      <c r="B301" s="81"/>
      <c r="C301" s="82"/>
      <c r="D301" s="65"/>
      <c r="E301" s="55" t="s">
        <v>303</v>
      </c>
      <c r="F301" s="70">
        <f xml:space="preserve"> 1001.62*0.001</f>
        <v>1</v>
      </c>
      <c r="G301" s="68"/>
      <c r="H301" s="54"/>
      <c r="I301" s="54"/>
      <c r="J301" s="54"/>
    </row>
    <row r="302" spans="1:10">
      <c r="A302" s="80"/>
      <c r="B302" s="81"/>
      <c r="C302" s="82"/>
      <c r="D302" s="65"/>
      <c r="E302" s="57" t="s">
        <v>159</v>
      </c>
      <c r="F302" s="69">
        <f>SUM(F300:F301)</f>
        <v>2</v>
      </c>
      <c r="G302" s="68"/>
      <c r="H302" s="54"/>
      <c r="I302" s="54"/>
      <c r="J302" s="54"/>
    </row>
    <row r="303" spans="1:10">
      <c r="A303" s="80"/>
      <c r="B303" s="81"/>
      <c r="C303" s="82"/>
      <c r="D303" s="83"/>
      <c r="E303" s="84"/>
      <c r="F303" s="98"/>
      <c r="G303" s="39"/>
      <c r="H303" s="54"/>
      <c r="I303" s="54"/>
      <c r="J303" s="54"/>
    </row>
    <row r="304" spans="1:10" ht="25.5">
      <c r="A304" s="24">
        <f>MAX(A$1:A303)+1</f>
        <v>37</v>
      </c>
      <c r="B304" s="81"/>
      <c r="C304" s="32" t="s">
        <v>61</v>
      </c>
      <c r="D304" s="33"/>
      <c r="E304" s="99" t="s">
        <v>120</v>
      </c>
      <c r="F304" s="35"/>
      <c r="G304" s="36" t="s">
        <v>22</v>
      </c>
      <c r="H304" s="61">
        <v>12.17</v>
      </c>
      <c r="I304" s="259"/>
      <c r="J304" s="61">
        <f t="shared" si="4"/>
        <v>0</v>
      </c>
    </row>
    <row r="305" spans="1:10" ht="25.5">
      <c r="A305" s="80"/>
      <c r="B305" s="81"/>
      <c r="C305" s="82"/>
      <c r="D305" s="93" t="s">
        <v>284</v>
      </c>
      <c r="E305" s="94" t="s">
        <v>285</v>
      </c>
      <c r="F305" s="95"/>
      <c r="G305" s="68" t="s">
        <v>22</v>
      </c>
      <c r="H305" s="54">
        <v>12.17</v>
      </c>
      <c r="I305" s="54"/>
      <c r="J305" s="54"/>
    </row>
    <row r="306" spans="1:10">
      <c r="A306" s="80"/>
      <c r="B306" s="81"/>
      <c r="C306" s="82"/>
      <c r="D306" s="83"/>
      <c r="E306" s="55" t="s">
        <v>286</v>
      </c>
      <c r="F306" s="69">
        <f xml:space="preserve"> 0.73*6.96</f>
        <v>5.08</v>
      </c>
      <c r="G306" s="39"/>
      <c r="H306" s="54"/>
      <c r="I306" s="54"/>
      <c r="J306" s="54"/>
    </row>
    <row r="307" spans="1:10">
      <c r="A307" s="80"/>
      <c r="B307" s="81"/>
      <c r="C307" s="82"/>
      <c r="D307" s="83"/>
      <c r="E307" s="55" t="s">
        <v>287</v>
      </c>
      <c r="F307" s="69">
        <f xml:space="preserve"> 0.73*6.96</f>
        <v>5.08</v>
      </c>
      <c r="G307" s="39"/>
      <c r="H307" s="54"/>
      <c r="I307" s="54"/>
      <c r="J307" s="54"/>
    </row>
    <row r="308" spans="1:10">
      <c r="A308" s="80"/>
      <c r="B308" s="81"/>
      <c r="C308" s="82"/>
      <c r="D308" s="83"/>
      <c r="E308" s="52" t="s">
        <v>288</v>
      </c>
      <c r="F308" s="69"/>
      <c r="G308" s="39"/>
      <c r="H308" s="54"/>
      <c r="I308" s="54"/>
      <c r="J308" s="54"/>
    </row>
    <row r="309" spans="1:10">
      <c r="A309" s="80"/>
      <c r="B309" s="81"/>
      <c r="C309" s="82"/>
      <c r="D309" s="83"/>
      <c r="E309" s="55" t="s">
        <v>289</v>
      </c>
      <c r="F309" s="69">
        <f xml:space="preserve"> 0.14*7.16</f>
        <v>1</v>
      </c>
      <c r="G309" s="39"/>
      <c r="H309" s="54"/>
      <c r="I309" s="54"/>
      <c r="J309" s="54"/>
    </row>
    <row r="310" spans="1:10">
      <c r="A310" s="80"/>
      <c r="B310" s="81"/>
      <c r="C310" s="82"/>
      <c r="D310" s="83"/>
      <c r="E310" s="55" t="s">
        <v>290</v>
      </c>
      <c r="F310" s="70">
        <f xml:space="preserve"> 0.14*7.16</f>
        <v>1</v>
      </c>
      <c r="G310" s="39"/>
      <c r="H310" s="54"/>
      <c r="I310" s="54"/>
      <c r="J310" s="54"/>
    </row>
    <row r="311" spans="1:10">
      <c r="A311" s="80"/>
      <c r="B311" s="81"/>
      <c r="C311" s="82"/>
      <c r="D311" s="83"/>
      <c r="E311" s="57" t="s">
        <v>159</v>
      </c>
      <c r="F311" s="69">
        <f>SUM(F306:F310)</f>
        <v>12.16</v>
      </c>
      <c r="G311" s="39"/>
      <c r="H311" s="54"/>
      <c r="I311" s="54"/>
      <c r="J311" s="54"/>
    </row>
    <row r="312" spans="1:10">
      <c r="A312" s="80"/>
      <c r="B312" s="81"/>
      <c r="C312" s="82"/>
      <c r="D312" s="83"/>
      <c r="E312" s="84"/>
      <c r="F312" s="69"/>
      <c r="G312" s="39"/>
      <c r="H312" s="54"/>
      <c r="I312" s="54"/>
      <c r="J312" s="54"/>
    </row>
    <row r="313" spans="1:10" ht="25.5">
      <c r="A313" s="24">
        <f>MAX(A$1:A312)+1</f>
        <v>38</v>
      </c>
      <c r="B313" s="81"/>
      <c r="C313" s="32" t="s">
        <v>62</v>
      </c>
      <c r="D313" s="33"/>
      <c r="E313" s="34" t="s">
        <v>63</v>
      </c>
      <c r="F313" s="35"/>
      <c r="G313" s="36" t="s">
        <v>5</v>
      </c>
      <c r="H313" s="61">
        <v>8.83</v>
      </c>
      <c r="I313" s="259"/>
      <c r="J313" s="61">
        <f t="shared" si="4"/>
        <v>0</v>
      </c>
    </row>
    <row r="314" spans="1:10" ht="25.5">
      <c r="A314" s="80"/>
      <c r="B314" s="81"/>
      <c r="C314" s="64"/>
      <c r="D314" s="65" t="s">
        <v>64</v>
      </c>
      <c r="E314" s="66" t="s">
        <v>65</v>
      </c>
      <c r="F314" s="67"/>
      <c r="G314" s="68" t="s">
        <v>5</v>
      </c>
      <c r="H314" s="54">
        <v>8.83</v>
      </c>
      <c r="I314" s="54"/>
      <c r="J314" s="54"/>
    </row>
    <row r="315" spans="1:10">
      <c r="A315" s="80"/>
      <c r="B315" s="81"/>
      <c r="C315" s="64"/>
      <c r="D315" s="65"/>
      <c r="E315" s="55" t="s">
        <v>291</v>
      </c>
      <c r="F315" s="69">
        <f xml:space="preserve"> 6.96*0.24+0.73*2</f>
        <v>3.13</v>
      </c>
      <c r="G315" s="68"/>
      <c r="H315" s="54"/>
      <c r="I315" s="54"/>
      <c r="J315" s="54"/>
    </row>
    <row r="316" spans="1:10">
      <c r="A316" s="80"/>
      <c r="B316" s="81"/>
      <c r="C316" s="64"/>
      <c r="D316" s="65"/>
      <c r="E316" s="55" t="s">
        <v>292</v>
      </c>
      <c r="F316" s="69">
        <f xml:space="preserve"> 6.96*0.24+0.73*2</f>
        <v>3.13</v>
      </c>
      <c r="G316" s="68"/>
      <c r="H316" s="54"/>
      <c r="I316" s="54"/>
      <c r="J316" s="54"/>
    </row>
    <row r="317" spans="1:10">
      <c r="A317" s="80"/>
      <c r="B317" s="81"/>
      <c r="C317" s="64"/>
      <c r="D317" s="65"/>
      <c r="E317" s="52" t="s">
        <v>164</v>
      </c>
      <c r="F317" s="69"/>
      <c r="G317" s="68"/>
      <c r="H317" s="54"/>
      <c r="I317" s="54"/>
      <c r="J317" s="54"/>
    </row>
    <row r="318" spans="1:10">
      <c r="A318" s="80"/>
      <c r="B318" s="81"/>
      <c r="C318" s="64"/>
      <c r="D318" s="65"/>
      <c r="E318" s="55" t="s">
        <v>293</v>
      </c>
      <c r="F318" s="69">
        <f xml:space="preserve"> 12.85*0.1</f>
        <v>1.29</v>
      </c>
      <c r="G318" s="68"/>
      <c r="H318" s="54"/>
      <c r="I318" s="54"/>
      <c r="J318" s="54"/>
    </row>
    <row r="319" spans="1:10">
      <c r="A319" s="80"/>
      <c r="B319" s="81"/>
      <c r="C319" s="64"/>
      <c r="D319" s="65"/>
      <c r="E319" s="55" t="s">
        <v>294</v>
      </c>
      <c r="F319" s="70">
        <f xml:space="preserve"> 12.85*0.1</f>
        <v>1.29</v>
      </c>
      <c r="G319" s="68"/>
      <c r="H319" s="54"/>
      <c r="I319" s="54"/>
      <c r="J319" s="54"/>
    </row>
    <row r="320" spans="1:10">
      <c r="A320" s="80"/>
      <c r="B320" s="81"/>
      <c r="C320" s="64"/>
      <c r="D320" s="65"/>
      <c r="E320" s="57" t="s">
        <v>159</v>
      </c>
      <c r="F320" s="69">
        <f>SUM(F315:F319)</f>
        <v>8.84</v>
      </c>
      <c r="G320" s="68"/>
      <c r="H320" s="54"/>
      <c r="I320" s="54"/>
      <c r="J320" s="54"/>
    </row>
    <row r="321" spans="1:10">
      <c r="A321" s="80"/>
      <c r="B321" s="81"/>
      <c r="C321" s="82"/>
      <c r="D321" s="83"/>
      <c r="E321" s="84"/>
      <c r="F321" s="69"/>
      <c r="G321" s="39"/>
      <c r="H321" s="54"/>
      <c r="I321" s="54"/>
      <c r="J321" s="54"/>
    </row>
    <row r="322" spans="1:10" ht="25.5">
      <c r="A322" s="24">
        <f>MAX(A$1:A321)+1</f>
        <v>39</v>
      </c>
      <c r="B322" s="81"/>
      <c r="C322" s="32" t="s">
        <v>66</v>
      </c>
      <c r="D322" s="33"/>
      <c r="E322" s="34" t="s">
        <v>67</v>
      </c>
      <c r="F322" s="35"/>
      <c r="G322" s="36" t="s">
        <v>1</v>
      </c>
      <c r="H322" s="61">
        <v>1.32</v>
      </c>
      <c r="I322" s="259"/>
      <c r="J322" s="61">
        <f t="shared" si="4"/>
        <v>0</v>
      </c>
    </row>
    <row r="323" spans="1:10" ht="25.5">
      <c r="A323" s="80"/>
      <c r="B323" s="81"/>
      <c r="C323" s="82"/>
      <c r="D323" s="65" t="s">
        <v>68</v>
      </c>
      <c r="E323" s="66" t="s">
        <v>69</v>
      </c>
      <c r="F323" s="67"/>
      <c r="G323" s="68" t="s">
        <v>1</v>
      </c>
      <c r="H323" s="54">
        <v>1.32</v>
      </c>
      <c r="I323" s="54"/>
      <c r="J323" s="54"/>
    </row>
    <row r="324" spans="1:10">
      <c r="A324" s="80"/>
      <c r="B324" s="81"/>
      <c r="C324" s="82"/>
      <c r="D324" s="65"/>
      <c r="E324" s="52" t="s">
        <v>165</v>
      </c>
      <c r="F324" s="69"/>
      <c r="G324" s="68"/>
      <c r="H324" s="54"/>
      <c r="I324" s="54"/>
      <c r="J324" s="54"/>
    </row>
    <row r="325" spans="1:10">
      <c r="A325" s="80"/>
      <c r="B325" s="81"/>
      <c r="C325" s="82"/>
      <c r="D325" s="65"/>
      <c r="E325" s="55" t="s">
        <v>295</v>
      </c>
      <c r="F325" s="69">
        <f xml:space="preserve"> 658.63*0.001</f>
        <v>0.66</v>
      </c>
      <c r="G325" s="68"/>
      <c r="H325" s="54"/>
      <c r="I325" s="54"/>
      <c r="J325" s="54"/>
    </row>
    <row r="326" spans="1:10">
      <c r="A326" s="80"/>
      <c r="B326" s="81"/>
      <c r="C326" s="82"/>
      <c r="D326" s="65"/>
      <c r="E326" s="55" t="s">
        <v>296</v>
      </c>
      <c r="F326" s="70">
        <f xml:space="preserve"> 658.63*0.001</f>
        <v>0.66</v>
      </c>
      <c r="G326" s="68"/>
      <c r="H326" s="54"/>
      <c r="I326" s="54"/>
      <c r="J326" s="54"/>
    </row>
    <row r="327" spans="1:10">
      <c r="A327" s="80"/>
      <c r="B327" s="81"/>
      <c r="C327" s="82"/>
      <c r="D327" s="65"/>
      <c r="E327" s="57" t="s">
        <v>159</v>
      </c>
      <c r="F327" s="69">
        <f>SUM(F325:F326)</f>
        <v>1.32</v>
      </c>
      <c r="G327" s="68"/>
      <c r="H327" s="54"/>
      <c r="I327" s="54"/>
      <c r="J327" s="54"/>
    </row>
    <row r="328" spans="1:10">
      <c r="A328" s="80"/>
      <c r="B328" s="81"/>
      <c r="C328" s="82"/>
      <c r="D328" s="83"/>
      <c r="E328" s="84"/>
      <c r="F328" s="98"/>
      <c r="G328" s="39"/>
      <c r="H328" s="54"/>
      <c r="I328" s="54"/>
      <c r="J328" s="54"/>
    </row>
    <row r="329" spans="1:10" ht="25.5">
      <c r="A329" s="24">
        <f>MAX(A$1:A328)+1</f>
        <v>40</v>
      </c>
      <c r="B329" s="81"/>
      <c r="C329" s="32" t="s">
        <v>335</v>
      </c>
      <c r="D329" s="33"/>
      <c r="E329" s="34" t="s">
        <v>336</v>
      </c>
      <c r="F329" s="35"/>
      <c r="G329" s="36" t="s">
        <v>22</v>
      </c>
      <c r="H329" s="61">
        <v>42.83</v>
      </c>
      <c r="I329" s="259"/>
      <c r="J329" s="61">
        <f t="shared" ref="J329:J391" si="5">I329*H329</f>
        <v>0</v>
      </c>
    </row>
    <row r="330" spans="1:10" ht="25.5">
      <c r="A330" s="80"/>
      <c r="B330" s="81"/>
      <c r="C330" s="82"/>
      <c r="D330" s="93" t="s">
        <v>337</v>
      </c>
      <c r="E330" s="94" t="s">
        <v>338</v>
      </c>
      <c r="F330" s="95"/>
      <c r="G330" s="39" t="s">
        <v>22</v>
      </c>
      <c r="H330" s="54">
        <v>42.83</v>
      </c>
      <c r="I330" s="54"/>
      <c r="J330" s="54"/>
    </row>
    <row r="331" spans="1:10">
      <c r="A331" s="80"/>
      <c r="B331" s="81"/>
      <c r="C331" s="82"/>
      <c r="D331" s="83"/>
      <c r="E331" s="55" t="s">
        <v>343</v>
      </c>
      <c r="F331" s="69">
        <f xml:space="preserve"> 1.078*17</f>
        <v>18.329999999999998</v>
      </c>
      <c r="G331" s="39"/>
      <c r="H331" s="54"/>
      <c r="I331" s="54"/>
      <c r="J331" s="54"/>
    </row>
    <row r="332" spans="1:10" ht="25.5">
      <c r="A332" s="80"/>
      <c r="B332" s="81"/>
      <c r="C332" s="82"/>
      <c r="D332" s="83"/>
      <c r="E332" s="55" t="s">
        <v>339</v>
      </c>
      <c r="F332" s="69">
        <f xml:space="preserve"> 0.15*9*8.1*2</f>
        <v>21.87</v>
      </c>
      <c r="G332" s="39"/>
      <c r="H332" s="54"/>
      <c r="I332" s="54"/>
      <c r="J332" s="54"/>
    </row>
    <row r="333" spans="1:10">
      <c r="A333" s="80"/>
      <c r="B333" s="81"/>
      <c r="C333" s="82"/>
      <c r="D333" s="83"/>
      <c r="E333" s="55" t="s">
        <v>340</v>
      </c>
      <c r="F333" s="69">
        <f xml:space="preserve"> 0.08*8.235</f>
        <v>0.66</v>
      </c>
      <c r="G333" s="39"/>
      <c r="H333" s="54"/>
      <c r="I333" s="54"/>
      <c r="J333" s="54"/>
    </row>
    <row r="334" spans="1:10">
      <c r="A334" s="80"/>
      <c r="B334" s="81"/>
      <c r="C334" s="82"/>
      <c r="D334" s="83"/>
      <c r="E334" s="55" t="s">
        <v>341</v>
      </c>
      <c r="F334" s="69">
        <f xml:space="preserve"> 0.16*8.235</f>
        <v>1.32</v>
      </c>
      <c r="G334" s="39"/>
      <c r="H334" s="54"/>
      <c r="I334" s="54"/>
      <c r="J334" s="54"/>
    </row>
    <row r="335" spans="1:10">
      <c r="A335" s="80"/>
      <c r="B335" s="81"/>
      <c r="C335" s="82"/>
      <c r="D335" s="83"/>
      <c r="E335" s="55" t="s">
        <v>342</v>
      </c>
      <c r="F335" s="70">
        <f xml:space="preserve"> 0.08*8.235</f>
        <v>0.66</v>
      </c>
      <c r="G335" s="39"/>
      <c r="H335" s="54"/>
      <c r="I335" s="54"/>
      <c r="J335" s="54"/>
    </row>
    <row r="336" spans="1:10">
      <c r="A336" s="80"/>
      <c r="B336" s="81"/>
      <c r="C336" s="82"/>
      <c r="D336" s="83"/>
      <c r="E336" s="57" t="s">
        <v>159</v>
      </c>
      <c r="F336" s="69">
        <f>SUM(F331:F335)</f>
        <v>42.84</v>
      </c>
      <c r="G336" s="39"/>
      <c r="H336" s="54"/>
      <c r="I336" s="54"/>
      <c r="J336" s="54"/>
    </row>
    <row r="337" spans="1:10">
      <c r="A337" s="80"/>
      <c r="B337" s="81"/>
      <c r="C337" s="82"/>
      <c r="D337" s="83"/>
      <c r="E337" s="55"/>
      <c r="F337" s="69"/>
      <c r="G337" s="39"/>
      <c r="H337" s="54"/>
      <c r="I337" s="54"/>
      <c r="J337" s="54"/>
    </row>
    <row r="338" spans="1:10" ht="25.5">
      <c r="A338" s="24">
        <f>MAX(A$1:A337)+1</f>
        <v>41</v>
      </c>
      <c r="B338" s="81"/>
      <c r="C338" s="32" t="s">
        <v>70</v>
      </c>
      <c r="D338" s="33"/>
      <c r="E338" s="34" t="s">
        <v>121</v>
      </c>
      <c r="F338" s="35"/>
      <c r="G338" s="36" t="s">
        <v>5</v>
      </c>
      <c r="H338" s="61">
        <v>35.53</v>
      </c>
      <c r="I338" s="259"/>
      <c r="J338" s="61">
        <f t="shared" si="5"/>
        <v>0</v>
      </c>
    </row>
    <row r="339" spans="1:10" ht="25.5">
      <c r="A339" s="80"/>
      <c r="B339" s="81"/>
      <c r="C339" s="64"/>
      <c r="D339" s="65" t="s">
        <v>71</v>
      </c>
      <c r="E339" s="66" t="s">
        <v>122</v>
      </c>
      <c r="F339" s="67"/>
      <c r="G339" s="68" t="s">
        <v>5</v>
      </c>
      <c r="H339" s="54">
        <v>35.53</v>
      </c>
      <c r="I339" s="54"/>
      <c r="J339" s="54"/>
    </row>
    <row r="340" spans="1:10">
      <c r="A340" s="80"/>
      <c r="B340" s="81"/>
      <c r="C340" s="82"/>
      <c r="D340" s="83"/>
      <c r="E340" s="55" t="s">
        <v>348</v>
      </c>
      <c r="F340" s="69">
        <f xml:space="preserve"> 1.078*2+0.25*17*2</f>
        <v>10.66</v>
      </c>
      <c r="G340" s="39"/>
      <c r="H340" s="54"/>
      <c r="I340" s="54"/>
      <c r="J340" s="54"/>
    </row>
    <row r="341" spans="1:10">
      <c r="A341" s="80"/>
      <c r="B341" s="81"/>
      <c r="C341" s="82"/>
      <c r="D341" s="83"/>
      <c r="E341" s="55" t="s">
        <v>349</v>
      </c>
      <c r="F341" s="69">
        <f xml:space="preserve"> (0.4+0.41)/2*(0.2+8.07+0.2)</f>
        <v>3.43</v>
      </c>
      <c r="G341" s="39"/>
      <c r="H341" s="54"/>
      <c r="I341" s="54"/>
      <c r="J341" s="54"/>
    </row>
    <row r="342" spans="1:10">
      <c r="A342" s="80"/>
      <c r="B342" s="81"/>
      <c r="C342" s="82"/>
      <c r="D342" s="83"/>
      <c r="E342" s="55" t="s">
        <v>351</v>
      </c>
      <c r="F342" s="69">
        <f xml:space="preserve"> (0.4+0.41)/2*(0.2+8.07+0.2)</f>
        <v>3.43</v>
      </c>
      <c r="G342" s="39"/>
      <c r="H342" s="54"/>
      <c r="I342" s="54"/>
      <c r="J342" s="54"/>
    </row>
    <row r="343" spans="1:10">
      <c r="A343" s="80"/>
      <c r="B343" s="81"/>
      <c r="C343" s="82"/>
      <c r="D343" s="83"/>
      <c r="E343" s="55" t="s">
        <v>350</v>
      </c>
      <c r="F343" s="69">
        <f xml:space="preserve"> (0.4+0.41)/2*(0.2+8.07+0.2)</f>
        <v>3.43</v>
      </c>
      <c r="G343" s="39"/>
      <c r="H343" s="54"/>
      <c r="I343" s="54"/>
      <c r="J343" s="54"/>
    </row>
    <row r="344" spans="1:10">
      <c r="A344" s="80"/>
      <c r="B344" s="81"/>
      <c r="C344" s="82"/>
      <c r="D344" s="83"/>
      <c r="E344" s="55" t="s">
        <v>563</v>
      </c>
      <c r="F344" s="70">
        <f xml:space="preserve"> 8.1*2*0.1*9</f>
        <v>14.58</v>
      </c>
      <c r="G344" s="39"/>
      <c r="H344" s="54"/>
      <c r="I344" s="54"/>
      <c r="J344" s="54"/>
    </row>
    <row r="345" spans="1:10">
      <c r="A345" s="80"/>
      <c r="B345" s="81"/>
      <c r="C345" s="82"/>
      <c r="D345" s="83"/>
      <c r="E345" s="57" t="s">
        <v>159</v>
      </c>
      <c r="F345" s="69">
        <f>SUM(F340:F344)</f>
        <v>35.53</v>
      </c>
      <c r="G345" s="39"/>
      <c r="H345" s="54"/>
      <c r="I345" s="54"/>
      <c r="J345" s="54"/>
    </row>
    <row r="346" spans="1:10">
      <c r="A346" s="80"/>
      <c r="B346" s="81"/>
      <c r="C346" s="82"/>
      <c r="D346" s="83"/>
      <c r="E346" s="55"/>
      <c r="F346" s="53"/>
      <c r="G346" s="39"/>
      <c r="H346" s="54"/>
      <c r="I346" s="54"/>
      <c r="J346" s="54"/>
    </row>
    <row r="347" spans="1:10" ht="25.5">
      <c r="A347" s="24">
        <f>MAX(A$1:A345)+1</f>
        <v>42</v>
      </c>
      <c r="B347" s="81"/>
      <c r="C347" s="32" t="s">
        <v>72</v>
      </c>
      <c r="D347" s="33"/>
      <c r="E347" s="34" t="s">
        <v>123</v>
      </c>
      <c r="F347" s="35"/>
      <c r="G347" s="36" t="s">
        <v>1</v>
      </c>
      <c r="H347" s="61">
        <v>2.95</v>
      </c>
      <c r="I347" s="259"/>
      <c r="J347" s="61">
        <f t="shared" si="5"/>
        <v>0</v>
      </c>
    </row>
    <row r="348" spans="1:10" ht="25.5">
      <c r="A348" s="80"/>
      <c r="B348" s="81"/>
      <c r="C348" s="82"/>
      <c r="D348" s="65" t="s">
        <v>73</v>
      </c>
      <c r="E348" s="66" t="s">
        <v>124</v>
      </c>
      <c r="F348" s="67"/>
      <c r="G348" s="68" t="s">
        <v>1</v>
      </c>
      <c r="H348" s="54">
        <v>2.95</v>
      </c>
      <c r="I348" s="54"/>
      <c r="J348" s="54"/>
    </row>
    <row r="349" spans="1:10">
      <c r="A349" s="80"/>
      <c r="B349" s="81"/>
      <c r="C349" s="82"/>
      <c r="D349" s="65"/>
      <c r="E349" s="52" t="s">
        <v>165</v>
      </c>
      <c r="F349" s="97"/>
      <c r="G349" s="68"/>
      <c r="H349" s="54"/>
      <c r="I349" s="54"/>
      <c r="J349" s="54"/>
    </row>
    <row r="350" spans="1:10">
      <c r="A350" s="80"/>
      <c r="B350" s="81"/>
      <c r="C350" s="82"/>
      <c r="D350" s="65"/>
      <c r="E350" s="55" t="s">
        <v>344</v>
      </c>
      <c r="F350" s="100">
        <f xml:space="preserve"> 1779.04*0.001</f>
        <v>1.78</v>
      </c>
      <c r="G350" s="68"/>
      <c r="H350" s="54"/>
      <c r="I350" s="54"/>
      <c r="J350" s="54"/>
    </row>
    <row r="351" spans="1:10">
      <c r="A351" s="80"/>
      <c r="B351" s="81"/>
      <c r="C351" s="82"/>
      <c r="D351" s="65"/>
      <c r="E351" s="55" t="s">
        <v>345</v>
      </c>
      <c r="F351" s="100">
        <f xml:space="preserve"> 311.72*0.001</f>
        <v>0.31</v>
      </c>
      <c r="G351" s="68"/>
      <c r="H351" s="54"/>
      <c r="I351" s="54"/>
      <c r="J351" s="54"/>
    </row>
    <row r="352" spans="1:10">
      <c r="A352" s="80"/>
      <c r="B352" s="81"/>
      <c r="C352" s="82"/>
      <c r="D352" s="65"/>
      <c r="E352" s="55" t="s">
        <v>346</v>
      </c>
      <c r="F352" s="100">
        <f xml:space="preserve"> 552.01*0.001</f>
        <v>0.55000000000000004</v>
      </c>
      <c r="G352" s="68"/>
      <c r="H352" s="54"/>
      <c r="I352" s="54"/>
      <c r="J352" s="54"/>
    </row>
    <row r="353" spans="1:10">
      <c r="A353" s="80"/>
      <c r="B353" s="81"/>
      <c r="C353" s="82"/>
      <c r="D353" s="65"/>
      <c r="E353" s="55" t="s">
        <v>347</v>
      </c>
      <c r="F353" s="70">
        <f xml:space="preserve"> 311.72*0.001</f>
        <v>0.31</v>
      </c>
      <c r="G353" s="68"/>
      <c r="H353" s="54"/>
      <c r="I353" s="54"/>
      <c r="J353" s="54"/>
    </row>
    <row r="354" spans="1:10">
      <c r="A354" s="80"/>
      <c r="B354" s="81"/>
      <c r="C354" s="82"/>
      <c r="D354" s="65"/>
      <c r="E354" s="57" t="s">
        <v>159</v>
      </c>
      <c r="F354" s="53">
        <f>SUM(F350:F353)</f>
        <v>2.95</v>
      </c>
      <c r="G354" s="68"/>
      <c r="H354" s="54"/>
      <c r="I354" s="54"/>
      <c r="J354" s="54"/>
    </row>
    <row r="355" spans="1:10">
      <c r="A355" s="80"/>
      <c r="B355" s="81"/>
      <c r="C355" s="82"/>
      <c r="D355" s="65"/>
      <c r="E355" s="57"/>
      <c r="F355" s="53"/>
      <c r="G355" s="68"/>
      <c r="H355" s="54"/>
      <c r="I355" s="54"/>
      <c r="J355" s="54"/>
    </row>
    <row r="356" spans="1:10" ht="25.5">
      <c r="A356" s="24">
        <f>MAX(A$1:A355)+1</f>
        <v>43</v>
      </c>
      <c r="B356" s="81"/>
      <c r="C356" s="32" t="s">
        <v>431</v>
      </c>
      <c r="D356" s="33"/>
      <c r="E356" s="34" t="s">
        <v>432</v>
      </c>
      <c r="F356" s="35"/>
      <c r="G356" s="36" t="s">
        <v>22</v>
      </c>
      <c r="H356" s="61">
        <v>32.04</v>
      </c>
      <c r="I356" s="259"/>
      <c r="J356" s="61">
        <f t="shared" si="5"/>
        <v>0</v>
      </c>
    </row>
    <row r="357" spans="1:10">
      <c r="A357" s="80"/>
      <c r="B357" s="81"/>
      <c r="C357" s="82"/>
      <c r="D357" s="65"/>
      <c r="E357" s="55" t="s">
        <v>433</v>
      </c>
      <c r="F357" s="53"/>
      <c r="G357" s="68"/>
      <c r="H357" s="54"/>
      <c r="I357" s="54"/>
      <c r="J357" s="54"/>
    </row>
    <row r="358" spans="1:10">
      <c r="A358" s="80"/>
      <c r="B358" s="81"/>
      <c r="C358" s="82"/>
      <c r="D358" s="65"/>
      <c r="E358" s="55" t="s">
        <v>584</v>
      </c>
      <c r="F358" s="53">
        <f>0.241*8.1*4+0.187*8.1*16</f>
        <v>32.04</v>
      </c>
      <c r="G358" s="68"/>
      <c r="H358" s="54"/>
      <c r="I358" s="54"/>
      <c r="J358" s="54"/>
    </row>
    <row r="359" spans="1:10">
      <c r="A359" s="80"/>
      <c r="B359" s="81"/>
      <c r="C359" s="82"/>
      <c r="D359" s="83"/>
      <c r="E359" s="84"/>
      <c r="F359" s="98"/>
      <c r="G359" s="39"/>
      <c r="H359" s="54"/>
      <c r="I359" s="54"/>
      <c r="J359" s="54"/>
    </row>
    <row r="360" spans="1:10" ht="25.5">
      <c r="A360" s="24">
        <f>MAX(A$1:A359)+1</f>
        <v>44</v>
      </c>
      <c r="B360" s="81"/>
      <c r="C360" s="32" t="s">
        <v>309</v>
      </c>
      <c r="D360" s="33"/>
      <c r="E360" s="34" t="s">
        <v>310</v>
      </c>
      <c r="F360" s="35"/>
      <c r="G360" s="36" t="s">
        <v>2</v>
      </c>
      <c r="H360" s="61">
        <v>40</v>
      </c>
      <c r="I360" s="259"/>
      <c r="J360" s="61">
        <f t="shared" si="5"/>
        <v>0</v>
      </c>
    </row>
    <row r="361" spans="1:10" ht="25.5">
      <c r="A361" s="24"/>
      <c r="B361" s="81"/>
      <c r="C361" s="32"/>
      <c r="D361" s="65" t="s">
        <v>311</v>
      </c>
      <c r="E361" s="66" t="s">
        <v>312</v>
      </c>
      <c r="F361" s="67"/>
      <c r="G361" s="68" t="s">
        <v>2</v>
      </c>
      <c r="H361" s="54">
        <v>40</v>
      </c>
      <c r="I361" s="54"/>
      <c r="J361" s="54"/>
    </row>
    <row r="362" spans="1:10">
      <c r="A362" s="24"/>
      <c r="B362" s="81"/>
      <c r="C362" s="32"/>
      <c r="D362" s="65"/>
      <c r="E362" s="55" t="s">
        <v>313</v>
      </c>
      <c r="F362" s="69">
        <v>10</v>
      </c>
      <c r="G362" s="68"/>
      <c r="H362" s="54"/>
      <c r="I362" s="54"/>
      <c r="J362" s="54"/>
    </row>
    <row r="363" spans="1:10">
      <c r="A363" s="24"/>
      <c r="B363" s="81"/>
      <c r="C363" s="32"/>
      <c r="D363" s="65"/>
      <c r="E363" s="55" t="s">
        <v>314</v>
      </c>
      <c r="F363" s="69">
        <v>20</v>
      </c>
      <c r="G363" s="68"/>
      <c r="H363" s="54"/>
      <c r="I363" s="54"/>
      <c r="J363" s="54"/>
    </row>
    <row r="364" spans="1:10">
      <c r="A364" s="24"/>
      <c r="B364" s="81"/>
      <c r="C364" s="32"/>
      <c r="D364" s="65"/>
      <c r="E364" s="55" t="s">
        <v>315</v>
      </c>
      <c r="F364" s="70">
        <v>10</v>
      </c>
      <c r="G364" s="68"/>
      <c r="H364" s="54"/>
      <c r="I364" s="54"/>
      <c r="J364" s="54"/>
    </row>
    <row r="365" spans="1:10">
      <c r="A365" s="24"/>
      <c r="B365" s="81"/>
      <c r="C365" s="32"/>
      <c r="D365" s="65"/>
      <c r="E365" s="57" t="s">
        <v>159</v>
      </c>
      <c r="F365" s="69">
        <f>SUM(F362:F364)</f>
        <v>40</v>
      </c>
      <c r="G365" s="68"/>
      <c r="H365" s="54"/>
      <c r="I365" s="54"/>
      <c r="J365" s="54"/>
    </row>
    <row r="366" spans="1:10">
      <c r="A366" s="80"/>
      <c r="B366" s="81"/>
      <c r="C366" s="82"/>
      <c r="D366" s="83"/>
      <c r="E366" s="57"/>
      <c r="F366" s="53"/>
      <c r="G366" s="39"/>
      <c r="H366" s="54"/>
      <c r="I366" s="54"/>
      <c r="J366" s="54"/>
    </row>
    <row r="367" spans="1:10" ht="25.5">
      <c r="A367" s="24">
        <f>MAX(A$1:A366)+1</f>
        <v>45</v>
      </c>
      <c r="B367" s="81"/>
      <c r="C367" s="32" t="s">
        <v>125</v>
      </c>
      <c r="D367" s="33"/>
      <c r="E367" s="34" t="s">
        <v>126</v>
      </c>
      <c r="F367" s="35"/>
      <c r="G367" s="36" t="s">
        <v>11</v>
      </c>
      <c r="H367" s="61">
        <v>13.92</v>
      </c>
      <c r="I367" s="259"/>
      <c r="J367" s="61">
        <f t="shared" si="5"/>
        <v>0</v>
      </c>
    </row>
    <row r="368" spans="1:10" ht="25.5">
      <c r="A368" s="80"/>
      <c r="B368" s="81"/>
      <c r="C368" s="64"/>
      <c r="D368" s="65" t="s">
        <v>127</v>
      </c>
      <c r="E368" s="66" t="s">
        <v>128</v>
      </c>
      <c r="F368" s="67"/>
      <c r="G368" s="68" t="s">
        <v>11</v>
      </c>
      <c r="H368" s="54">
        <v>13.92</v>
      </c>
      <c r="I368" s="54"/>
      <c r="J368" s="54"/>
    </row>
    <row r="369" spans="1:10">
      <c r="A369" s="80"/>
      <c r="B369" s="81"/>
      <c r="C369" s="82"/>
      <c r="D369" s="83"/>
      <c r="E369" s="52" t="s">
        <v>169</v>
      </c>
      <c r="F369" s="98"/>
      <c r="G369" s="39"/>
      <c r="H369" s="54"/>
      <c r="I369" s="54"/>
      <c r="J369" s="54"/>
    </row>
    <row r="370" spans="1:10">
      <c r="A370" s="80"/>
      <c r="B370" s="81"/>
      <c r="C370" s="82"/>
      <c r="D370" s="83"/>
      <c r="E370" s="55" t="s">
        <v>308</v>
      </c>
      <c r="F370" s="69">
        <f>6.96*2</f>
        <v>13.92</v>
      </c>
      <c r="G370" s="39"/>
      <c r="H370" s="54"/>
      <c r="I370" s="54"/>
      <c r="J370" s="54"/>
    </row>
    <row r="371" spans="1:10">
      <c r="A371" s="80"/>
      <c r="B371" s="81"/>
      <c r="C371" s="82"/>
      <c r="D371" s="83"/>
      <c r="E371" s="84"/>
      <c r="F371" s="98"/>
      <c r="G371" s="39"/>
      <c r="H371" s="54"/>
      <c r="I371" s="54"/>
      <c r="J371" s="54"/>
    </row>
    <row r="372" spans="1:10" ht="25.5">
      <c r="A372" s="24">
        <f>MAX(A$1:A371)+1</f>
        <v>46</v>
      </c>
      <c r="B372" s="81"/>
      <c r="C372" s="32" t="s">
        <v>129</v>
      </c>
      <c r="D372" s="33"/>
      <c r="E372" s="34" t="s">
        <v>130</v>
      </c>
      <c r="F372" s="35"/>
      <c r="G372" s="36" t="s">
        <v>22</v>
      </c>
      <c r="H372" s="61">
        <v>7.5</v>
      </c>
      <c r="I372" s="259"/>
      <c r="J372" s="61">
        <f t="shared" si="5"/>
        <v>0</v>
      </c>
    </row>
    <row r="373" spans="1:10">
      <c r="A373" s="80"/>
      <c r="B373" s="81"/>
      <c r="C373" s="32"/>
      <c r="D373" s="33"/>
      <c r="E373" s="55" t="s">
        <v>434</v>
      </c>
      <c r="F373" s="69">
        <f>0.5*7.5*2</f>
        <v>7.5</v>
      </c>
      <c r="G373" s="36"/>
      <c r="H373" s="54"/>
      <c r="I373" s="54"/>
      <c r="J373" s="54"/>
    </row>
    <row r="374" spans="1:10">
      <c r="A374" s="80"/>
      <c r="B374" s="81"/>
      <c r="C374" s="32"/>
      <c r="D374" s="33"/>
      <c r="E374" s="55"/>
      <c r="F374" s="69"/>
      <c r="G374" s="36"/>
      <c r="H374" s="54"/>
      <c r="I374" s="54"/>
      <c r="J374" s="54"/>
    </row>
    <row r="375" spans="1:10" ht="25.5">
      <c r="A375" s="24">
        <f>MAX(A$1:A374)+1</f>
        <v>47</v>
      </c>
      <c r="B375" s="81"/>
      <c r="C375" s="32" t="s">
        <v>593</v>
      </c>
      <c r="D375" s="33"/>
      <c r="E375" s="34" t="s">
        <v>594</v>
      </c>
      <c r="F375" s="35"/>
      <c r="G375" s="36" t="s">
        <v>5</v>
      </c>
      <c r="H375" s="61">
        <v>4</v>
      </c>
      <c r="I375" s="259"/>
      <c r="J375" s="61">
        <f t="shared" si="5"/>
        <v>0</v>
      </c>
    </row>
    <row r="376" spans="1:10">
      <c r="A376" s="80"/>
      <c r="B376" s="81"/>
      <c r="C376" s="32"/>
      <c r="D376" s="33"/>
      <c r="E376" s="55" t="s">
        <v>595</v>
      </c>
      <c r="F376" s="69">
        <f>0.25*0.35*10*2+0.25*0.45*20</f>
        <v>4</v>
      </c>
      <c r="G376" s="36"/>
      <c r="H376" s="54"/>
      <c r="I376" s="54"/>
      <c r="J376" s="54"/>
    </row>
    <row r="377" spans="1:10">
      <c r="A377" s="80"/>
      <c r="B377" s="81"/>
      <c r="C377" s="32"/>
      <c r="D377" s="33"/>
      <c r="E377" s="55"/>
      <c r="F377" s="69"/>
      <c r="G377" s="36"/>
      <c r="H377" s="54"/>
      <c r="I377" s="54"/>
      <c r="J377" s="54"/>
    </row>
    <row r="378" spans="1:10">
      <c r="A378" s="80"/>
      <c r="B378" s="81"/>
      <c r="C378" s="32"/>
      <c r="D378" s="33"/>
      <c r="E378" s="55"/>
      <c r="F378" s="69"/>
      <c r="G378" s="36"/>
      <c r="H378" s="54"/>
      <c r="I378" s="54"/>
      <c r="J378" s="54"/>
    </row>
    <row r="379" spans="1:10">
      <c r="A379" s="80"/>
      <c r="B379" s="81"/>
      <c r="C379" s="82"/>
      <c r="D379" s="83"/>
      <c r="E379" s="55"/>
      <c r="F379" s="69"/>
      <c r="G379" s="39"/>
      <c r="H379" s="54"/>
      <c r="I379" s="54"/>
      <c r="J379" s="54"/>
    </row>
    <row r="380" spans="1:10">
      <c r="A380" s="24">
        <f>MAX(A$1:A379)+1</f>
        <v>48</v>
      </c>
      <c r="B380" s="81"/>
      <c r="C380" s="32" t="s">
        <v>131</v>
      </c>
      <c r="D380" s="33"/>
      <c r="E380" s="34" t="s">
        <v>132</v>
      </c>
      <c r="F380" s="35"/>
      <c r="G380" s="36" t="s">
        <v>11</v>
      </c>
      <c r="H380" s="61">
        <v>48</v>
      </c>
      <c r="I380" s="259"/>
      <c r="J380" s="61">
        <f t="shared" si="5"/>
        <v>0</v>
      </c>
    </row>
    <row r="381" spans="1:10">
      <c r="A381" s="80"/>
      <c r="B381" s="81"/>
      <c r="C381" s="82"/>
      <c r="D381" s="65" t="s">
        <v>133</v>
      </c>
      <c r="E381" s="66" t="s">
        <v>134</v>
      </c>
      <c r="F381" s="67"/>
      <c r="G381" s="68" t="s">
        <v>11</v>
      </c>
      <c r="H381" s="54">
        <v>48</v>
      </c>
      <c r="I381" s="54"/>
      <c r="J381" s="54"/>
    </row>
    <row r="382" spans="1:10">
      <c r="A382" s="80"/>
      <c r="B382" s="81"/>
      <c r="C382" s="82"/>
      <c r="D382" s="83"/>
      <c r="E382" s="55" t="s">
        <v>305</v>
      </c>
      <c r="F382" s="69"/>
      <c r="G382" s="39"/>
      <c r="H382" s="54"/>
      <c r="I382" s="54"/>
      <c r="J382" s="54"/>
    </row>
    <row r="383" spans="1:10">
      <c r="A383" s="80"/>
      <c r="B383" s="81"/>
      <c r="C383" s="82"/>
      <c r="D383" s="83"/>
      <c r="E383" s="55" t="s">
        <v>306</v>
      </c>
      <c r="F383" s="69">
        <v>24</v>
      </c>
      <c r="G383" s="39"/>
      <c r="H383" s="54"/>
      <c r="I383" s="54"/>
      <c r="J383" s="54"/>
    </row>
    <row r="384" spans="1:10">
      <c r="A384" s="80"/>
      <c r="B384" s="81"/>
      <c r="C384" s="82"/>
      <c r="D384" s="83"/>
      <c r="E384" s="55" t="s">
        <v>307</v>
      </c>
      <c r="F384" s="70">
        <v>24</v>
      </c>
      <c r="G384" s="39"/>
      <c r="H384" s="54"/>
      <c r="I384" s="54"/>
      <c r="J384" s="54"/>
    </row>
    <row r="385" spans="1:10">
      <c r="A385" s="80"/>
      <c r="B385" s="81"/>
      <c r="C385" s="82"/>
      <c r="D385" s="83"/>
      <c r="E385" s="57" t="s">
        <v>159</v>
      </c>
      <c r="F385" s="69">
        <f>SUM(F383:F384)</f>
        <v>48</v>
      </c>
      <c r="G385" s="39"/>
      <c r="H385" s="54"/>
      <c r="I385" s="54"/>
      <c r="J385" s="54"/>
    </row>
    <row r="386" spans="1:10" ht="25.5">
      <c r="A386" s="80"/>
      <c r="B386" s="81"/>
      <c r="C386" s="82"/>
      <c r="D386" s="83"/>
      <c r="E386" s="55" t="s">
        <v>170</v>
      </c>
      <c r="F386" s="69"/>
      <c r="G386" s="39"/>
      <c r="H386" s="54"/>
      <c r="I386" s="54"/>
      <c r="J386" s="54"/>
    </row>
    <row r="387" spans="1:10">
      <c r="A387" s="80"/>
      <c r="B387" s="81"/>
      <c r="C387" s="82"/>
      <c r="D387" s="83"/>
      <c r="E387" s="55" t="s">
        <v>171</v>
      </c>
      <c r="F387" s="69"/>
      <c r="G387" s="39"/>
      <c r="H387" s="54"/>
      <c r="I387" s="54"/>
      <c r="J387" s="54"/>
    </row>
    <row r="388" spans="1:10">
      <c r="A388" s="80"/>
      <c r="B388" s="81"/>
      <c r="C388" s="82"/>
      <c r="D388" s="83"/>
      <c r="E388" s="55"/>
      <c r="F388" s="69"/>
      <c r="G388" s="39"/>
      <c r="H388" s="54"/>
      <c r="I388" s="54"/>
      <c r="J388" s="54"/>
    </row>
    <row r="389" spans="1:10" ht="25.5">
      <c r="A389" s="24">
        <f>MAX(A$1:A388)+1</f>
        <v>49</v>
      </c>
      <c r="B389" s="81"/>
      <c r="C389" s="32" t="s">
        <v>316</v>
      </c>
      <c r="D389" s="33"/>
      <c r="E389" s="34" t="s">
        <v>317</v>
      </c>
      <c r="F389" s="35"/>
      <c r="G389" s="36" t="s">
        <v>2</v>
      </c>
      <c r="H389" s="61">
        <v>4</v>
      </c>
      <c r="I389" s="259"/>
      <c r="J389" s="61">
        <f t="shared" si="5"/>
        <v>0</v>
      </c>
    </row>
    <row r="390" spans="1:10">
      <c r="A390" s="24"/>
      <c r="B390" s="81"/>
      <c r="C390" s="32"/>
      <c r="D390" s="33"/>
      <c r="E390" s="34"/>
      <c r="F390" s="35"/>
      <c r="G390" s="36"/>
      <c r="H390" s="61"/>
      <c r="I390" s="61"/>
      <c r="J390" s="61"/>
    </row>
    <row r="391" spans="1:10" ht="25.5">
      <c r="A391" s="24">
        <f>MAX(A$1:A390)+1</f>
        <v>50</v>
      </c>
      <c r="B391" s="81"/>
      <c r="C391" s="32" t="s">
        <v>596</v>
      </c>
      <c r="D391" s="33"/>
      <c r="E391" s="34" t="s">
        <v>597</v>
      </c>
      <c r="F391" s="35"/>
      <c r="G391" s="36" t="s">
        <v>11</v>
      </c>
      <c r="H391" s="61">
        <v>18.2</v>
      </c>
      <c r="I391" s="259"/>
      <c r="J391" s="61">
        <f t="shared" si="5"/>
        <v>0</v>
      </c>
    </row>
    <row r="392" spans="1:10" ht="25.5">
      <c r="A392" s="24"/>
      <c r="B392" s="81"/>
      <c r="C392" s="32"/>
      <c r="D392" s="65" t="s">
        <v>598</v>
      </c>
      <c r="E392" s="66" t="s">
        <v>599</v>
      </c>
      <c r="F392" s="67"/>
      <c r="G392" s="68" t="s">
        <v>11</v>
      </c>
      <c r="H392" s="54">
        <v>18.2</v>
      </c>
      <c r="I392" s="54"/>
      <c r="J392" s="54"/>
    </row>
    <row r="393" spans="1:10">
      <c r="A393" s="24"/>
      <c r="B393" s="81"/>
      <c r="C393" s="32"/>
      <c r="D393" s="33"/>
      <c r="E393" s="1" t="s">
        <v>502</v>
      </c>
      <c r="F393" s="35"/>
      <c r="G393" s="36"/>
      <c r="H393" s="61"/>
      <c r="I393" s="61"/>
      <c r="J393" s="61"/>
    </row>
    <row r="394" spans="1:10">
      <c r="A394" s="24"/>
      <c r="B394" s="81"/>
      <c r="C394" s="32"/>
      <c r="D394" s="33"/>
      <c r="E394" s="55" t="s">
        <v>503</v>
      </c>
      <c r="F394" s="69">
        <f>9.1*2</f>
        <v>18.2</v>
      </c>
      <c r="G394" s="36"/>
      <c r="H394" s="61"/>
      <c r="I394" s="61"/>
      <c r="J394" s="61"/>
    </row>
    <row r="395" spans="1:10">
      <c r="A395" s="80"/>
      <c r="B395" s="81"/>
      <c r="C395" s="82"/>
      <c r="D395" s="83"/>
      <c r="E395" s="55"/>
      <c r="F395" s="69"/>
      <c r="G395" s="39"/>
      <c r="H395" s="54"/>
      <c r="I395" s="54"/>
      <c r="J395" s="54"/>
    </row>
    <row r="396" spans="1:10">
      <c r="A396" s="24">
        <f>MAX(A$1:A395)+1</f>
        <v>51</v>
      </c>
      <c r="B396" s="81"/>
      <c r="C396" s="32" t="s">
        <v>135</v>
      </c>
      <c r="D396" s="33"/>
      <c r="E396" s="34" t="s">
        <v>136</v>
      </c>
      <c r="F396" s="35"/>
      <c r="G396" s="36" t="s">
        <v>2</v>
      </c>
      <c r="H396" s="61">
        <v>66</v>
      </c>
      <c r="I396" s="259"/>
      <c r="J396" s="61">
        <f t="shared" ref="J396:J453" si="6">I396*H396</f>
        <v>0</v>
      </c>
    </row>
    <row r="397" spans="1:10">
      <c r="A397" s="80"/>
      <c r="B397" s="81"/>
      <c r="C397" s="82"/>
      <c r="D397" s="83"/>
      <c r="E397" s="55" t="s">
        <v>304</v>
      </c>
      <c r="F397" s="69">
        <f xml:space="preserve"> 32+34</f>
        <v>66</v>
      </c>
      <c r="G397" s="39"/>
      <c r="H397" s="54"/>
      <c r="I397" s="54"/>
      <c r="J397" s="54"/>
    </row>
    <row r="398" spans="1:10">
      <c r="A398" s="80"/>
      <c r="B398" s="81"/>
      <c r="C398" s="82"/>
      <c r="D398" s="83"/>
      <c r="E398" s="55" t="s">
        <v>171</v>
      </c>
      <c r="F398" s="98"/>
      <c r="G398" s="39"/>
      <c r="H398" s="54"/>
      <c r="I398" s="54"/>
      <c r="J398" s="54"/>
    </row>
    <row r="399" spans="1:10">
      <c r="A399" s="80"/>
      <c r="B399" s="81"/>
      <c r="C399" s="82"/>
      <c r="D399" s="83"/>
      <c r="E399" s="55"/>
      <c r="F399" s="98"/>
      <c r="G399" s="39"/>
      <c r="H399" s="54"/>
      <c r="I399" s="54"/>
      <c r="J399" s="54"/>
    </row>
    <row r="400" spans="1:10">
      <c r="A400" s="80"/>
      <c r="B400" s="81"/>
      <c r="C400" s="82"/>
      <c r="D400" s="83"/>
      <c r="E400" s="84"/>
      <c r="F400" s="85"/>
      <c r="G400" s="39"/>
      <c r="H400" s="54"/>
      <c r="I400" s="54"/>
      <c r="J400" s="54"/>
    </row>
    <row r="401" spans="1:10" ht="25.5">
      <c r="A401" s="80"/>
      <c r="B401" s="75" t="s">
        <v>155</v>
      </c>
      <c r="C401" s="75"/>
      <c r="D401" s="33"/>
      <c r="E401" s="60" t="s">
        <v>156</v>
      </c>
      <c r="F401" s="98"/>
      <c r="G401" s="39"/>
      <c r="H401" s="54"/>
      <c r="I401" s="54"/>
      <c r="J401" s="54"/>
    </row>
    <row r="402" spans="1:10">
      <c r="A402" s="80"/>
      <c r="B402" s="75"/>
      <c r="C402" s="75"/>
      <c r="D402" s="33"/>
      <c r="E402" s="60"/>
      <c r="F402" s="98"/>
      <c r="G402" s="39"/>
      <c r="H402" s="54"/>
      <c r="I402" s="54"/>
      <c r="J402" s="54"/>
    </row>
    <row r="403" spans="1:10" ht="25.5">
      <c r="A403" s="24">
        <f>MAX(A$1:A402)+1</f>
        <v>52</v>
      </c>
      <c r="B403" s="75"/>
      <c r="C403" s="32" t="s">
        <v>213</v>
      </c>
      <c r="D403" s="33"/>
      <c r="E403" s="34" t="s">
        <v>214</v>
      </c>
      <c r="F403" s="35"/>
      <c r="G403" s="36" t="s">
        <v>5</v>
      </c>
      <c r="H403" s="61">
        <v>54.6</v>
      </c>
      <c r="I403" s="259"/>
      <c r="J403" s="61">
        <f t="shared" si="6"/>
        <v>0</v>
      </c>
    </row>
    <row r="404" spans="1:10" ht="25.5">
      <c r="A404" s="80"/>
      <c r="B404" s="75"/>
      <c r="C404" s="75"/>
      <c r="D404" s="65" t="s">
        <v>215</v>
      </c>
      <c r="E404" s="66" t="s">
        <v>216</v>
      </c>
      <c r="F404" s="67"/>
      <c r="G404" s="68" t="s">
        <v>5</v>
      </c>
      <c r="H404" s="54">
        <v>54.6</v>
      </c>
      <c r="I404" s="54"/>
      <c r="J404" s="54"/>
    </row>
    <row r="405" spans="1:10">
      <c r="A405" s="80"/>
      <c r="B405" s="75"/>
      <c r="C405" s="75"/>
      <c r="D405" s="33"/>
      <c r="E405" s="52" t="s">
        <v>217</v>
      </c>
      <c r="F405" s="98"/>
      <c r="G405" s="39"/>
      <c r="H405" s="54"/>
      <c r="I405" s="54"/>
      <c r="J405" s="54"/>
    </row>
    <row r="406" spans="1:10">
      <c r="A406" s="80"/>
      <c r="B406" s="75"/>
      <c r="C406" s="75"/>
      <c r="D406" s="33"/>
      <c r="E406" s="55" t="s">
        <v>549</v>
      </c>
      <c r="F406" s="98">
        <f xml:space="preserve"> 29.2+25.4</f>
        <v>54.6</v>
      </c>
      <c r="G406" s="39"/>
      <c r="H406" s="54"/>
      <c r="I406" s="54"/>
      <c r="J406" s="54"/>
    </row>
    <row r="407" spans="1:10">
      <c r="A407" s="80"/>
      <c r="B407" s="75"/>
      <c r="C407" s="75"/>
      <c r="D407" s="33"/>
      <c r="E407" s="60"/>
      <c r="F407" s="98"/>
      <c r="G407" s="39"/>
      <c r="H407" s="54"/>
      <c r="I407" s="54"/>
      <c r="J407" s="54"/>
    </row>
    <row r="408" spans="1:10" ht="25.5">
      <c r="A408" s="24">
        <f>MAX(A$1:A407)+1</f>
        <v>53</v>
      </c>
      <c r="B408" s="81"/>
      <c r="C408" s="32" t="s">
        <v>139</v>
      </c>
      <c r="D408" s="33"/>
      <c r="E408" s="34" t="s">
        <v>140</v>
      </c>
      <c r="F408" s="35"/>
      <c r="G408" s="36" t="s">
        <v>5</v>
      </c>
      <c r="H408" s="61">
        <v>360.5</v>
      </c>
      <c r="I408" s="259"/>
      <c r="J408" s="61">
        <f t="shared" si="6"/>
        <v>0</v>
      </c>
    </row>
    <row r="409" spans="1:10" ht="25.5">
      <c r="A409" s="80"/>
      <c r="B409" s="81"/>
      <c r="C409" s="82"/>
      <c r="D409" s="65" t="s">
        <v>211</v>
      </c>
      <c r="E409" s="66" t="s">
        <v>212</v>
      </c>
      <c r="F409" s="67"/>
      <c r="G409" s="68" t="s">
        <v>5</v>
      </c>
      <c r="H409" s="54">
        <v>360.5</v>
      </c>
      <c r="I409" s="54"/>
      <c r="J409" s="54"/>
    </row>
    <row r="410" spans="1:10">
      <c r="A410" s="80"/>
      <c r="B410" s="81"/>
      <c r="C410" s="82"/>
      <c r="D410" s="65"/>
      <c r="E410" s="52" t="s">
        <v>217</v>
      </c>
      <c r="F410" s="67"/>
      <c r="G410" s="68"/>
      <c r="H410" s="54"/>
      <c r="I410" s="54"/>
      <c r="J410" s="54"/>
    </row>
    <row r="411" spans="1:10">
      <c r="A411" s="80"/>
      <c r="B411" s="81"/>
      <c r="C411" s="82"/>
      <c r="D411" s="65"/>
      <c r="E411" s="55" t="s">
        <v>330</v>
      </c>
      <c r="F411" s="98">
        <f xml:space="preserve"> 17*7.5</f>
        <v>127.5</v>
      </c>
      <c r="G411" s="68"/>
      <c r="H411" s="54"/>
      <c r="I411" s="54"/>
      <c r="J411" s="54"/>
    </row>
    <row r="412" spans="1:10">
      <c r="A412" s="80"/>
      <c r="B412" s="81"/>
      <c r="C412" s="82"/>
      <c r="D412" s="65"/>
      <c r="E412" s="52" t="s">
        <v>210</v>
      </c>
      <c r="F412" s="70"/>
      <c r="G412" s="68"/>
      <c r="H412" s="54"/>
      <c r="I412" s="54"/>
      <c r="J412" s="54"/>
    </row>
    <row r="413" spans="1:10">
      <c r="A413" s="80"/>
      <c r="B413" s="81"/>
      <c r="C413" s="82"/>
      <c r="D413" s="83"/>
      <c r="E413" s="55" t="s">
        <v>330</v>
      </c>
      <c r="F413" s="98">
        <f xml:space="preserve"> 17*7.5</f>
        <v>127.5</v>
      </c>
      <c r="G413" s="39"/>
      <c r="H413" s="54"/>
      <c r="I413" s="54"/>
      <c r="J413" s="54"/>
    </row>
    <row r="414" spans="1:10">
      <c r="A414" s="80"/>
      <c r="B414" s="81"/>
      <c r="C414" s="82"/>
      <c r="D414" s="83"/>
      <c r="E414" s="55" t="s">
        <v>550</v>
      </c>
      <c r="F414" s="101">
        <f xml:space="preserve"> 67+38.5</f>
        <v>105.5</v>
      </c>
      <c r="G414" s="39"/>
      <c r="H414" s="54"/>
      <c r="I414" s="54"/>
      <c r="J414" s="54"/>
    </row>
    <row r="415" spans="1:10">
      <c r="A415" s="80"/>
      <c r="B415" s="81"/>
      <c r="C415" s="82"/>
      <c r="D415" s="83"/>
      <c r="E415" s="57" t="s">
        <v>159</v>
      </c>
      <c r="F415" s="98">
        <f>SUM(F411:F414)</f>
        <v>360.5</v>
      </c>
      <c r="G415" s="39"/>
      <c r="H415" s="54"/>
      <c r="I415" s="54"/>
      <c r="J415" s="54"/>
    </row>
    <row r="416" spans="1:10">
      <c r="A416" s="80"/>
      <c r="B416" s="81"/>
      <c r="C416" s="82"/>
      <c r="D416" s="83"/>
      <c r="E416" s="102"/>
      <c r="F416" s="69"/>
      <c r="G416" s="39"/>
      <c r="H416" s="54"/>
      <c r="I416" s="54"/>
      <c r="J416" s="54"/>
    </row>
    <row r="417" spans="1:10" ht="25.5">
      <c r="A417" s="24">
        <f>MAX(A$1:A416)+1</f>
        <v>54</v>
      </c>
      <c r="B417" s="81"/>
      <c r="C417" s="32" t="s">
        <v>218</v>
      </c>
      <c r="D417" s="33"/>
      <c r="E417" s="34" t="s">
        <v>219</v>
      </c>
      <c r="F417" s="35"/>
      <c r="G417" s="36" t="s">
        <v>22</v>
      </c>
      <c r="H417" s="61">
        <v>16.11</v>
      </c>
      <c r="I417" s="259"/>
      <c r="J417" s="61">
        <f t="shared" si="6"/>
        <v>0</v>
      </c>
    </row>
    <row r="418" spans="1:10" ht="25.5">
      <c r="A418" s="80"/>
      <c r="B418" s="81"/>
      <c r="C418" s="64"/>
      <c r="D418" s="65" t="s">
        <v>577</v>
      </c>
      <c r="E418" s="66" t="s">
        <v>578</v>
      </c>
      <c r="F418" s="67"/>
      <c r="G418" s="68" t="s">
        <v>22</v>
      </c>
      <c r="H418" s="54">
        <v>16.11</v>
      </c>
      <c r="I418" s="54"/>
      <c r="J418" s="54"/>
    </row>
    <row r="419" spans="1:10">
      <c r="A419" s="80"/>
      <c r="B419" s="81"/>
      <c r="C419" s="82"/>
      <c r="D419" s="83"/>
      <c r="E419" s="52" t="s">
        <v>221</v>
      </c>
      <c r="F419" s="53"/>
      <c r="G419" s="39"/>
      <c r="H419" s="54"/>
      <c r="I419" s="54"/>
      <c r="J419" s="54"/>
    </row>
    <row r="420" spans="1:10">
      <c r="A420" s="80"/>
      <c r="B420" s="81"/>
      <c r="C420" s="82"/>
      <c r="D420" s="83"/>
      <c r="E420" s="55" t="s">
        <v>331</v>
      </c>
      <c r="F420" s="53">
        <f xml:space="preserve"> 17*7.5*0.04</f>
        <v>5.0999999999999996</v>
      </c>
      <c r="G420" s="39"/>
      <c r="H420" s="54"/>
      <c r="I420" s="54"/>
      <c r="J420" s="54"/>
    </row>
    <row r="421" spans="1:10">
      <c r="A421" s="80"/>
      <c r="B421" s="81"/>
      <c r="C421" s="82"/>
      <c r="D421" s="83"/>
      <c r="E421" s="55" t="s">
        <v>551</v>
      </c>
      <c r="F421" s="56">
        <f xml:space="preserve"> (67+38.5)*0.05</f>
        <v>5.28</v>
      </c>
      <c r="G421" s="39"/>
      <c r="H421" s="54"/>
      <c r="I421" s="54"/>
      <c r="J421" s="54"/>
    </row>
    <row r="422" spans="1:10">
      <c r="A422" s="80"/>
      <c r="B422" s="81"/>
      <c r="C422" s="82"/>
      <c r="D422" s="83"/>
      <c r="E422" s="57" t="s">
        <v>159</v>
      </c>
      <c r="F422" s="53">
        <f>SUM(F420:F421)</f>
        <v>10.38</v>
      </c>
      <c r="G422" s="39"/>
      <c r="H422" s="54"/>
      <c r="I422" s="54"/>
      <c r="J422" s="54"/>
    </row>
    <row r="423" spans="1:10">
      <c r="A423" s="80"/>
      <c r="B423" s="81"/>
      <c r="C423" s="82"/>
      <c r="D423" s="83"/>
      <c r="E423" s="52" t="s">
        <v>220</v>
      </c>
      <c r="F423" s="53"/>
      <c r="G423" s="39"/>
      <c r="H423" s="54"/>
      <c r="I423" s="54"/>
      <c r="J423" s="54"/>
    </row>
    <row r="424" spans="1:10">
      <c r="A424" s="80"/>
      <c r="B424" s="81"/>
      <c r="C424" s="82"/>
      <c r="D424" s="83"/>
      <c r="E424" s="55" t="s">
        <v>332</v>
      </c>
      <c r="F424" s="56">
        <f xml:space="preserve"> 17*7.5*0.045</f>
        <v>5.74</v>
      </c>
      <c r="G424" s="39"/>
      <c r="H424" s="54"/>
      <c r="I424" s="54"/>
      <c r="J424" s="54"/>
    </row>
    <row r="425" spans="1:10">
      <c r="A425" s="80"/>
      <c r="B425" s="81"/>
      <c r="C425" s="82"/>
      <c r="D425" s="83"/>
      <c r="E425" s="62" t="s">
        <v>159</v>
      </c>
      <c r="F425" s="63">
        <f>F422+F424</f>
        <v>16.12</v>
      </c>
      <c r="G425" s="39"/>
      <c r="H425" s="54"/>
      <c r="I425" s="54"/>
      <c r="J425" s="54"/>
    </row>
    <row r="426" spans="1:10">
      <c r="A426" s="80"/>
      <c r="B426" s="81"/>
      <c r="C426" s="82"/>
      <c r="D426" s="83"/>
      <c r="E426" s="57"/>
      <c r="F426" s="53"/>
      <c r="G426" s="39"/>
      <c r="H426" s="54"/>
      <c r="I426" s="54"/>
      <c r="J426" s="54"/>
    </row>
    <row r="427" spans="1:10" ht="25.5">
      <c r="A427" s="24">
        <f>MAX(A$1:A426)+1</f>
        <v>55</v>
      </c>
      <c r="B427" s="81"/>
      <c r="C427" s="32" t="s">
        <v>318</v>
      </c>
      <c r="D427" s="33"/>
      <c r="E427" s="34" t="s">
        <v>319</v>
      </c>
      <c r="F427" s="35"/>
      <c r="G427" s="36" t="s">
        <v>5</v>
      </c>
      <c r="H427" s="61">
        <v>5.62</v>
      </c>
      <c r="I427" s="259"/>
      <c r="J427" s="61">
        <f t="shared" si="6"/>
        <v>0</v>
      </c>
    </row>
    <row r="428" spans="1:10" ht="25.5">
      <c r="A428" s="80"/>
      <c r="B428" s="81"/>
      <c r="C428" s="82"/>
      <c r="D428" s="65" t="s">
        <v>320</v>
      </c>
      <c r="E428" s="66" t="s">
        <v>321</v>
      </c>
      <c r="F428" s="67"/>
      <c r="G428" s="68" t="s">
        <v>5</v>
      </c>
      <c r="H428" s="54">
        <v>5.62</v>
      </c>
      <c r="I428" s="54"/>
      <c r="J428" s="54"/>
    </row>
    <row r="429" spans="1:10">
      <c r="A429" s="80"/>
      <c r="B429" s="81"/>
      <c r="C429" s="82"/>
      <c r="D429" s="83"/>
      <c r="E429" s="55" t="s">
        <v>322</v>
      </c>
      <c r="F429" s="69">
        <f xml:space="preserve"> 38*0.1</f>
        <v>3.8</v>
      </c>
      <c r="G429" s="39"/>
      <c r="H429" s="54"/>
      <c r="I429" s="54"/>
      <c r="J429" s="54"/>
    </row>
    <row r="430" spans="1:10">
      <c r="A430" s="80"/>
      <c r="B430" s="81"/>
      <c r="C430" s="82"/>
      <c r="D430" s="83"/>
      <c r="E430" s="55" t="s">
        <v>324</v>
      </c>
      <c r="F430" s="69">
        <f xml:space="preserve"> (0.45+0.65)*2*4*0.15</f>
        <v>1.32</v>
      </c>
      <c r="G430" s="39"/>
      <c r="H430" s="54"/>
      <c r="I430" s="54"/>
      <c r="J430" s="54"/>
    </row>
    <row r="431" spans="1:10">
      <c r="A431" s="80"/>
      <c r="B431" s="81"/>
      <c r="C431" s="82"/>
      <c r="D431" s="83"/>
      <c r="E431" s="55" t="s">
        <v>323</v>
      </c>
      <c r="F431" s="70">
        <f xml:space="preserve"> 0.5*0.5*2</f>
        <v>0.5</v>
      </c>
      <c r="G431" s="39"/>
      <c r="H431" s="54"/>
      <c r="I431" s="54"/>
      <c r="J431" s="54"/>
    </row>
    <row r="432" spans="1:10">
      <c r="A432" s="80"/>
      <c r="B432" s="81"/>
      <c r="C432" s="82"/>
      <c r="D432" s="83"/>
      <c r="E432" s="57" t="s">
        <v>159</v>
      </c>
      <c r="F432" s="69">
        <f>SUM(F429:F431)</f>
        <v>5.62</v>
      </c>
      <c r="G432" s="39"/>
      <c r="H432" s="54"/>
      <c r="I432" s="54"/>
      <c r="J432" s="54"/>
    </row>
    <row r="433" spans="1:10">
      <c r="A433" s="80"/>
      <c r="B433" s="81"/>
      <c r="C433" s="82"/>
      <c r="D433" s="83"/>
      <c r="E433" s="102"/>
      <c r="F433" s="53"/>
      <c r="G433" s="39"/>
      <c r="H433" s="54"/>
      <c r="I433" s="54"/>
      <c r="J433" s="54"/>
    </row>
    <row r="434" spans="1:10" ht="25.5">
      <c r="A434" s="24">
        <f>MAX(A$1:A433)+1</f>
        <v>56</v>
      </c>
      <c r="B434" s="81"/>
      <c r="C434" s="32" t="s">
        <v>141</v>
      </c>
      <c r="D434" s="33"/>
      <c r="E434" s="34" t="s">
        <v>173</v>
      </c>
      <c r="F434" s="35"/>
      <c r="G434" s="36" t="s">
        <v>11</v>
      </c>
      <c r="H434" s="61">
        <v>128.5</v>
      </c>
      <c r="I434" s="259"/>
      <c r="J434" s="61">
        <f t="shared" si="6"/>
        <v>0</v>
      </c>
    </row>
    <row r="435" spans="1:10" ht="38.25">
      <c r="A435" s="80"/>
      <c r="B435" s="81"/>
      <c r="C435" s="33"/>
      <c r="D435" s="65" t="s">
        <v>142</v>
      </c>
      <c r="E435" s="66" t="s">
        <v>174</v>
      </c>
      <c r="F435" s="67"/>
      <c r="G435" s="68" t="s">
        <v>11</v>
      </c>
      <c r="H435" s="54">
        <v>99.12</v>
      </c>
      <c r="I435" s="54"/>
      <c r="J435" s="54"/>
    </row>
    <row r="436" spans="1:10">
      <c r="A436" s="80"/>
      <c r="B436" s="81"/>
      <c r="C436" s="33"/>
      <c r="D436" s="65"/>
      <c r="E436" s="55" t="s">
        <v>329</v>
      </c>
      <c r="F436" s="69">
        <f xml:space="preserve"> 24.4*2</f>
        <v>48.8</v>
      </c>
      <c r="G436" s="68"/>
      <c r="H436" s="54"/>
      <c r="I436" s="54"/>
      <c r="J436" s="54"/>
    </row>
    <row r="437" spans="1:10">
      <c r="A437" s="80"/>
      <c r="B437" s="81"/>
      <c r="C437" s="33"/>
      <c r="D437" s="65"/>
      <c r="E437" s="55" t="s">
        <v>504</v>
      </c>
      <c r="F437" s="69">
        <f xml:space="preserve"> 9.1*2*2</f>
        <v>36.4</v>
      </c>
      <c r="G437" s="68"/>
      <c r="H437" s="54"/>
      <c r="I437" s="54"/>
      <c r="J437" s="54"/>
    </row>
    <row r="438" spans="1:10">
      <c r="A438" s="80"/>
      <c r="B438" s="81"/>
      <c r="C438" s="33"/>
      <c r="D438" s="65"/>
      <c r="E438" s="55" t="s">
        <v>328</v>
      </c>
      <c r="F438" s="70">
        <f xml:space="preserve"> 6.96*2</f>
        <v>13.92</v>
      </c>
      <c r="G438" s="68"/>
      <c r="H438" s="54"/>
      <c r="I438" s="54"/>
      <c r="J438" s="54"/>
    </row>
    <row r="439" spans="1:10">
      <c r="A439" s="80"/>
      <c r="B439" s="81"/>
      <c r="C439" s="33"/>
      <c r="D439" s="65"/>
      <c r="E439" s="57" t="s">
        <v>159</v>
      </c>
      <c r="F439" s="69">
        <f>SUM(F436:F438)</f>
        <v>99.12</v>
      </c>
      <c r="G439" s="68"/>
      <c r="H439" s="54"/>
      <c r="I439" s="54"/>
      <c r="J439" s="54"/>
    </row>
    <row r="440" spans="1:10" ht="38.25">
      <c r="A440" s="80"/>
      <c r="B440" s="81"/>
      <c r="C440" s="33"/>
      <c r="D440" s="65" t="s">
        <v>325</v>
      </c>
      <c r="E440" s="66" t="s">
        <v>326</v>
      </c>
      <c r="F440" s="67"/>
      <c r="G440" s="68" t="s">
        <v>11</v>
      </c>
      <c r="H440" s="54">
        <v>29.38</v>
      </c>
      <c r="I440" s="54"/>
      <c r="J440" s="54"/>
    </row>
    <row r="441" spans="1:10">
      <c r="A441" s="80"/>
      <c r="B441" s="81"/>
      <c r="C441" s="33"/>
      <c r="D441" s="83"/>
      <c r="E441" s="55" t="s">
        <v>327</v>
      </c>
      <c r="F441" s="69">
        <f xml:space="preserve"> (0.33+0.53)*2*4</f>
        <v>6.88</v>
      </c>
      <c r="G441" s="39"/>
      <c r="H441" s="54"/>
      <c r="I441" s="54"/>
      <c r="J441" s="54"/>
    </row>
    <row r="442" spans="1:10">
      <c r="A442" s="80"/>
      <c r="B442" s="81"/>
      <c r="C442" s="33"/>
      <c r="D442" s="83"/>
      <c r="E442" s="55" t="s">
        <v>529</v>
      </c>
      <c r="F442" s="70">
        <f>15+7.5</f>
        <v>22.5</v>
      </c>
      <c r="G442" s="39"/>
      <c r="H442" s="54"/>
      <c r="I442" s="54"/>
      <c r="J442" s="54"/>
    </row>
    <row r="443" spans="1:10">
      <c r="A443" s="80"/>
      <c r="B443" s="81"/>
      <c r="C443" s="33"/>
      <c r="D443" s="83"/>
      <c r="E443" s="57" t="s">
        <v>159</v>
      </c>
      <c r="F443" s="69">
        <f>SUM(F441:F442)</f>
        <v>29.38</v>
      </c>
      <c r="G443" s="39"/>
      <c r="H443" s="54"/>
      <c r="I443" s="54"/>
      <c r="J443" s="54"/>
    </row>
    <row r="444" spans="1:10">
      <c r="A444" s="80"/>
      <c r="B444" s="81"/>
      <c r="C444" s="82"/>
      <c r="D444" s="83"/>
      <c r="E444" s="55"/>
      <c r="F444" s="69"/>
      <c r="G444" s="39"/>
      <c r="H444" s="54"/>
      <c r="I444" s="54"/>
      <c r="J444" s="54"/>
    </row>
    <row r="445" spans="1:10">
      <c r="A445" s="24">
        <f>MAX(A$1:A444)+1</f>
        <v>57</v>
      </c>
      <c r="B445" s="81"/>
      <c r="C445" s="32" t="s">
        <v>143</v>
      </c>
      <c r="D445" s="33"/>
      <c r="E445" s="34" t="s">
        <v>144</v>
      </c>
      <c r="F445" s="35"/>
      <c r="G445" s="36" t="s">
        <v>11</v>
      </c>
      <c r="H445" s="61">
        <v>10.54</v>
      </c>
      <c r="I445" s="259"/>
      <c r="J445" s="61">
        <f t="shared" si="6"/>
        <v>0</v>
      </c>
    </row>
    <row r="446" spans="1:10">
      <c r="A446" s="80"/>
      <c r="B446" s="81"/>
      <c r="C446" s="64"/>
      <c r="D446" s="65" t="s">
        <v>145</v>
      </c>
      <c r="E446" s="66" t="s">
        <v>146</v>
      </c>
      <c r="F446" s="67"/>
      <c r="G446" s="68" t="s">
        <v>11</v>
      </c>
      <c r="H446" s="54">
        <v>10.54</v>
      </c>
      <c r="I446" s="54"/>
      <c r="J446" s="54"/>
    </row>
    <row r="447" spans="1:10" ht="25.5">
      <c r="A447" s="80"/>
      <c r="B447" s="81"/>
      <c r="C447" s="82"/>
      <c r="D447" s="83"/>
      <c r="E447" s="103" t="s">
        <v>175</v>
      </c>
      <c r="F447" s="69"/>
      <c r="G447" s="39"/>
      <c r="H447" s="54"/>
      <c r="I447" s="54"/>
      <c r="J447" s="54"/>
    </row>
    <row r="448" spans="1:10">
      <c r="A448" s="80"/>
      <c r="B448" s="81"/>
      <c r="C448" s="82"/>
      <c r="D448" s="83"/>
      <c r="E448" s="103" t="s">
        <v>333</v>
      </c>
      <c r="F448" s="69">
        <v>5.27</v>
      </c>
      <c r="G448" s="39"/>
      <c r="H448" s="54"/>
      <c r="I448" s="54"/>
      <c r="J448" s="54"/>
    </row>
    <row r="449" spans="1:10">
      <c r="A449" s="80"/>
      <c r="B449" s="81"/>
      <c r="C449" s="82"/>
      <c r="D449" s="83"/>
      <c r="E449" s="103" t="s">
        <v>334</v>
      </c>
      <c r="F449" s="70">
        <v>5.27</v>
      </c>
      <c r="G449" s="39"/>
      <c r="H449" s="54"/>
      <c r="I449" s="54"/>
      <c r="J449" s="54"/>
    </row>
    <row r="450" spans="1:10">
      <c r="A450" s="80"/>
      <c r="B450" s="81"/>
      <c r="C450" s="82"/>
      <c r="D450" s="83"/>
      <c r="E450" s="57" t="s">
        <v>159</v>
      </c>
      <c r="F450" s="69">
        <f>SUM(F448:F449)</f>
        <v>10.54</v>
      </c>
      <c r="G450" s="39"/>
      <c r="H450" s="54"/>
      <c r="I450" s="54"/>
      <c r="J450" s="54"/>
    </row>
    <row r="451" spans="1:10" ht="25.5">
      <c r="A451" s="80"/>
      <c r="B451" s="81"/>
      <c r="C451" s="82"/>
      <c r="D451" s="83"/>
      <c r="E451" s="55" t="s">
        <v>172</v>
      </c>
      <c r="F451" s="69"/>
      <c r="G451" s="39"/>
      <c r="H451" s="54"/>
      <c r="I451" s="54"/>
      <c r="J451" s="54"/>
    </row>
    <row r="452" spans="1:10">
      <c r="A452" s="80"/>
      <c r="B452" s="81"/>
      <c r="C452" s="82"/>
      <c r="D452" s="83"/>
      <c r="E452" s="55"/>
      <c r="F452" s="69"/>
      <c r="G452" s="39"/>
      <c r="H452" s="54"/>
      <c r="I452" s="54"/>
      <c r="J452" s="54"/>
    </row>
    <row r="453" spans="1:10">
      <c r="A453" s="24">
        <f>MAX(A$1:A452)+1</f>
        <v>58</v>
      </c>
      <c r="B453" s="81"/>
      <c r="C453" s="32" t="s">
        <v>376</v>
      </c>
      <c r="D453" s="33"/>
      <c r="E453" s="34" t="s">
        <v>132</v>
      </c>
      <c r="F453" s="35"/>
      <c r="G453" s="36" t="s">
        <v>11</v>
      </c>
      <c r="H453" s="61">
        <v>95.53</v>
      </c>
      <c r="I453" s="259"/>
      <c r="J453" s="61">
        <f t="shared" si="6"/>
        <v>0</v>
      </c>
    </row>
    <row r="454" spans="1:10">
      <c r="A454" s="80"/>
      <c r="B454" s="81"/>
      <c r="C454" s="64"/>
      <c r="D454" s="65" t="s">
        <v>377</v>
      </c>
      <c r="E454" s="66" t="s">
        <v>378</v>
      </c>
      <c r="F454" s="67"/>
      <c r="G454" s="68" t="s">
        <v>11</v>
      </c>
      <c r="H454" s="54">
        <v>95.53</v>
      </c>
      <c r="I454" s="54"/>
      <c r="J454" s="54"/>
    </row>
    <row r="455" spans="1:10">
      <c r="A455" s="80"/>
      <c r="B455" s="81"/>
      <c r="C455" s="82"/>
      <c r="D455" s="83"/>
      <c r="E455" s="55" t="s">
        <v>380</v>
      </c>
      <c r="F455" s="69"/>
      <c r="G455" s="39"/>
      <c r="H455" s="54"/>
      <c r="I455" s="54"/>
      <c r="J455" s="54"/>
    </row>
    <row r="456" spans="1:10">
      <c r="A456" s="80"/>
      <c r="B456" s="81"/>
      <c r="C456" s="82"/>
      <c r="D456" s="83"/>
      <c r="E456" s="55" t="s">
        <v>379</v>
      </c>
      <c r="F456" s="69">
        <f>2*26</f>
        <v>52</v>
      </c>
      <c r="G456" s="39"/>
      <c r="H456" s="54"/>
      <c r="I456" s="54"/>
      <c r="J456" s="54"/>
    </row>
    <row r="457" spans="1:10">
      <c r="A457" s="80"/>
      <c r="B457" s="81"/>
      <c r="C457" s="82"/>
      <c r="D457" s="83"/>
      <c r="E457" s="55" t="s">
        <v>381</v>
      </c>
      <c r="F457" s="69"/>
      <c r="G457" s="39"/>
      <c r="H457" s="54"/>
      <c r="I457" s="54"/>
      <c r="J457" s="54"/>
    </row>
    <row r="458" spans="1:10">
      <c r="A458" s="80"/>
      <c r="B458" s="81"/>
      <c r="C458" s="82"/>
      <c r="D458" s="83"/>
      <c r="E458" s="55" t="s">
        <v>382</v>
      </c>
      <c r="F458" s="69">
        <f>10+3.116+1.59+4+3</f>
        <v>21.71</v>
      </c>
      <c r="G458" s="39"/>
      <c r="H458" s="54"/>
      <c r="I458" s="54"/>
      <c r="J458" s="54"/>
    </row>
    <row r="459" spans="1:10">
      <c r="A459" s="80"/>
      <c r="B459" s="81"/>
      <c r="C459" s="82"/>
      <c r="D459" s="83"/>
      <c r="E459" s="55" t="s">
        <v>383</v>
      </c>
      <c r="F459" s="69"/>
      <c r="G459" s="39"/>
      <c r="H459" s="54"/>
      <c r="I459" s="54"/>
      <c r="J459" s="54"/>
    </row>
    <row r="460" spans="1:10">
      <c r="A460" s="80"/>
      <c r="B460" s="81"/>
      <c r="C460" s="82"/>
      <c r="D460" s="83"/>
      <c r="E460" s="55" t="s">
        <v>384</v>
      </c>
      <c r="F460" s="69">
        <f>2+3+2.554+0.985*2</f>
        <v>9.52</v>
      </c>
      <c r="G460" s="39"/>
      <c r="H460" s="54"/>
      <c r="I460" s="54"/>
      <c r="J460" s="54"/>
    </row>
    <row r="461" spans="1:10">
      <c r="A461" s="80"/>
      <c r="B461" s="81"/>
      <c r="C461" s="82"/>
      <c r="D461" s="83"/>
      <c r="E461" s="55" t="s">
        <v>385</v>
      </c>
      <c r="F461" s="69"/>
      <c r="G461" s="39"/>
      <c r="H461" s="54"/>
      <c r="I461" s="54"/>
      <c r="J461" s="54"/>
    </row>
    <row r="462" spans="1:10">
      <c r="A462" s="80"/>
      <c r="B462" s="81"/>
      <c r="C462" s="82"/>
      <c r="D462" s="83"/>
      <c r="E462" s="55" t="s">
        <v>386</v>
      </c>
      <c r="F462" s="70">
        <f>6+1.777+2.554+0.985*2</f>
        <v>12.3</v>
      </c>
      <c r="G462" s="39"/>
      <c r="H462" s="54"/>
      <c r="I462" s="54"/>
      <c r="J462" s="54"/>
    </row>
    <row r="463" spans="1:10">
      <c r="A463" s="80"/>
      <c r="B463" s="81"/>
      <c r="C463" s="82"/>
      <c r="D463" s="83"/>
      <c r="E463" s="57" t="s">
        <v>159</v>
      </c>
      <c r="F463" s="69">
        <f>SUM(F456:F462)</f>
        <v>95.53</v>
      </c>
      <c r="G463" s="39"/>
      <c r="H463" s="54"/>
      <c r="I463" s="54"/>
      <c r="J463" s="54"/>
    </row>
    <row r="464" spans="1:10">
      <c r="A464" s="80"/>
      <c r="B464" s="81"/>
      <c r="C464" s="82"/>
      <c r="D464" s="83"/>
      <c r="E464" s="55"/>
      <c r="F464" s="69"/>
      <c r="G464" s="39"/>
      <c r="H464" s="54"/>
      <c r="I464" s="54"/>
      <c r="J464" s="54"/>
    </row>
    <row r="465" spans="1:10" ht="25.5">
      <c r="A465" s="24">
        <f>MAX(A$1:A464)+1</f>
        <v>59</v>
      </c>
      <c r="B465" s="81"/>
      <c r="C465" s="32" t="s">
        <v>147</v>
      </c>
      <c r="D465" s="33"/>
      <c r="E465" s="34" t="s">
        <v>148</v>
      </c>
      <c r="F465" s="35"/>
      <c r="G465" s="36" t="s">
        <v>2</v>
      </c>
      <c r="H465" s="61">
        <v>2</v>
      </c>
      <c r="I465" s="259"/>
      <c r="J465" s="61">
        <f t="shared" ref="J465:J518" si="7">I465*H465</f>
        <v>0</v>
      </c>
    </row>
    <row r="466" spans="1:10" ht="25.5">
      <c r="A466" s="80"/>
      <c r="B466" s="81"/>
      <c r="C466" s="82"/>
      <c r="D466" s="65" t="s">
        <v>149</v>
      </c>
      <c r="E466" s="66" t="s">
        <v>150</v>
      </c>
      <c r="F466" s="67"/>
      <c r="G466" s="68" t="s">
        <v>2</v>
      </c>
      <c r="H466" s="54">
        <v>2</v>
      </c>
      <c r="I466" s="54"/>
      <c r="J466" s="54"/>
    </row>
    <row r="467" spans="1:10">
      <c r="A467" s="80"/>
      <c r="B467" s="81"/>
      <c r="C467" s="82"/>
      <c r="D467" s="83"/>
      <c r="E467" s="55" t="s">
        <v>176</v>
      </c>
      <c r="F467" s="53">
        <v>2</v>
      </c>
      <c r="G467" s="39"/>
      <c r="H467" s="54"/>
      <c r="I467" s="54"/>
      <c r="J467" s="54"/>
    </row>
    <row r="468" spans="1:10">
      <c r="A468" s="80"/>
      <c r="B468" s="81"/>
      <c r="C468" s="82"/>
      <c r="D468" s="83"/>
      <c r="E468" s="102"/>
      <c r="F468" s="53"/>
      <c r="G468" s="39"/>
      <c r="H468" s="54"/>
      <c r="I468" s="54"/>
      <c r="J468" s="54"/>
    </row>
    <row r="469" spans="1:10">
      <c r="A469" s="24">
        <f>MAX(A$1:A468)+1</f>
        <v>60</v>
      </c>
      <c r="B469" s="81"/>
      <c r="C469" s="32" t="s">
        <v>151</v>
      </c>
      <c r="D469" s="33"/>
      <c r="E469" s="34" t="s">
        <v>152</v>
      </c>
      <c r="F469" s="35"/>
      <c r="G469" s="36" t="s">
        <v>11</v>
      </c>
      <c r="H469" s="61">
        <v>28.19</v>
      </c>
      <c r="I469" s="259"/>
      <c r="J469" s="61">
        <f t="shared" si="7"/>
        <v>0</v>
      </c>
    </row>
    <row r="470" spans="1:10">
      <c r="A470" s="80"/>
      <c r="B470" s="81"/>
      <c r="C470" s="64"/>
      <c r="D470" s="65" t="s">
        <v>153</v>
      </c>
      <c r="E470" s="66" t="s">
        <v>154</v>
      </c>
      <c r="F470" s="67"/>
      <c r="G470" s="68" t="s">
        <v>11</v>
      </c>
      <c r="H470" s="54">
        <v>28.19</v>
      </c>
      <c r="I470" s="54"/>
      <c r="J470" s="54"/>
    </row>
    <row r="471" spans="1:10">
      <c r="A471" s="80"/>
      <c r="B471" s="81"/>
      <c r="C471" s="82"/>
      <c r="D471" s="83"/>
      <c r="E471" s="52" t="s">
        <v>177</v>
      </c>
      <c r="F471" s="53"/>
      <c r="G471" s="39"/>
      <c r="H471" s="54"/>
      <c r="I471" s="54"/>
      <c r="J471" s="54"/>
    </row>
    <row r="472" spans="1:10">
      <c r="A472" s="80"/>
      <c r="B472" s="81"/>
      <c r="C472" s="82"/>
      <c r="D472" s="83"/>
      <c r="E472" s="55" t="s">
        <v>252</v>
      </c>
      <c r="F472" s="69">
        <f xml:space="preserve"> 4.1+4.9+4.35*1.12</f>
        <v>13.87</v>
      </c>
      <c r="G472" s="39"/>
      <c r="H472" s="54"/>
      <c r="I472" s="54"/>
      <c r="J472" s="54"/>
    </row>
    <row r="473" spans="1:10">
      <c r="A473" s="80"/>
      <c r="B473" s="81"/>
      <c r="C473" s="82"/>
      <c r="D473" s="83"/>
      <c r="E473" s="55" t="s">
        <v>253</v>
      </c>
      <c r="F473" s="70">
        <f xml:space="preserve"> 4.1+4.9+4.75*1.12</f>
        <v>14.32</v>
      </c>
      <c r="G473" s="39"/>
      <c r="H473" s="54"/>
      <c r="I473" s="54"/>
      <c r="J473" s="54"/>
    </row>
    <row r="474" spans="1:10">
      <c r="A474" s="80"/>
      <c r="B474" s="81"/>
      <c r="C474" s="82"/>
      <c r="D474" s="83"/>
      <c r="E474" s="57" t="s">
        <v>159</v>
      </c>
      <c r="F474" s="69">
        <f>SUM(F472:F473)</f>
        <v>28.19</v>
      </c>
      <c r="G474" s="39"/>
      <c r="H474" s="54"/>
      <c r="I474" s="54"/>
      <c r="J474" s="54"/>
    </row>
    <row r="475" spans="1:10">
      <c r="A475" s="80"/>
      <c r="B475" s="81"/>
      <c r="C475" s="82"/>
      <c r="D475" s="83"/>
      <c r="E475" s="57"/>
      <c r="F475" s="53"/>
      <c r="G475" s="39"/>
      <c r="H475" s="54"/>
      <c r="I475" s="54"/>
      <c r="J475" s="54"/>
    </row>
    <row r="476" spans="1:10" ht="25.5">
      <c r="A476" s="24">
        <f>MAX(A$1:A475)+1</f>
        <v>61</v>
      </c>
      <c r="B476" s="81"/>
      <c r="C476" s="32" t="s">
        <v>419</v>
      </c>
      <c r="D476" s="33"/>
      <c r="E476" s="34" t="s">
        <v>420</v>
      </c>
      <c r="F476" s="35"/>
      <c r="G476" s="36" t="s">
        <v>11</v>
      </c>
      <c r="H476" s="61">
        <v>9.07</v>
      </c>
      <c r="I476" s="259"/>
      <c r="J476" s="61">
        <f t="shared" si="7"/>
        <v>0</v>
      </c>
    </row>
    <row r="477" spans="1:10" ht="25.5">
      <c r="A477" s="80"/>
      <c r="B477" s="81"/>
      <c r="C477" s="82"/>
      <c r="D477" s="65" t="s">
        <v>421</v>
      </c>
      <c r="E477" s="66" t="s">
        <v>422</v>
      </c>
      <c r="F477" s="67"/>
      <c r="G477" s="68" t="s">
        <v>11</v>
      </c>
      <c r="H477" s="54">
        <v>9.07</v>
      </c>
      <c r="I477" s="54"/>
      <c r="J477" s="54"/>
    </row>
    <row r="478" spans="1:10" ht="25.5">
      <c r="A478" s="80"/>
      <c r="B478" s="81"/>
      <c r="C478" s="82"/>
      <c r="D478" s="83"/>
      <c r="E478" s="55" t="s">
        <v>423</v>
      </c>
      <c r="F478" s="98">
        <f xml:space="preserve"> (3*2.7)*1.12</f>
        <v>9.07</v>
      </c>
      <c r="G478" s="39"/>
      <c r="H478" s="54"/>
      <c r="I478" s="54"/>
      <c r="J478" s="54"/>
    </row>
    <row r="479" spans="1:10">
      <c r="A479" s="80"/>
      <c r="B479" s="81"/>
      <c r="C479" s="82"/>
      <c r="D479" s="83"/>
      <c r="E479" s="55" t="s">
        <v>424</v>
      </c>
      <c r="F479" s="53"/>
      <c r="G479" s="39"/>
      <c r="H479" s="54"/>
      <c r="I479" s="54"/>
      <c r="J479" s="54"/>
    </row>
    <row r="480" spans="1:10">
      <c r="A480" s="80"/>
      <c r="B480" s="81"/>
      <c r="C480" s="82"/>
      <c r="D480" s="83"/>
      <c r="E480" s="55"/>
      <c r="F480" s="104"/>
      <c r="G480" s="39"/>
      <c r="H480" s="54"/>
      <c r="I480" s="54"/>
      <c r="J480" s="54"/>
    </row>
    <row r="481" spans="1:10">
      <c r="A481" s="80"/>
      <c r="B481" s="81"/>
      <c r="C481" s="82"/>
      <c r="D481" s="83"/>
      <c r="E481" s="84"/>
      <c r="F481" s="85"/>
      <c r="G481" s="39"/>
      <c r="H481" s="54"/>
      <c r="I481" s="54"/>
      <c r="J481" s="54"/>
    </row>
    <row r="482" spans="1:10" ht="25.5">
      <c r="A482" s="80"/>
      <c r="B482" s="75" t="s">
        <v>157</v>
      </c>
      <c r="C482" s="75"/>
      <c r="D482" s="33"/>
      <c r="E482" s="60" t="s">
        <v>158</v>
      </c>
      <c r="F482" s="98"/>
      <c r="G482" s="39"/>
      <c r="H482" s="54"/>
      <c r="I482" s="54"/>
      <c r="J482" s="54"/>
    </row>
    <row r="483" spans="1:10">
      <c r="A483" s="80"/>
      <c r="B483" s="81"/>
      <c r="C483" s="82"/>
      <c r="D483" s="83"/>
      <c r="E483" s="102"/>
      <c r="F483" s="98"/>
      <c r="G483" s="39"/>
      <c r="H483" s="54"/>
      <c r="I483" s="54"/>
      <c r="J483" s="54"/>
    </row>
    <row r="484" spans="1:10" ht="25.5">
      <c r="A484" s="24">
        <f>MAX(A$1:A483)+1</f>
        <v>62</v>
      </c>
      <c r="B484" s="81"/>
      <c r="C484" s="32" t="s">
        <v>137</v>
      </c>
      <c r="D484" s="33"/>
      <c r="E484" s="34" t="s">
        <v>138</v>
      </c>
      <c r="F484" s="35"/>
      <c r="G484" s="36" t="s">
        <v>22</v>
      </c>
      <c r="H484" s="61">
        <v>28.06</v>
      </c>
      <c r="I484" s="259"/>
      <c r="J484" s="61">
        <f t="shared" si="7"/>
        <v>0</v>
      </c>
    </row>
    <row r="485" spans="1:10">
      <c r="A485" s="80"/>
      <c r="B485" s="81"/>
      <c r="C485" s="82"/>
      <c r="D485" s="83"/>
      <c r="E485" s="52" t="s">
        <v>178</v>
      </c>
      <c r="F485" s="98"/>
      <c r="G485" s="39"/>
      <c r="H485" s="54"/>
      <c r="I485" s="54"/>
      <c r="J485" s="54"/>
    </row>
    <row r="486" spans="1:10">
      <c r="A486" s="80"/>
      <c r="B486" s="81"/>
      <c r="C486" s="82"/>
      <c r="D486" s="83"/>
      <c r="E486" s="55" t="s">
        <v>250</v>
      </c>
      <c r="F486" s="98">
        <f xml:space="preserve"> 0.85*0.8+1.12*2*5.8</f>
        <v>13.67</v>
      </c>
      <c r="G486" s="39"/>
      <c r="H486" s="54"/>
      <c r="I486" s="54"/>
      <c r="J486" s="54"/>
    </row>
    <row r="487" spans="1:10">
      <c r="A487" s="80"/>
      <c r="B487" s="81"/>
      <c r="C487" s="82"/>
      <c r="D487" s="83"/>
      <c r="E487" s="55" t="s">
        <v>251</v>
      </c>
      <c r="F487" s="101">
        <f xml:space="preserve"> 0.9*0.8+1.12*2*6.1</f>
        <v>14.38</v>
      </c>
      <c r="G487" s="39"/>
      <c r="H487" s="54"/>
      <c r="I487" s="54"/>
      <c r="J487" s="54"/>
    </row>
    <row r="488" spans="1:10">
      <c r="A488" s="80"/>
      <c r="B488" s="81"/>
      <c r="C488" s="82"/>
      <c r="D488" s="83"/>
      <c r="E488" s="57" t="s">
        <v>159</v>
      </c>
      <c r="F488" s="98">
        <f>SUM(F486:F487)</f>
        <v>28.05</v>
      </c>
      <c r="G488" s="39"/>
      <c r="H488" s="54"/>
      <c r="I488" s="54"/>
      <c r="J488" s="54"/>
    </row>
    <row r="489" spans="1:10">
      <c r="A489" s="80"/>
      <c r="B489" s="81"/>
      <c r="C489" s="82"/>
      <c r="D489" s="83"/>
      <c r="E489" s="57"/>
      <c r="F489" s="98"/>
      <c r="G489" s="39"/>
      <c r="H489" s="54"/>
      <c r="I489" s="54"/>
      <c r="J489" s="54"/>
    </row>
    <row r="490" spans="1:10" ht="25.5">
      <c r="A490" s="24">
        <f>MAX(A$1:A489)+1</f>
        <v>63</v>
      </c>
      <c r="B490" s="81"/>
      <c r="C490" s="32" t="s">
        <v>557</v>
      </c>
      <c r="D490" s="33"/>
      <c r="E490" s="34" t="s">
        <v>558</v>
      </c>
      <c r="F490" s="35"/>
      <c r="G490" s="36" t="s">
        <v>22</v>
      </c>
      <c r="H490" s="61">
        <v>9.5</v>
      </c>
      <c r="I490" s="259"/>
      <c r="J490" s="61">
        <f t="shared" si="7"/>
        <v>0</v>
      </c>
    </row>
    <row r="491" spans="1:10">
      <c r="A491" s="80"/>
      <c r="B491" s="81"/>
      <c r="C491" s="82"/>
      <c r="D491" s="83"/>
      <c r="E491" s="55" t="s">
        <v>559</v>
      </c>
      <c r="F491" s="98">
        <f xml:space="preserve"> (20.6+19)*0.24</f>
        <v>9.5</v>
      </c>
      <c r="G491" s="39"/>
      <c r="H491" s="54"/>
      <c r="I491" s="54"/>
      <c r="J491" s="54"/>
    </row>
    <row r="492" spans="1:10">
      <c r="A492" s="80"/>
      <c r="B492" s="81"/>
      <c r="C492" s="82"/>
      <c r="D492" s="83"/>
      <c r="E492" s="57"/>
      <c r="F492" s="98"/>
      <c r="G492" s="39"/>
      <c r="H492" s="54"/>
      <c r="I492" s="54"/>
      <c r="J492" s="54"/>
    </row>
    <row r="493" spans="1:10" ht="25.5">
      <c r="A493" s="24">
        <f>MAX(A$1:A492)+1</f>
        <v>64</v>
      </c>
      <c r="B493" s="81"/>
      <c r="C493" s="32" t="s">
        <v>560</v>
      </c>
      <c r="D493" s="33"/>
      <c r="E493" s="34" t="s">
        <v>561</v>
      </c>
      <c r="F493" s="35"/>
      <c r="G493" s="36" t="s">
        <v>22</v>
      </c>
      <c r="H493" s="61">
        <v>6.13</v>
      </c>
      <c r="I493" s="259"/>
      <c r="J493" s="61">
        <f t="shared" si="7"/>
        <v>0</v>
      </c>
    </row>
    <row r="494" spans="1:10">
      <c r="A494" s="80"/>
      <c r="B494" s="81"/>
      <c r="C494" s="82"/>
      <c r="D494" s="83"/>
      <c r="E494" s="55" t="s">
        <v>562</v>
      </c>
      <c r="F494" s="98">
        <f>(18.9+29.3+13.1)*0.1</f>
        <v>6.13</v>
      </c>
      <c r="G494" s="39"/>
      <c r="H494" s="54"/>
      <c r="I494" s="54"/>
      <c r="J494" s="54"/>
    </row>
    <row r="495" spans="1:10">
      <c r="A495" s="80"/>
      <c r="B495" s="81"/>
      <c r="C495" s="82"/>
      <c r="D495" s="83"/>
      <c r="E495" s="84"/>
      <c r="F495" s="85"/>
      <c r="G495" s="39"/>
      <c r="H495" s="54"/>
      <c r="I495" s="54"/>
      <c r="J495" s="54"/>
    </row>
    <row r="496" spans="1:10" ht="25.5">
      <c r="A496" s="24">
        <f>MAX(A$1:A495)+1</f>
        <v>65</v>
      </c>
      <c r="B496" s="81"/>
      <c r="C496" s="32" t="s">
        <v>552</v>
      </c>
      <c r="D496" s="33"/>
      <c r="E496" s="34" t="s">
        <v>553</v>
      </c>
      <c r="F496" s="35"/>
      <c r="G496" s="36" t="s">
        <v>22</v>
      </c>
      <c r="H496" s="61">
        <v>7.39</v>
      </c>
      <c r="I496" s="259"/>
      <c r="J496" s="61">
        <f t="shared" si="7"/>
        <v>0</v>
      </c>
    </row>
    <row r="497" spans="1:10" ht="38.25">
      <c r="A497" s="80"/>
      <c r="B497" s="81"/>
      <c r="C497" s="82"/>
      <c r="D497" s="65" t="s">
        <v>554</v>
      </c>
      <c r="E497" s="66" t="s">
        <v>555</v>
      </c>
      <c r="F497" s="67"/>
      <c r="G497" s="68" t="s">
        <v>22</v>
      </c>
      <c r="H497" s="54">
        <v>7.39</v>
      </c>
      <c r="I497" s="54"/>
      <c r="J497" s="54"/>
    </row>
    <row r="498" spans="1:10">
      <c r="A498" s="80"/>
      <c r="B498" s="81"/>
      <c r="C498" s="82"/>
      <c r="D498" s="83"/>
      <c r="E498" s="55" t="s">
        <v>556</v>
      </c>
      <c r="F498" s="98">
        <f xml:space="preserve"> (67+38.5)*0.07</f>
        <v>7.39</v>
      </c>
      <c r="G498" s="39"/>
      <c r="H498" s="54"/>
      <c r="I498" s="54"/>
      <c r="J498" s="54"/>
    </row>
    <row r="499" spans="1:10">
      <c r="A499" s="80"/>
      <c r="B499" s="81"/>
      <c r="C499" s="82"/>
      <c r="D499" s="83"/>
      <c r="E499" s="84"/>
      <c r="F499" s="85"/>
      <c r="G499" s="39"/>
      <c r="H499" s="54"/>
      <c r="I499" s="54"/>
      <c r="J499" s="54"/>
    </row>
    <row r="500" spans="1:10">
      <c r="A500" s="80"/>
      <c r="B500" s="81"/>
      <c r="C500" s="82"/>
      <c r="D500" s="83"/>
      <c r="E500" s="84"/>
      <c r="F500" s="85"/>
      <c r="G500" s="39"/>
      <c r="H500" s="54"/>
      <c r="I500" s="54"/>
      <c r="J500" s="54"/>
    </row>
    <row r="501" spans="1:10" ht="25.5">
      <c r="A501" s="80"/>
      <c r="B501" s="75" t="s">
        <v>29</v>
      </c>
      <c r="C501" s="75"/>
      <c r="D501" s="33"/>
      <c r="E501" s="60" t="s">
        <v>30</v>
      </c>
      <c r="F501" s="104"/>
      <c r="G501" s="39"/>
      <c r="H501" s="54"/>
      <c r="I501" s="54"/>
      <c r="J501" s="54"/>
    </row>
    <row r="502" spans="1:10">
      <c r="A502" s="80"/>
      <c r="B502" s="105"/>
      <c r="C502" s="75"/>
      <c r="D502" s="33"/>
      <c r="E502" s="60"/>
      <c r="F502" s="104"/>
      <c r="G502" s="39"/>
      <c r="H502" s="54"/>
      <c r="I502" s="54"/>
      <c r="J502" s="54"/>
    </row>
    <row r="503" spans="1:10">
      <c r="A503" s="24">
        <f>MAX(A$1:A502)+1</f>
        <v>66</v>
      </c>
      <c r="B503" s="81"/>
      <c r="C503" s="32" t="s">
        <v>200</v>
      </c>
      <c r="D503" s="33"/>
      <c r="E503" s="34" t="s">
        <v>201</v>
      </c>
      <c r="F503" s="35"/>
      <c r="G503" s="36" t="s">
        <v>22</v>
      </c>
      <c r="H503" s="61">
        <v>3.23</v>
      </c>
      <c r="I503" s="259"/>
      <c r="J503" s="61">
        <f t="shared" si="7"/>
        <v>0</v>
      </c>
    </row>
    <row r="504" spans="1:10" ht="25.5">
      <c r="A504" s="80"/>
      <c r="B504" s="81"/>
      <c r="C504" s="82"/>
      <c r="D504" s="93" t="s">
        <v>202</v>
      </c>
      <c r="E504" s="95" t="s">
        <v>203</v>
      </c>
      <c r="F504" s="95"/>
      <c r="G504" s="39" t="s">
        <v>22</v>
      </c>
      <c r="H504" s="54">
        <v>3.23</v>
      </c>
      <c r="I504" s="54"/>
      <c r="J504" s="54"/>
    </row>
    <row r="505" spans="1:10">
      <c r="A505" s="80"/>
      <c r="B505" s="81"/>
      <c r="C505" s="82"/>
      <c r="D505" s="83"/>
      <c r="E505" s="52" t="s">
        <v>208</v>
      </c>
      <c r="F505" s="104"/>
      <c r="G505" s="39"/>
      <c r="H505" s="54"/>
      <c r="I505" s="54"/>
      <c r="J505" s="54"/>
    </row>
    <row r="506" spans="1:10">
      <c r="A506" s="80"/>
      <c r="B506" s="81"/>
      <c r="C506" s="82"/>
      <c r="D506" s="83"/>
      <c r="E506" s="55" t="s">
        <v>245</v>
      </c>
      <c r="F506" s="98">
        <f xml:space="preserve"> 1.885*0.6+2.243*0.1*2</f>
        <v>1.58</v>
      </c>
      <c r="G506" s="39"/>
      <c r="H506" s="54"/>
      <c r="I506" s="54"/>
      <c r="J506" s="54"/>
    </row>
    <row r="507" spans="1:10">
      <c r="A507" s="80"/>
      <c r="B507" s="81"/>
      <c r="C507" s="82"/>
      <c r="D507" s="83"/>
      <c r="E507" s="55" t="s">
        <v>246</v>
      </c>
      <c r="F507" s="101">
        <f xml:space="preserve"> 1.963*0.6+2.346*0.1*2</f>
        <v>1.65</v>
      </c>
      <c r="G507" s="39"/>
      <c r="H507" s="54"/>
      <c r="I507" s="54"/>
      <c r="J507" s="54"/>
    </row>
    <row r="508" spans="1:10">
      <c r="A508" s="80"/>
      <c r="B508" s="81"/>
      <c r="C508" s="82"/>
      <c r="D508" s="83"/>
      <c r="E508" s="57" t="s">
        <v>159</v>
      </c>
      <c r="F508" s="98">
        <f>SUM(F506:F507)</f>
        <v>3.23</v>
      </c>
      <c r="G508" s="39"/>
      <c r="H508" s="54"/>
      <c r="I508" s="54"/>
      <c r="J508" s="54"/>
    </row>
    <row r="509" spans="1:10">
      <c r="A509" s="80"/>
      <c r="B509" s="81"/>
      <c r="C509" s="82"/>
      <c r="D509" s="83"/>
      <c r="E509" s="103" t="s">
        <v>247</v>
      </c>
      <c r="F509" s="98"/>
      <c r="G509" s="39"/>
      <c r="H509" s="54"/>
      <c r="I509" s="54"/>
      <c r="J509" s="54"/>
    </row>
    <row r="510" spans="1:10">
      <c r="A510" s="80"/>
      <c r="B510" s="81"/>
      <c r="C510" s="82"/>
      <c r="D510" s="83"/>
      <c r="E510" s="106"/>
      <c r="F510" s="69"/>
      <c r="G510" s="39"/>
      <c r="H510" s="54"/>
      <c r="I510" s="54"/>
      <c r="J510" s="54"/>
    </row>
    <row r="511" spans="1:10">
      <c r="A511" s="24">
        <f>MAX(A$1:A510)+1</f>
        <v>67</v>
      </c>
      <c r="B511" s="81"/>
      <c r="C511" s="32" t="s">
        <v>204</v>
      </c>
      <c r="D511" s="33"/>
      <c r="E511" s="34" t="s">
        <v>205</v>
      </c>
      <c r="F511" s="35"/>
      <c r="G511" s="36" t="s">
        <v>5</v>
      </c>
      <c r="H511" s="61">
        <v>18.5</v>
      </c>
      <c r="I511" s="259"/>
      <c r="J511" s="61">
        <f t="shared" si="7"/>
        <v>0</v>
      </c>
    </row>
    <row r="512" spans="1:10">
      <c r="A512" s="80"/>
      <c r="B512" s="81"/>
      <c r="C512" s="64"/>
      <c r="D512" s="65" t="s">
        <v>206</v>
      </c>
      <c r="E512" s="66" t="s">
        <v>207</v>
      </c>
      <c r="F512" s="67"/>
      <c r="G512" s="68" t="s">
        <v>5</v>
      </c>
      <c r="H512" s="54">
        <v>18.5</v>
      </c>
      <c r="I512" s="54"/>
      <c r="J512" s="54"/>
    </row>
    <row r="513" spans="1:10">
      <c r="A513" s="80"/>
      <c r="B513" s="81"/>
      <c r="C513" s="82"/>
      <c r="D513" s="83"/>
      <c r="E513" s="52" t="s">
        <v>208</v>
      </c>
      <c r="F513" s="98"/>
      <c r="G513" s="39"/>
      <c r="H513" s="54"/>
      <c r="I513" s="54"/>
      <c r="J513" s="54"/>
    </row>
    <row r="514" spans="1:10" ht="25.5">
      <c r="A514" s="80"/>
      <c r="B514" s="81"/>
      <c r="C514" s="82"/>
      <c r="D514" s="83"/>
      <c r="E514" s="55" t="s">
        <v>248</v>
      </c>
      <c r="F514" s="98">
        <f xml:space="preserve"> 2.243*2+(2.243-1.885)*2+0.165*0.6*14+3.165*0.8</f>
        <v>9.1199999999999992</v>
      </c>
      <c r="G514" s="39"/>
      <c r="H514" s="54"/>
      <c r="I514" s="54"/>
      <c r="J514" s="54"/>
    </row>
    <row r="515" spans="1:10" ht="25.5">
      <c r="A515" s="80"/>
      <c r="B515" s="81"/>
      <c r="C515" s="82"/>
      <c r="D515" s="83"/>
      <c r="E515" s="55" t="s">
        <v>249</v>
      </c>
      <c r="F515" s="101">
        <f xml:space="preserve"> 2.346*2+(2.346-1.963)*2+0.165*0.6*14+3.165*0.8</f>
        <v>9.3800000000000008</v>
      </c>
      <c r="G515" s="39"/>
      <c r="H515" s="54"/>
      <c r="I515" s="54"/>
      <c r="J515" s="54"/>
    </row>
    <row r="516" spans="1:10">
      <c r="A516" s="80"/>
      <c r="B516" s="81"/>
      <c r="C516" s="82"/>
      <c r="D516" s="83"/>
      <c r="E516" s="57" t="s">
        <v>159</v>
      </c>
      <c r="F516" s="98">
        <f>SUM(F514:F515)</f>
        <v>18.5</v>
      </c>
      <c r="G516" s="39"/>
      <c r="H516" s="54"/>
      <c r="I516" s="54"/>
      <c r="J516" s="54"/>
    </row>
    <row r="517" spans="1:10">
      <c r="A517" s="80"/>
      <c r="B517" s="81"/>
      <c r="C517" s="82"/>
      <c r="D517" s="83"/>
      <c r="E517" s="55"/>
      <c r="F517" s="69"/>
      <c r="G517" s="39"/>
      <c r="H517" s="54"/>
      <c r="I517" s="54"/>
      <c r="J517" s="54"/>
    </row>
    <row r="518" spans="1:10" ht="25.5">
      <c r="A518" s="24">
        <f>MAX(A$1:A517)+1</f>
        <v>68</v>
      </c>
      <c r="B518" s="81"/>
      <c r="C518" s="32" t="s">
        <v>27</v>
      </c>
      <c r="D518" s="33"/>
      <c r="E518" s="34" t="s">
        <v>28</v>
      </c>
      <c r="F518" s="35"/>
      <c r="G518" s="36" t="s">
        <v>22</v>
      </c>
      <c r="H518" s="61">
        <v>29.46</v>
      </c>
      <c r="I518" s="259"/>
      <c r="J518" s="61">
        <f t="shared" si="7"/>
        <v>0</v>
      </c>
    </row>
    <row r="519" spans="1:10" ht="25.5">
      <c r="A519" s="80"/>
      <c r="B519" s="81"/>
      <c r="C519" s="82"/>
      <c r="D519" s="93" t="s">
        <v>198</v>
      </c>
      <c r="E519" s="94" t="s">
        <v>199</v>
      </c>
      <c r="F519" s="95"/>
      <c r="G519" s="39" t="s">
        <v>22</v>
      </c>
      <c r="H519" s="54">
        <v>29.46</v>
      </c>
      <c r="I519" s="54"/>
      <c r="J519" s="54"/>
    </row>
    <row r="520" spans="1:10">
      <c r="A520" s="80"/>
      <c r="B520" s="81"/>
      <c r="C520" s="82"/>
      <c r="D520" s="83"/>
      <c r="E520" s="52" t="s">
        <v>197</v>
      </c>
      <c r="F520" s="69"/>
      <c r="G520" s="39"/>
      <c r="H520" s="54"/>
      <c r="I520" s="54"/>
      <c r="J520" s="54"/>
    </row>
    <row r="521" spans="1:10">
      <c r="A521" s="80"/>
      <c r="B521" s="81"/>
      <c r="C521" s="82"/>
      <c r="D521" s="83"/>
      <c r="E521" s="55" t="s">
        <v>400</v>
      </c>
      <c r="F521" s="69">
        <f xml:space="preserve"> (1.3+2.1)*2*0.1</f>
        <v>0.68</v>
      </c>
      <c r="G521" s="39"/>
      <c r="H521" s="54"/>
      <c r="I521" s="54"/>
      <c r="J521" s="54"/>
    </row>
    <row r="522" spans="1:10" ht="25.5">
      <c r="A522" s="80"/>
      <c r="B522" s="81"/>
      <c r="C522" s="82"/>
      <c r="D522" s="83"/>
      <c r="E522" s="55" t="s">
        <v>401</v>
      </c>
      <c r="F522" s="69">
        <f xml:space="preserve"> (1.4+2.2+10.4+1.4)*1.12*0.1</f>
        <v>1.72</v>
      </c>
      <c r="G522" s="39"/>
      <c r="H522" s="54"/>
      <c r="I522" s="54"/>
      <c r="J522" s="54"/>
    </row>
    <row r="523" spans="1:10" ht="25.5">
      <c r="A523" s="80"/>
      <c r="B523" s="81"/>
      <c r="C523" s="82"/>
      <c r="D523" s="83"/>
      <c r="E523" s="55" t="s">
        <v>402</v>
      </c>
      <c r="F523" s="69">
        <f xml:space="preserve"> (161.4-36.4+6.9+7.2)*0.1</f>
        <v>13.91</v>
      </c>
      <c r="G523" s="39"/>
      <c r="H523" s="54"/>
      <c r="I523" s="54"/>
      <c r="J523" s="54"/>
    </row>
    <row r="524" spans="1:10" ht="25.5">
      <c r="A524" s="80"/>
      <c r="B524" s="81"/>
      <c r="C524" s="82"/>
      <c r="D524" s="83"/>
      <c r="E524" s="55" t="s">
        <v>403</v>
      </c>
      <c r="F524" s="70">
        <f xml:space="preserve"> (42.75+52.3+36.4-14.1)*1.12*0.1</f>
        <v>13.14</v>
      </c>
      <c r="G524" s="39"/>
      <c r="H524" s="54"/>
      <c r="I524" s="54"/>
      <c r="J524" s="54"/>
    </row>
    <row r="525" spans="1:10">
      <c r="A525" s="80"/>
      <c r="B525" s="81"/>
      <c r="C525" s="83"/>
      <c r="D525" s="83"/>
      <c r="E525" s="57" t="s">
        <v>159</v>
      </c>
      <c r="F525" s="98">
        <f>SUM(F521:F524)</f>
        <v>29.45</v>
      </c>
      <c r="G525" s="39"/>
      <c r="H525" s="54"/>
      <c r="I525" s="54"/>
      <c r="J525" s="54"/>
    </row>
    <row r="526" spans="1:10">
      <c r="A526" s="80"/>
      <c r="B526" s="81"/>
      <c r="C526" s="83"/>
      <c r="D526" s="83"/>
      <c r="E526" s="57"/>
      <c r="F526" s="98"/>
      <c r="G526" s="39"/>
      <c r="H526" s="54"/>
      <c r="I526" s="54"/>
      <c r="J526" s="54"/>
    </row>
    <row r="527" spans="1:10" ht="25.5">
      <c r="A527" s="24">
        <f>MAX(A$1:A526)+1</f>
        <v>69</v>
      </c>
      <c r="B527" s="81"/>
      <c r="C527" s="32" t="s">
        <v>185</v>
      </c>
      <c r="D527" s="33"/>
      <c r="E527" s="34" t="s">
        <v>186</v>
      </c>
      <c r="F527" s="35"/>
      <c r="G527" s="36" t="s">
        <v>22</v>
      </c>
      <c r="H527" s="61">
        <v>20.12</v>
      </c>
      <c r="I527" s="259"/>
      <c r="J527" s="61">
        <f t="shared" ref="J527:J579" si="8">I527*H527</f>
        <v>0</v>
      </c>
    </row>
    <row r="528" spans="1:10" ht="25.5">
      <c r="A528" s="80"/>
      <c r="B528" s="81"/>
      <c r="C528" s="83"/>
      <c r="D528" s="93" t="s">
        <v>187</v>
      </c>
      <c r="E528" s="95" t="s">
        <v>188</v>
      </c>
      <c r="F528" s="95"/>
      <c r="G528" s="39" t="s">
        <v>22</v>
      </c>
      <c r="H528" s="54">
        <v>20.12</v>
      </c>
      <c r="I528" s="54"/>
      <c r="J528" s="54"/>
    </row>
    <row r="529" spans="1:10">
      <c r="A529" s="80"/>
      <c r="B529" s="81"/>
      <c r="C529" s="83"/>
      <c r="D529" s="93"/>
      <c r="E529" s="52" t="s">
        <v>209</v>
      </c>
      <c r="F529" s="95"/>
      <c r="G529" s="39"/>
      <c r="H529" s="54"/>
      <c r="I529" s="54"/>
      <c r="J529" s="54"/>
    </row>
    <row r="530" spans="1:10">
      <c r="A530" s="80"/>
      <c r="B530" s="81"/>
      <c r="C530" s="83"/>
      <c r="D530" s="83"/>
      <c r="E530" s="55" t="s">
        <v>404</v>
      </c>
      <c r="F530" s="98">
        <f xml:space="preserve"> (17.9+25.4+18.3)*0.225</f>
        <v>13.86</v>
      </c>
      <c r="G530" s="39"/>
      <c r="H530" s="54"/>
      <c r="I530" s="54"/>
      <c r="J530" s="54"/>
    </row>
    <row r="531" spans="1:10">
      <c r="A531" s="80"/>
      <c r="B531" s="81"/>
      <c r="C531" s="83"/>
      <c r="D531" s="83"/>
      <c r="E531" s="55" t="s">
        <v>405</v>
      </c>
      <c r="F531" s="101">
        <f xml:space="preserve"> ((2.2+2.4+3+2.6)*1.12+8+8.4)*0.225</f>
        <v>6.26</v>
      </c>
      <c r="G531" s="39"/>
      <c r="H531" s="54"/>
      <c r="I531" s="54"/>
      <c r="J531" s="54"/>
    </row>
    <row r="532" spans="1:10">
      <c r="A532" s="80"/>
      <c r="B532" s="81"/>
      <c r="C532" s="83"/>
      <c r="D532" s="83"/>
      <c r="E532" s="57" t="s">
        <v>159</v>
      </c>
      <c r="F532" s="98">
        <f>SUM(F530:F531)</f>
        <v>20.12</v>
      </c>
      <c r="G532" s="39"/>
      <c r="H532" s="54"/>
      <c r="I532" s="54"/>
      <c r="J532" s="54"/>
    </row>
    <row r="533" spans="1:10">
      <c r="A533" s="80"/>
      <c r="B533" s="81"/>
      <c r="C533" s="83"/>
      <c r="D533" s="83"/>
      <c r="E533" s="57"/>
      <c r="F533" s="98"/>
      <c r="G533" s="39"/>
      <c r="H533" s="54"/>
      <c r="I533" s="54"/>
      <c r="J533" s="54"/>
    </row>
    <row r="534" spans="1:10" ht="25.5">
      <c r="A534" s="24">
        <f>MAX(A$1:A533)+1</f>
        <v>70</v>
      </c>
      <c r="B534" s="81"/>
      <c r="C534" s="32" t="s">
        <v>189</v>
      </c>
      <c r="D534" s="33"/>
      <c r="E534" s="34" t="s">
        <v>190</v>
      </c>
      <c r="F534" s="35"/>
      <c r="G534" s="36" t="s">
        <v>5</v>
      </c>
      <c r="H534" s="61">
        <v>89.42</v>
      </c>
      <c r="I534" s="259"/>
      <c r="J534" s="61">
        <f t="shared" si="8"/>
        <v>0</v>
      </c>
    </row>
    <row r="535" spans="1:10" ht="25.5">
      <c r="A535" s="80"/>
      <c r="B535" s="81"/>
      <c r="C535" s="64"/>
      <c r="D535" s="65" t="s">
        <v>191</v>
      </c>
      <c r="E535" s="66" t="s">
        <v>192</v>
      </c>
      <c r="F535" s="67"/>
      <c r="G535" s="68" t="s">
        <v>5</v>
      </c>
      <c r="H535" s="54">
        <v>89.42</v>
      </c>
      <c r="I535" s="54"/>
      <c r="J535" s="54"/>
    </row>
    <row r="536" spans="1:10">
      <c r="A536" s="80"/>
      <c r="B536" s="81"/>
      <c r="C536" s="83"/>
      <c r="D536" s="83"/>
      <c r="E536" s="52" t="s">
        <v>209</v>
      </c>
      <c r="F536" s="98"/>
      <c r="G536" s="39"/>
      <c r="H536" s="54"/>
      <c r="I536" s="54"/>
      <c r="J536" s="54"/>
    </row>
    <row r="537" spans="1:10">
      <c r="A537" s="80"/>
      <c r="B537" s="81"/>
      <c r="C537" s="83"/>
      <c r="D537" s="83"/>
      <c r="E537" s="55" t="s">
        <v>406</v>
      </c>
      <c r="F537" s="98">
        <f xml:space="preserve"> (17.9+25.4+18.3)*0.5*2</f>
        <v>61.6</v>
      </c>
      <c r="G537" s="39"/>
      <c r="H537" s="54"/>
      <c r="I537" s="54"/>
      <c r="J537" s="54"/>
    </row>
    <row r="538" spans="1:10">
      <c r="A538" s="80"/>
      <c r="B538" s="81"/>
      <c r="C538" s="83"/>
      <c r="D538" s="83"/>
      <c r="E538" s="55" t="s">
        <v>407</v>
      </c>
      <c r="F538" s="101">
        <f xml:space="preserve"> ((2.2+2.4+3+2.6)*1.12+8+8.4)*0.5*2</f>
        <v>27.82</v>
      </c>
      <c r="G538" s="39"/>
      <c r="H538" s="54"/>
      <c r="I538" s="54"/>
      <c r="J538" s="54"/>
    </row>
    <row r="539" spans="1:10">
      <c r="A539" s="80"/>
      <c r="B539" s="81"/>
      <c r="C539" s="83"/>
      <c r="D539" s="83"/>
      <c r="E539" s="57" t="s">
        <v>159</v>
      </c>
      <c r="F539" s="98">
        <f>SUM(F537:F538)</f>
        <v>89.42</v>
      </c>
      <c r="G539" s="39"/>
      <c r="H539" s="54"/>
      <c r="I539" s="54"/>
      <c r="J539" s="54"/>
    </row>
    <row r="540" spans="1:10">
      <c r="A540" s="80"/>
      <c r="B540" s="81"/>
      <c r="C540" s="83"/>
      <c r="D540" s="83"/>
      <c r="E540" s="57"/>
      <c r="F540" s="98"/>
      <c r="G540" s="39"/>
      <c r="H540" s="54"/>
      <c r="I540" s="54"/>
      <c r="J540" s="54"/>
    </row>
    <row r="541" spans="1:10" ht="25.5">
      <c r="A541" s="24">
        <f>MAX(A$1:A540)+1</f>
        <v>71</v>
      </c>
      <c r="B541" s="81"/>
      <c r="C541" s="32" t="s">
        <v>408</v>
      </c>
      <c r="D541" s="33"/>
      <c r="E541" s="34" t="s">
        <v>409</v>
      </c>
      <c r="F541" s="35"/>
      <c r="G541" s="36" t="s">
        <v>22</v>
      </c>
      <c r="H541" s="61">
        <v>7.06</v>
      </c>
      <c r="I541" s="259"/>
      <c r="J541" s="61">
        <f t="shared" si="8"/>
        <v>0</v>
      </c>
    </row>
    <row r="542" spans="1:10" ht="25.5">
      <c r="A542" s="80"/>
      <c r="B542" s="81"/>
      <c r="C542" s="83"/>
      <c r="D542" s="65" t="s">
        <v>410</v>
      </c>
      <c r="E542" s="66" t="s">
        <v>411</v>
      </c>
      <c r="F542" s="67"/>
      <c r="G542" s="68" t="s">
        <v>22</v>
      </c>
      <c r="H542" s="54">
        <v>7.06</v>
      </c>
      <c r="I542" s="54"/>
      <c r="J542" s="54"/>
    </row>
    <row r="543" spans="1:10">
      <c r="A543" s="80"/>
      <c r="B543" s="81"/>
      <c r="C543" s="83"/>
      <c r="D543" s="83"/>
      <c r="E543" s="52" t="s">
        <v>209</v>
      </c>
      <c r="F543" s="98"/>
      <c r="G543" s="39"/>
      <c r="H543" s="54"/>
      <c r="I543" s="54"/>
      <c r="J543" s="54"/>
    </row>
    <row r="544" spans="1:10">
      <c r="A544" s="80"/>
      <c r="B544" s="81"/>
      <c r="C544" s="83"/>
      <c r="D544" s="83"/>
      <c r="E544" s="55" t="s">
        <v>412</v>
      </c>
      <c r="F544" s="98">
        <f xml:space="preserve"> ((0.5+2.15+2.95+3)*1.12+6+7.9)*0.3</f>
        <v>7.06</v>
      </c>
      <c r="G544" s="39"/>
      <c r="H544" s="54"/>
      <c r="I544" s="54"/>
      <c r="J544" s="54"/>
    </row>
    <row r="545" spans="1:10">
      <c r="A545" s="80"/>
      <c r="B545" s="81"/>
      <c r="C545" s="83"/>
      <c r="D545" s="83"/>
      <c r="E545" s="55"/>
      <c r="F545" s="98"/>
      <c r="G545" s="39"/>
      <c r="H545" s="54"/>
      <c r="I545" s="54"/>
      <c r="J545" s="54"/>
    </row>
    <row r="546" spans="1:10">
      <c r="A546" s="24">
        <f>MAX(A$1:A545)+1</f>
        <v>72</v>
      </c>
      <c r="B546" s="81"/>
      <c r="C546" s="32" t="s">
        <v>413</v>
      </c>
      <c r="D546" s="33"/>
      <c r="E546" s="34" t="s">
        <v>414</v>
      </c>
      <c r="F546" s="35"/>
      <c r="G546" s="36" t="s">
        <v>22</v>
      </c>
      <c r="H546" s="61">
        <v>71.09</v>
      </c>
      <c r="I546" s="259"/>
      <c r="J546" s="61">
        <f t="shared" si="8"/>
        <v>0</v>
      </c>
    </row>
    <row r="547" spans="1:10">
      <c r="A547" s="80"/>
      <c r="B547" s="81"/>
      <c r="C547" s="83"/>
      <c r="D547" s="65" t="s">
        <v>415</v>
      </c>
      <c r="E547" s="66" t="s">
        <v>416</v>
      </c>
      <c r="F547" s="67"/>
      <c r="G547" s="68" t="s">
        <v>22</v>
      </c>
      <c r="H547" s="54">
        <v>71.09</v>
      </c>
      <c r="I547" s="54"/>
      <c r="J547" s="54"/>
    </row>
    <row r="548" spans="1:10">
      <c r="A548" s="80"/>
      <c r="B548" s="81"/>
      <c r="C548" s="83"/>
      <c r="D548" s="83"/>
      <c r="E548" s="52" t="s">
        <v>417</v>
      </c>
      <c r="F548" s="98"/>
      <c r="G548" s="39"/>
      <c r="H548" s="54"/>
      <c r="I548" s="54"/>
      <c r="J548" s="54"/>
    </row>
    <row r="549" spans="1:10">
      <c r="A549" s="80"/>
      <c r="B549" s="81"/>
      <c r="C549" s="83"/>
      <c r="D549" s="83"/>
      <c r="E549" s="55" t="s">
        <v>418</v>
      </c>
      <c r="F549" s="98">
        <f>(50+21+(18+9.7+7.2+7.5)*1.12)*0.6</f>
        <v>71.09</v>
      </c>
      <c r="G549" s="39"/>
      <c r="H549" s="54"/>
      <c r="I549" s="54"/>
      <c r="J549" s="54"/>
    </row>
    <row r="550" spans="1:10">
      <c r="A550" s="80"/>
      <c r="B550" s="81"/>
      <c r="C550" s="82"/>
      <c r="D550" s="83"/>
      <c r="E550" s="52"/>
      <c r="F550" s="69"/>
      <c r="G550" s="39"/>
      <c r="H550" s="54"/>
      <c r="I550" s="54"/>
      <c r="J550" s="54"/>
    </row>
    <row r="551" spans="1:10">
      <c r="A551" s="24">
        <f>MAX(A$1:A550)+1</f>
        <v>73</v>
      </c>
      <c r="B551" s="81"/>
      <c r="C551" s="32" t="s">
        <v>31</v>
      </c>
      <c r="D551" s="33"/>
      <c r="E551" s="34" t="s">
        <v>32</v>
      </c>
      <c r="F551" s="35"/>
      <c r="G551" s="36" t="s">
        <v>5</v>
      </c>
      <c r="H551" s="61">
        <v>294.58</v>
      </c>
      <c r="I551" s="259"/>
      <c r="J551" s="61">
        <f t="shared" si="8"/>
        <v>0</v>
      </c>
    </row>
    <row r="552" spans="1:10" ht="25.5">
      <c r="A552" s="80"/>
      <c r="B552" s="81"/>
      <c r="C552" s="82"/>
      <c r="D552" s="65" t="s">
        <v>33</v>
      </c>
      <c r="E552" s="66" t="s">
        <v>34</v>
      </c>
      <c r="F552" s="67"/>
      <c r="G552" s="68" t="s">
        <v>5</v>
      </c>
      <c r="H552" s="54">
        <v>294.58</v>
      </c>
      <c r="I552" s="54"/>
      <c r="J552" s="54"/>
    </row>
    <row r="553" spans="1:10">
      <c r="A553" s="80"/>
      <c r="B553" s="81"/>
      <c r="C553" s="82"/>
      <c r="D553" s="83"/>
      <c r="E553" s="52" t="s">
        <v>179</v>
      </c>
      <c r="F553" s="69"/>
      <c r="G553" s="39"/>
      <c r="H553" s="54"/>
      <c r="I553" s="54"/>
      <c r="J553" s="54"/>
    </row>
    <row r="554" spans="1:10">
      <c r="A554" s="80"/>
      <c r="B554" s="81"/>
      <c r="C554" s="82"/>
      <c r="D554" s="83"/>
      <c r="E554" s="55" t="s">
        <v>396</v>
      </c>
      <c r="F554" s="69">
        <f xml:space="preserve"> (1.3+2.1)*2</f>
        <v>6.8</v>
      </c>
      <c r="G554" s="39"/>
      <c r="H554" s="54"/>
      <c r="I554" s="54"/>
      <c r="J554" s="54"/>
    </row>
    <row r="555" spans="1:10">
      <c r="A555" s="80"/>
      <c r="B555" s="81"/>
      <c r="C555" s="82"/>
      <c r="D555" s="83"/>
      <c r="E555" s="55" t="s">
        <v>397</v>
      </c>
      <c r="F555" s="69">
        <f xml:space="preserve"> (1.4+2.2+10.4+1.4)*1.12</f>
        <v>17.25</v>
      </c>
      <c r="G555" s="39"/>
      <c r="H555" s="54"/>
      <c r="I555" s="54"/>
      <c r="J555" s="54"/>
    </row>
    <row r="556" spans="1:10">
      <c r="A556" s="80"/>
      <c r="B556" s="81"/>
      <c r="C556" s="82"/>
      <c r="D556" s="83"/>
      <c r="E556" s="55" t="s">
        <v>398</v>
      </c>
      <c r="F556" s="69">
        <f xml:space="preserve"> 161.4-36.4+6.9+7.2</f>
        <v>139.1</v>
      </c>
      <c r="G556" s="39"/>
      <c r="H556" s="54"/>
      <c r="I556" s="54"/>
      <c r="J556" s="54"/>
    </row>
    <row r="557" spans="1:10" ht="25.5">
      <c r="A557" s="80"/>
      <c r="B557" s="81"/>
      <c r="C557" s="82"/>
      <c r="D557" s="83"/>
      <c r="E557" s="55" t="s">
        <v>399</v>
      </c>
      <c r="F557" s="70">
        <f xml:space="preserve"> (42.75+52.3+36.4-14.1)*1.12</f>
        <v>131.43</v>
      </c>
      <c r="G557" s="39"/>
      <c r="H557" s="54"/>
      <c r="I557" s="54"/>
      <c r="J557" s="54"/>
    </row>
    <row r="558" spans="1:10">
      <c r="A558" s="80"/>
      <c r="B558" s="81"/>
      <c r="C558" s="83"/>
      <c r="D558" s="83"/>
      <c r="E558" s="57" t="s">
        <v>159</v>
      </c>
      <c r="F558" s="98">
        <f>SUM(F554:F557)</f>
        <v>294.58</v>
      </c>
      <c r="G558" s="39"/>
      <c r="H558" s="54"/>
      <c r="I558" s="54"/>
      <c r="J558" s="54"/>
    </row>
    <row r="559" spans="1:10">
      <c r="A559" s="80"/>
      <c r="B559" s="81"/>
      <c r="C559" s="82"/>
      <c r="D559" s="83"/>
      <c r="E559" s="84"/>
      <c r="F559" s="85"/>
      <c r="G559" s="39"/>
      <c r="H559" s="54"/>
      <c r="I559" s="54"/>
      <c r="J559" s="54"/>
    </row>
    <row r="560" spans="1:10">
      <c r="A560" s="80"/>
      <c r="B560" s="81"/>
      <c r="C560" s="32"/>
      <c r="D560" s="33"/>
      <c r="E560" s="34"/>
      <c r="F560" s="35"/>
      <c r="G560" s="36"/>
      <c r="H560" s="54"/>
      <c r="I560" s="54"/>
      <c r="J560" s="54"/>
    </row>
    <row r="561" spans="1:10">
      <c r="A561" s="80"/>
      <c r="B561" s="75" t="s">
        <v>35</v>
      </c>
      <c r="C561" s="75"/>
      <c r="D561" s="33"/>
      <c r="E561" s="60" t="s">
        <v>36</v>
      </c>
      <c r="F561" s="98"/>
      <c r="G561" s="39"/>
      <c r="H561" s="54"/>
      <c r="I561" s="54"/>
      <c r="J561" s="54"/>
    </row>
    <row r="562" spans="1:10">
      <c r="A562" s="80"/>
      <c r="B562" s="81"/>
      <c r="C562" s="82"/>
      <c r="D562" s="83"/>
      <c r="E562" s="84"/>
      <c r="F562" s="98"/>
      <c r="G562" s="39"/>
      <c r="H562" s="54"/>
      <c r="I562" s="54"/>
      <c r="J562" s="54"/>
    </row>
    <row r="563" spans="1:10" ht="25.5">
      <c r="A563" s="24">
        <f>MAX(A$1:A562)+1</f>
        <v>74</v>
      </c>
      <c r="B563" s="81"/>
      <c r="C563" s="32" t="s">
        <v>12</v>
      </c>
      <c r="D563" s="33"/>
      <c r="E563" s="34" t="s">
        <v>21</v>
      </c>
      <c r="F563" s="35"/>
      <c r="G563" s="36" t="s">
        <v>5</v>
      </c>
      <c r="H563" s="61">
        <v>181.43</v>
      </c>
      <c r="I563" s="259"/>
      <c r="J563" s="61">
        <f t="shared" si="8"/>
        <v>0</v>
      </c>
    </row>
    <row r="564" spans="1:10" ht="25.5">
      <c r="A564" s="80"/>
      <c r="B564" s="81"/>
      <c r="C564" s="64"/>
      <c r="D564" s="65" t="s">
        <v>13</v>
      </c>
      <c r="E564" s="66" t="s">
        <v>15</v>
      </c>
      <c r="F564" s="67"/>
      <c r="G564" s="68" t="s">
        <v>5</v>
      </c>
      <c r="H564" s="54">
        <v>67.06</v>
      </c>
      <c r="I564" s="54"/>
      <c r="J564" s="54"/>
    </row>
    <row r="565" spans="1:10">
      <c r="A565" s="80"/>
      <c r="B565" s="81"/>
      <c r="C565" s="64"/>
      <c r="D565" s="65"/>
      <c r="E565" s="52" t="s">
        <v>180</v>
      </c>
      <c r="F565" s="69"/>
      <c r="G565" s="68"/>
      <c r="H565" s="54"/>
      <c r="I565" s="54"/>
      <c r="J565" s="54"/>
    </row>
    <row r="566" spans="1:10">
      <c r="A566" s="80"/>
      <c r="B566" s="81"/>
      <c r="C566" s="64"/>
      <c r="D566" s="65"/>
      <c r="E566" s="55" t="s">
        <v>333</v>
      </c>
      <c r="F566" s="69">
        <v>6</v>
      </c>
      <c r="G566" s="68"/>
      <c r="H566" s="54"/>
      <c r="I566" s="54"/>
      <c r="J566" s="54"/>
    </row>
    <row r="567" spans="1:10">
      <c r="A567" s="80"/>
      <c r="B567" s="81"/>
      <c r="C567" s="64"/>
      <c r="D567" s="65"/>
      <c r="E567" s="55" t="s">
        <v>437</v>
      </c>
      <c r="F567" s="69">
        <f xml:space="preserve"> 22.05-8.35</f>
        <v>13.7</v>
      </c>
      <c r="G567" s="68"/>
      <c r="H567" s="54"/>
      <c r="I567" s="54"/>
      <c r="J567" s="54"/>
    </row>
    <row r="568" spans="1:10">
      <c r="A568" s="80"/>
      <c r="B568" s="81"/>
      <c r="C568" s="64"/>
      <c r="D568" s="65"/>
      <c r="E568" s="55" t="s">
        <v>334</v>
      </c>
      <c r="F568" s="69">
        <v>5.6</v>
      </c>
      <c r="G568" s="68"/>
      <c r="H568" s="54"/>
      <c r="I568" s="54"/>
      <c r="J568" s="54"/>
    </row>
    <row r="569" spans="1:10">
      <c r="A569" s="80"/>
      <c r="B569" s="81"/>
      <c r="C569" s="64"/>
      <c r="D569" s="65"/>
      <c r="E569" s="55" t="s">
        <v>435</v>
      </c>
      <c r="F569" s="70">
        <f xml:space="preserve"> 6.96*3*2</f>
        <v>41.76</v>
      </c>
      <c r="G569" s="68"/>
      <c r="H569" s="54"/>
      <c r="I569" s="54"/>
      <c r="J569" s="54"/>
    </row>
    <row r="570" spans="1:10">
      <c r="A570" s="80"/>
      <c r="B570" s="81"/>
      <c r="C570" s="64"/>
      <c r="D570" s="65"/>
      <c r="E570" s="57" t="s">
        <v>159</v>
      </c>
      <c r="F570" s="69">
        <f>SUM(F566:F569)</f>
        <v>67.06</v>
      </c>
      <c r="G570" s="68"/>
      <c r="H570" s="54"/>
      <c r="I570" s="54"/>
      <c r="J570" s="54"/>
    </row>
    <row r="571" spans="1:10" ht="25.5">
      <c r="A571" s="80"/>
      <c r="B571" s="81"/>
      <c r="C571" s="64"/>
      <c r="D571" s="65" t="s">
        <v>14</v>
      </c>
      <c r="E571" s="66" t="s">
        <v>16</v>
      </c>
      <c r="F571" s="67"/>
      <c r="G571" s="68" t="s">
        <v>5</v>
      </c>
      <c r="H571" s="54">
        <v>114.37</v>
      </c>
      <c r="I571" s="54"/>
      <c r="J571" s="54"/>
    </row>
    <row r="572" spans="1:10">
      <c r="A572" s="80"/>
      <c r="B572" s="81"/>
      <c r="C572" s="82"/>
      <c r="D572" s="83"/>
      <c r="E572" s="52" t="s">
        <v>180</v>
      </c>
      <c r="F572" s="98"/>
      <c r="G572" s="39"/>
      <c r="H572" s="54"/>
      <c r="I572" s="54"/>
      <c r="J572" s="54"/>
    </row>
    <row r="573" spans="1:10">
      <c r="A573" s="80"/>
      <c r="B573" s="81"/>
      <c r="C573" s="82"/>
      <c r="D573" s="83"/>
      <c r="E573" s="55" t="s">
        <v>438</v>
      </c>
      <c r="F573" s="69">
        <f xml:space="preserve"> 16.7*1.9</f>
        <v>31.73</v>
      </c>
      <c r="G573" s="39"/>
      <c r="H573" s="54"/>
      <c r="I573" s="54"/>
      <c r="J573" s="54"/>
    </row>
    <row r="574" spans="1:10">
      <c r="A574" s="80"/>
      <c r="B574" s="81"/>
      <c r="C574" s="82"/>
      <c r="D574" s="83"/>
      <c r="E574" s="55" t="s">
        <v>440</v>
      </c>
      <c r="F574" s="69">
        <f xml:space="preserve"> 23.8*1.9</f>
        <v>45.22</v>
      </c>
      <c r="G574" s="39"/>
      <c r="H574" s="54"/>
      <c r="I574" s="54"/>
      <c r="J574" s="54"/>
    </row>
    <row r="575" spans="1:10">
      <c r="A575" s="80"/>
      <c r="B575" s="81"/>
      <c r="C575" s="82"/>
      <c r="D575" s="83"/>
      <c r="E575" s="55" t="s">
        <v>439</v>
      </c>
      <c r="F575" s="69">
        <f xml:space="preserve"> 16.4*1.9</f>
        <v>31.16</v>
      </c>
      <c r="G575" s="39"/>
      <c r="H575" s="54"/>
      <c r="I575" s="54"/>
      <c r="J575" s="54"/>
    </row>
    <row r="576" spans="1:10">
      <c r="A576" s="80"/>
      <c r="B576" s="81"/>
      <c r="C576" s="82"/>
      <c r="D576" s="83"/>
      <c r="E576" s="55" t="s">
        <v>436</v>
      </c>
      <c r="F576" s="70">
        <f xml:space="preserve"> 6.96*0.24*2+0.73*4</f>
        <v>6.26</v>
      </c>
      <c r="G576" s="39"/>
      <c r="H576" s="54"/>
      <c r="I576" s="54"/>
      <c r="J576" s="54"/>
    </row>
    <row r="577" spans="1:10">
      <c r="A577" s="80"/>
      <c r="B577" s="81"/>
      <c r="C577" s="82"/>
      <c r="D577" s="83"/>
      <c r="E577" s="57" t="s">
        <v>159</v>
      </c>
      <c r="F577" s="69">
        <f>SUM(F573:F576)</f>
        <v>114.37</v>
      </c>
      <c r="G577" s="39"/>
      <c r="H577" s="54"/>
      <c r="I577" s="54"/>
      <c r="J577" s="54"/>
    </row>
    <row r="578" spans="1:10">
      <c r="A578" s="80"/>
      <c r="B578" s="81"/>
      <c r="C578" s="82"/>
      <c r="D578" s="83"/>
      <c r="E578" s="102"/>
      <c r="F578" s="69"/>
      <c r="G578" s="39"/>
      <c r="H578" s="54"/>
      <c r="I578" s="54"/>
      <c r="J578" s="54"/>
    </row>
    <row r="579" spans="1:10" ht="25.5">
      <c r="A579" s="24">
        <f>MAX(A$1:A578)+1</f>
        <v>75</v>
      </c>
      <c r="B579" s="81"/>
      <c r="C579" s="32" t="s">
        <v>17</v>
      </c>
      <c r="D579" s="33"/>
      <c r="E579" s="34" t="s">
        <v>3</v>
      </c>
      <c r="F579" s="35"/>
      <c r="G579" s="36" t="s">
        <v>5</v>
      </c>
      <c r="H579" s="61">
        <v>17.2</v>
      </c>
      <c r="I579" s="259"/>
      <c r="J579" s="61">
        <f t="shared" si="8"/>
        <v>0</v>
      </c>
    </row>
    <row r="580" spans="1:10" ht="25.5">
      <c r="A580" s="80"/>
      <c r="B580" s="81"/>
      <c r="C580" s="82"/>
      <c r="D580" s="65" t="s">
        <v>18</v>
      </c>
      <c r="E580" s="66" t="s">
        <v>4</v>
      </c>
      <c r="F580" s="67"/>
      <c r="G580" s="68" t="s">
        <v>5</v>
      </c>
      <c r="H580" s="54">
        <v>17.2</v>
      </c>
      <c r="I580" s="54"/>
      <c r="J580" s="54"/>
    </row>
    <row r="581" spans="1:10">
      <c r="A581" s="80"/>
      <c r="B581" s="81"/>
      <c r="C581" s="82"/>
      <c r="D581" s="83"/>
      <c r="E581" s="52" t="s">
        <v>181</v>
      </c>
      <c r="F581" s="104"/>
      <c r="G581" s="39"/>
      <c r="H581" s="54"/>
      <c r="I581" s="54"/>
      <c r="J581" s="54"/>
    </row>
    <row r="582" spans="1:10">
      <c r="A582" s="80"/>
      <c r="B582" s="81"/>
      <c r="C582" s="82"/>
      <c r="D582" s="83"/>
      <c r="E582" s="55" t="s">
        <v>528</v>
      </c>
      <c r="F582" s="104"/>
      <c r="G582" s="39"/>
      <c r="H582" s="54"/>
      <c r="I582" s="54"/>
      <c r="J582" s="54"/>
    </row>
    <row r="583" spans="1:10">
      <c r="A583" s="80"/>
      <c r="B583" s="81"/>
      <c r="C583" s="82"/>
      <c r="D583" s="83"/>
      <c r="E583" s="55" t="s">
        <v>333</v>
      </c>
      <c r="F583" s="69">
        <v>8.85</v>
      </c>
      <c r="G583" s="39"/>
      <c r="H583" s="54"/>
      <c r="I583" s="54"/>
      <c r="J583" s="54"/>
    </row>
    <row r="584" spans="1:10">
      <c r="A584" s="80"/>
      <c r="B584" s="81"/>
      <c r="C584" s="82"/>
      <c r="D584" s="83"/>
      <c r="E584" s="55" t="s">
        <v>334</v>
      </c>
      <c r="F584" s="70">
        <v>8.35</v>
      </c>
      <c r="G584" s="39"/>
      <c r="H584" s="54"/>
      <c r="I584" s="54"/>
      <c r="J584" s="54"/>
    </row>
    <row r="585" spans="1:10">
      <c r="A585" s="80"/>
      <c r="B585" s="81"/>
      <c r="C585" s="82"/>
      <c r="D585" s="83"/>
      <c r="E585" s="57" t="s">
        <v>159</v>
      </c>
      <c r="F585" s="69">
        <f>SUM(F583:F584)</f>
        <v>17.2</v>
      </c>
      <c r="G585" s="39"/>
      <c r="H585" s="54"/>
      <c r="I585" s="54"/>
      <c r="J585" s="54"/>
    </row>
    <row r="586" spans="1:10">
      <c r="A586" s="80"/>
      <c r="B586" s="81"/>
      <c r="C586" s="82"/>
      <c r="D586" s="83"/>
      <c r="E586" s="55"/>
      <c r="F586" s="69"/>
      <c r="G586" s="39"/>
      <c r="H586" s="54"/>
      <c r="I586" s="54"/>
      <c r="J586" s="54"/>
    </row>
    <row r="587" spans="1:10">
      <c r="A587" s="24">
        <f>MAX(A$1:A586)+1</f>
        <v>76</v>
      </c>
      <c r="B587" s="81"/>
      <c r="C587" s="32" t="s">
        <v>19</v>
      </c>
      <c r="D587" s="33"/>
      <c r="E587" s="34" t="s">
        <v>8</v>
      </c>
      <c r="F587" s="35"/>
      <c r="G587" s="36" t="s">
        <v>5</v>
      </c>
      <c r="H587" s="61">
        <v>199.64</v>
      </c>
      <c r="I587" s="259"/>
      <c r="J587" s="61">
        <f t="shared" ref="J587:J638" si="9">I587*H587</f>
        <v>0</v>
      </c>
    </row>
    <row r="588" spans="1:10" ht="25.5">
      <c r="A588" s="80"/>
      <c r="B588" s="81"/>
      <c r="C588" s="64"/>
      <c r="D588" s="65" t="s">
        <v>20</v>
      </c>
      <c r="E588" s="66" t="s">
        <v>7</v>
      </c>
      <c r="F588" s="67"/>
      <c r="G588" s="68" t="s">
        <v>5</v>
      </c>
      <c r="H588" s="54">
        <v>199.64</v>
      </c>
      <c r="I588" s="54"/>
      <c r="J588" s="54"/>
    </row>
    <row r="589" spans="1:10">
      <c r="A589" s="80"/>
      <c r="B589" s="81"/>
      <c r="C589" s="64"/>
      <c r="D589" s="65"/>
      <c r="E589" s="52" t="s">
        <v>182</v>
      </c>
      <c r="F589" s="66"/>
      <c r="G589" s="68"/>
      <c r="H589" s="54"/>
      <c r="I589" s="54"/>
      <c r="J589" s="54"/>
    </row>
    <row r="590" spans="1:10">
      <c r="A590" s="80"/>
      <c r="B590" s="81"/>
      <c r="C590" s="64"/>
      <c r="D590" s="65"/>
      <c r="E590" s="55" t="s">
        <v>352</v>
      </c>
      <c r="F590" s="69">
        <f xml:space="preserve"> 8.4*17</f>
        <v>142.80000000000001</v>
      </c>
      <c r="G590" s="68"/>
      <c r="H590" s="54"/>
      <c r="I590" s="54"/>
      <c r="J590" s="54"/>
    </row>
    <row r="591" spans="1:10">
      <c r="A591" s="80"/>
      <c r="B591" s="81"/>
      <c r="C591" s="64"/>
      <c r="D591" s="65"/>
      <c r="E591" s="55" t="s">
        <v>353</v>
      </c>
      <c r="F591" s="69">
        <f xml:space="preserve"> 5.9*2*1.4</f>
        <v>16.52</v>
      </c>
      <c r="G591" s="68"/>
      <c r="H591" s="54"/>
      <c r="I591" s="54"/>
      <c r="J591" s="54"/>
    </row>
    <row r="592" spans="1:10">
      <c r="A592" s="80"/>
      <c r="B592" s="81"/>
      <c r="C592" s="64"/>
      <c r="D592" s="65"/>
      <c r="E592" s="52" t="s">
        <v>183</v>
      </c>
      <c r="F592" s="69"/>
      <c r="G592" s="68"/>
      <c r="H592" s="54"/>
      <c r="I592" s="54"/>
      <c r="J592" s="54"/>
    </row>
    <row r="593" spans="1:10">
      <c r="A593" s="80"/>
      <c r="B593" s="81"/>
      <c r="C593" s="64"/>
      <c r="D593" s="65"/>
      <c r="E593" s="55" t="s">
        <v>354</v>
      </c>
      <c r="F593" s="69">
        <f xml:space="preserve"> 17*0.7*2</f>
        <v>23.8</v>
      </c>
      <c r="G593" s="68"/>
      <c r="H593" s="54"/>
      <c r="I593" s="54"/>
      <c r="J593" s="54"/>
    </row>
    <row r="594" spans="1:10">
      <c r="A594" s="80"/>
      <c r="B594" s="81"/>
      <c r="C594" s="64"/>
      <c r="D594" s="65"/>
      <c r="E594" s="55" t="s">
        <v>353</v>
      </c>
      <c r="F594" s="70">
        <f xml:space="preserve"> 5.9*2*1.4</f>
        <v>16.52</v>
      </c>
      <c r="G594" s="68"/>
      <c r="H594" s="54"/>
      <c r="I594" s="54"/>
      <c r="J594" s="54"/>
    </row>
    <row r="595" spans="1:10">
      <c r="A595" s="80"/>
      <c r="B595" s="81"/>
      <c r="C595" s="64"/>
      <c r="D595" s="65"/>
      <c r="E595" s="57" t="s">
        <v>159</v>
      </c>
      <c r="F595" s="69">
        <f>SUM(F590:F594)</f>
        <v>199.64</v>
      </c>
      <c r="G595" s="68"/>
      <c r="H595" s="54"/>
      <c r="I595" s="54"/>
      <c r="J595" s="54"/>
    </row>
    <row r="596" spans="1:10">
      <c r="A596" s="80"/>
      <c r="B596" s="81"/>
      <c r="C596" s="82"/>
      <c r="D596" s="83"/>
      <c r="E596" s="55" t="s">
        <v>375</v>
      </c>
      <c r="F596" s="85"/>
      <c r="G596" s="39"/>
      <c r="H596" s="54"/>
      <c r="I596" s="54"/>
      <c r="J596" s="54"/>
    </row>
    <row r="597" spans="1:10">
      <c r="A597" s="80"/>
      <c r="B597" s="81"/>
      <c r="C597" s="82"/>
      <c r="D597" s="83"/>
      <c r="E597" s="84"/>
      <c r="F597" s="85"/>
      <c r="G597" s="39"/>
      <c r="H597" s="54"/>
      <c r="I597" s="54"/>
      <c r="J597" s="54"/>
    </row>
    <row r="598" spans="1:10">
      <c r="A598" s="80"/>
      <c r="B598" s="75" t="s">
        <v>37</v>
      </c>
      <c r="C598" s="75"/>
      <c r="D598" s="33"/>
      <c r="E598" s="60" t="s">
        <v>38</v>
      </c>
      <c r="F598" s="60"/>
      <c r="G598" s="68"/>
      <c r="H598" s="54"/>
      <c r="I598" s="54"/>
      <c r="J598" s="54"/>
    </row>
    <row r="599" spans="1:10">
      <c r="A599" s="80"/>
      <c r="B599" s="75"/>
      <c r="C599" s="75"/>
      <c r="D599" s="33"/>
      <c r="E599" s="60"/>
      <c r="F599" s="60"/>
      <c r="G599" s="68"/>
      <c r="H599" s="54"/>
      <c r="I599" s="54"/>
      <c r="J599" s="54"/>
    </row>
    <row r="600" spans="1:10" ht="25.5">
      <c r="A600" s="24">
        <f>MAX(A$1:A599)+1</f>
        <v>77</v>
      </c>
      <c r="B600" s="75"/>
      <c r="C600" s="32" t="s">
        <v>525</v>
      </c>
      <c r="D600" s="33"/>
      <c r="E600" s="34" t="s">
        <v>526</v>
      </c>
      <c r="F600" s="35"/>
      <c r="G600" s="36" t="s">
        <v>22</v>
      </c>
      <c r="H600" s="61">
        <v>3.72</v>
      </c>
      <c r="I600" s="259"/>
      <c r="J600" s="61">
        <f t="shared" si="9"/>
        <v>0</v>
      </c>
    </row>
    <row r="601" spans="1:10">
      <c r="A601" s="80"/>
      <c r="B601" s="75"/>
      <c r="C601" s="75"/>
      <c r="D601" s="33"/>
      <c r="E601" s="55" t="s">
        <v>527</v>
      </c>
      <c r="F601" s="69">
        <f>6.2*2*0.3</f>
        <v>3.72</v>
      </c>
      <c r="G601" s="68"/>
      <c r="H601" s="54"/>
      <c r="I601" s="54"/>
      <c r="J601" s="54"/>
    </row>
    <row r="602" spans="1:10">
      <c r="A602" s="80"/>
      <c r="B602" s="75"/>
      <c r="C602" s="75"/>
      <c r="D602" s="33"/>
      <c r="E602" s="60"/>
      <c r="F602" s="60"/>
      <c r="G602" s="68"/>
      <c r="H602" s="54"/>
      <c r="I602" s="54"/>
      <c r="J602" s="54"/>
    </row>
    <row r="603" spans="1:10" ht="25.5">
      <c r="A603" s="24">
        <f>MAX(A$1:A602)+1</f>
        <v>78</v>
      </c>
      <c r="B603" s="75"/>
      <c r="C603" s="32" t="s">
        <v>427</v>
      </c>
      <c r="D603" s="33"/>
      <c r="E603" s="34" t="s">
        <v>428</v>
      </c>
      <c r="F603" s="35"/>
      <c r="G603" s="36" t="s">
        <v>22</v>
      </c>
      <c r="H603" s="61">
        <v>1.24</v>
      </c>
      <c r="I603" s="259"/>
      <c r="J603" s="61">
        <f t="shared" si="9"/>
        <v>0</v>
      </c>
    </row>
    <row r="604" spans="1:10">
      <c r="A604" s="24"/>
      <c r="B604" s="75"/>
      <c r="C604" s="32"/>
      <c r="D604" s="33"/>
      <c r="E604" s="55" t="s">
        <v>523</v>
      </c>
      <c r="F604" s="35"/>
      <c r="G604" s="36"/>
      <c r="H604" s="61"/>
      <c r="I604" s="61"/>
      <c r="J604" s="61"/>
    </row>
    <row r="605" spans="1:10">
      <c r="A605" s="80"/>
      <c r="B605" s="75"/>
      <c r="C605" s="75"/>
      <c r="D605" s="33"/>
      <c r="E605" s="55" t="s">
        <v>524</v>
      </c>
      <c r="F605" s="69">
        <f>6.2*2*0.1</f>
        <v>1.24</v>
      </c>
      <c r="G605" s="68"/>
      <c r="H605" s="54"/>
      <c r="I605" s="54"/>
      <c r="J605" s="54"/>
    </row>
    <row r="606" spans="1:10">
      <c r="A606" s="80"/>
      <c r="B606" s="75"/>
      <c r="C606" s="75"/>
      <c r="D606" s="33"/>
      <c r="E606" s="60"/>
      <c r="F606" s="60"/>
      <c r="G606" s="68"/>
      <c r="H606" s="54"/>
      <c r="I606" s="54"/>
      <c r="J606" s="54"/>
    </row>
    <row r="607" spans="1:10" ht="25.5">
      <c r="A607" s="24">
        <f>MAX(A$1:A606)+1</f>
        <v>79</v>
      </c>
      <c r="B607" s="49"/>
      <c r="C607" s="32" t="s">
        <v>39</v>
      </c>
      <c r="D607" s="33"/>
      <c r="E607" s="34" t="s">
        <v>40</v>
      </c>
      <c r="F607" s="35"/>
      <c r="G607" s="36" t="s">
        <v>11</v>
      </c>
      <c r="H607" s="61">
        <v>14.25</v>
      </c>
      <c r="I607" s="259"/>
      <c r="J607" s="61">
        <f t="shared" si="9"/>
        <v>0</v>
      </c>
    </row>
    <row r="608" spans="1:10" ht="25.5">
      <c r="A608" s="24"/>
      <c r="B608" s="49"/>
      <c r="C608" s="32"/>
      <c r="D608" s="65" t="s">
        <v>425</v>
      </c>
      <c r="E608" s="66" t="s">
        <v>426</v>
      </c>
      <c r="F608" s="67"/>
      <c r="G608" s="68" t="s">
        <v>11</v>
      </c>
      <c r="H608" s="54">
        <v>14.25</v>
      </c>
      <c r="I608" s="54"/>
      <c r="J608" s="54"/>
    </row>
    <row r="609" spans="1:10">
      <c r="A609" s="24"/>
      <c r="B609" s="49"/>
      <c r="C609" s="32"/>
      <c r="D609" s="33"/>
      <c r="E609" s="55" t="s">
        <v>371</v>
      </c>
      <c r="F609" s="69">
        <v>7</v>
      </c>
      <c r="G609" s="36"/>
      <c r="H609" s="61"/>
      <c r="I609" s="61"/>
      <c r="J609" s="61"/>
    </row>
    <row r="610" spans="1:10">
      <c r="A610" s="24"/>
      <c r="B610" s="49"/>
      <c r="C610" s="32"/>
      <c r="D610" s="33"/>
      <c r="E610" s="55" t="s">
        <v>429</v>
      </c>
      <c r="F610" s="70">
        <v>7.25</v>
      </c>
      <c r="G610" s="36"/>
      <c r="H610" s="61"/>
      <c r="I610" s="61"/>
      <c r="J610" s="61"/>
    </row>
    <row r="611" spans="1:10">
      <c r="A611" s="80"/>
      <c r="B611" s="75"/>
      <c r="C611" s="75"/>
      <c r="D611" s="33"/>
      <c r="E611" s="57" t="s">
        <v>159</v>
      </c>
      <c r="F611" s="69">
        <f>SUM(F609:F610)</f>
        <v>14.25</v>
      </c>
      <c r="G611" s="68"/>
      <c r="H611" s="54"/>
      <c r="I611" s="54"/>
      <c r="J611" s="54"/>
    </row>
    <row r="612" spans="1:10">
      <c r="A612" s="80"/>
      <c r="B612" s="75"/>
      <c r="C612" s="75"/>
      <c r="D612" s="33"/>
      <c r="E612" s="55" t="s">
        <v>430</v>
      </c>
      <c r="F612" s="60"/>
      <c r="G612" s="68"/>
      <c r="H612" s="54"/>
      <c r="I612" s="54"/>
      <c r="J612" s="54"/>
    </row>
    <row r="613" spans="1:10">
      <c r="A613" s="80"/>
      <c r="B613" s="75"/>
      <c r="C613" s="75"/>
      <c r="D613" s="33"/>
      <c r="E613" s="60"/>
      <c r="F613" s="60"/>
      <c r="G613" s="68"/>
      <c r="H613" s="54"/>
      <c r="I613" s="54"/>
      <c r="J613" s="54"/>
    </row>
    <row r="614" spans="1:10" ht="25.5">
      <c r="A614" s="24">
        <f>MAX(A$1:A613)+1</f>
        <v>80</v>
      </c>
      <c r="B614" s="75"/>
      <c r="C614" s="32" t="s">
        <v>505</v>
      </c>
      <c r="D614" s="33"/>
      <c r="E614" s="34" t="s">
        <v>506</v>
      </c>
      <c r="F614" s="35"/>
      <c r="G614" s="36" t="s">
        <v>5</v>
      </c>
      <c r="H614" s="61">
        <v>142.80000000000001</v>
      </c>
      <c r="I614" s="259"/>
      <c r="J614" s="61">
        <f t="shared" si="9"/>
        <v>0</v>
      </c>
    </row>
    <row r="615" spans="1:10" ht="25.5">
      <c r="A615" s="80"/>
      <c r="B615" s="75"/>
      <c r="C615" s="75"/>
      <c r="D615" s="65" t="s">
        <v>507</v>
      </c>
      <c r="E615" s="66" t="s">
        <v>508</v>
      </c>
      <c r="F615" s="67"/>
      <c r="G615" s="68" t="s">
        <v>5</v>
      </c>
      <c r="H615" s="54">
        <v>142.80000000000001</v>
      </c>
      <c r="I615" s="54"/>
      <c r="J615" s="54"/>
    </row>
    <row r="616" spans="1:10">
      <c r="A616" s="80"/>
      <c r="B616" s="75"/>
      <c r="C616" s="75"/>
      <c r="D616" s="33"/>
      <c r="E616" s="55" t="s">
        <v>517</v>
      </c>
      <c r="F616" s="60"/>
      <c r="G616" s="68"/>
      <c r="H616" s="54"/>
      <c r="I616" s="54"/>
      <c r="J616" s="54"/>
    </row>
    <row r="617" spans="1:10">
      <c r="A617" s="80"/>
      <c r="B617" s="75"/>
      <c r="C617" s="75"/>
      <c r="D617" s="33"/>
      <c r="E617" s="55" t="s">
        <v>387</v>
      </c>
      <c r="F617" s="69">
        <f>8.4*17</f>
        <v>142.80000000000001</v>
      </c>
      <c r="G617" s="68"/>
      <c r="H617" s="54"/>
      <c r="I617" s="54"/>
      <c r="J617" s="54"/>
    </row>
    <row r="618" spans="1:10">
      <c r="A618" s="80"/>
      <c r="B618" s="75"/>
      <c r="C618" s="75"/>
      <c r="D618" s="33"/>
      <c r="E618" s="60"/>
      <c r="F618" s="60"/>
      <c r="G618" s="68"/>
      <c r="H618" s="54"/>
      <c r="I618" s="54"/>
      <c r="J618" s="54"/>
    </row>
    <row r="619" spans="1:10" ht="25.5">
      <c r="A619" s="24">
        <f>MAX(A$1:A618)+1</f>
        <v>81</v>
      </c>
      <c r="B619" s="75"/>
      <c r="C619" s="32" t="s">
        <v>509</v>
      </c>
      <c r="D619" s="33"/>
      <c r="E619" s="34" t="s">
        <v>510</v>
      </c>
      <c r="F619" s="35"/>
      <c r="G619" s="36" t="s">
        <v>5</v>
      </c>
      <c r="H619" s="61">
        <v>111.09</v>
      </c>
      <c r="I619" s="259"/>
      <c r="J619" s="61">
        <f t="shared" si="9"/>
        <v>0</v>
      </c>
    </row>
    <row r="620" spans="1:10" ht="25.5">
      <c r="A620" s="80"/>
      <c r="B620" s="75"/>
      <c r="C620" s="64"/>
      <c r="D620" s="65" t="s">
        <v>511</v>
      </c>
      <c r="E620" s="66" t="s">
        <v>512</v>
      </c>
      <c r="F620" s="67"/>
      <c r="G620" s="68" t="s">
        <v>5</v>
      </c>
      <c r="H620" s="54">
        <v>111.09</v>
      </c>
      <c r="I620" s="54"/>
      <c r="J620" s="54"/>
    </row>
    <row r="621" spans="1:10">
      <c r="A621" s="80"/>
      <c r="B621" s="75"/>
      <c r="C621" s="75"/>
      <c r="D621" s="33"/>
      <c r="E621" s="55" t="s">
        <v>518</v>
      </c>
      <c r="F621" s="60"/>
      <c r="G621" s="68"/>
      <c r="H621" s="54"/>
      <c r="I621" s="54"/>
      <c r="J621" s="54"/>
    </row>
    <row r="622" spans="1:10">
      <c r="A622" s="80"/>
      <c r="B622" s="75"/>
      <c r="C622" s="75"/>
      <c r="D622" s="33"/>
      <c r="E622" s="55" t="s">
        <v>521</v>
      </c>
      <c r="F622" s="69">
        <f xml:space="preserve"> 7.9*2.5+5.7*2</f>
        <v>31.15</v>
      </c>
      <c r="G622" s="68"/>
      <c r="H622" s="54"/>
      <c r="I622" s="54"/>
      <c r="J622" s="54"/>
    </row>
    <row r="623" spans="1:10">
      <c r="A623" s="80"/>
      <c r="B623" s="75"/>
      <c r="C623" s="75"/>
      <c r="D623" s="33"/>
      <c r="E623" s="55" t="s">
        <v>519</v>
      </c>
      <c r="F623" s="69">
        <f xml:space="preserve"> (7.4+1.2)*2*2.7</f>
        <v>46.44</v>
      </c>
      <c r="G623" s="68"/>
      <c r="H623" s="54"/>
      <c r="I623" s="54"/>
      <c r="J623" s="54"/>
    </row>
    <row r="624" spans="1:10">
      <c r="A624" s="80"/>
      <c r="B624" s="75"/>
      <c r="C624" s="75"/>
      <c r="D624" s="33"/>
      <c r="E624" s="55" t="s">
        <v>522</v>
      </c>
      <c r="F624" s="70">
        <f xml:space="preserve"> 8.2*2.5+6.5*2</f>
        <v>33.5</v>
      </c>
      <c r="G624" s="68"/>
      <c r="H624" s="54"/>
      <c r="I624" s="54"/>
      <c r="J624" s="54"/>
    </row>
    <row r="625" spans="1:10">
      <c r="A625" s="80"/>
      <c r="B625" s="75"/>
      <c r="C625" s="75"/>
      <c r="D625" s="33"/>
      <c r="E625" s="57" t="s">
        <v>159</v>
      </c>
      <c r="F625" s="69">
        <f>SUM(F622:F624)</f>
        <v>111.09</v>
      </c>
      <c r="G625" s="68"/>
      <c r="H625" s="54"/>
      <c r="I625" s="54"/>
      <c r="J625" s="54"/>
    </row>
    <row r="626" spans="1:10">
      <c r="A626" s="80"/>
      <c r="B626" s="75"/>
      <c r="C626" s="75"/>
      <c r="D626" s="33"/>
      <c r="E626" s="60"/>
      <c r="F626" s="60"/>
      <c r="G626" s="68"/>
      <c r="H626" s="54"/>
      <c r="I626" s="54"/>
      <c r="J626" s="54"/>
    </row>
    <row r="627" spans="1:10" ht="25.5">
      <c r="A627" s="24">
        <f>MAX(A$1:A626)+1</f>
        <v>82</v>
      </c>
      <c r="B627" s="75"/>
      <c r="C627" s="32" t="s">
        <v>513</v>
      </c>
      <c r="D627" s="64"/>
      <c r="E627" s="34" t="s">
        <v>514</v>
      </c>
      <c r="F627" s="35"/>
      <c r="G627" s="36" t="s">
        <v>5</v>
      </c>
      <c r="H627" s="61">
        <v>111.09</v>
      </c>
      <c r="I627" s="259"/>
      <c r="J627" s="61">
        <f t="shared" si="9"/>
        <v>0</v>
      </c>
    </row>
    <row r="628" spans="1:10" ht="38.25">
      <c r="A628" s="80"/>
      <c r="B628" s="75"/>
      <c r="C628" s="75"/>
      <c r="D628" s="65" t="s">
        <v>515</v>
      </c>
      <c r="E628" s="84" t="s">
        <v>516</v>
      </c>
      <c r="F628" s="84"/>
      <c r="G628" s="68" t="s">
        <v>5</v>
      </c>
      <c r="H628" s="54">
        <v>111.09</v>
      </c>
      <c r="I628" s="54"/>
      <c r="J628" s="54"/>
    </row>
    <row r="629" spans="1:10" ht="25.5">
      <c r="A629" s="80"/>
      <c r="B629" s="75"/>
      <c r="C629" s="75"/>
      <c r="D629" s="33"/>
      <c r="E629" s="55" t="s">
        <v>520</v>
      </c>
      <c r="F629" s="60"/>
      <c r="G629" s="68"/>
      <c r="H629" s="54"/>
      <c r="I629" s="54"/>
      <c r="J629" s="54"/>
    </row>
    <row r="630" spans="1:10">
      <c r="A630" s="80"/>
      <c r="B630" s="75"/>
      <c r="C630" s="75"/>
      <c r="D630" s="33"/>
      <c r="E630" s="55" t="s">
        <v>521</v>
      </c>
      <c r="F630" s="69">
        <f xml:space="preserve"> 7.9*2.5+5.7*2</f>
        <v>31.15</v>
      </c>
      <c r="G630" s="68"/>
      <c r="H630" s="54"/>
      <c r="I630" s="54"/>
      <c r="J630" s="54"/>
    </row>
    <row r="631" spans="1:10">
      <c r="A631" s="80"/>
      <c r="B631" s="75"/>
      <c r="C631" s="75"/>
      <c r="D631" s="33"/>
      <c r="E631" s="55" t="s">
        <v>519</v>
      </c>
      <c r="F631" s="69">
        <f xml:space="preserve"> (7.4+1.2)*2*2.7</f>
        <v>46.44</v>
      </c>
      <c r="G631" s="68"/>
      <c r="H631" s="54"/>
      <c r="I631" s="54"/>
      <c r="J631" s="54"/>
    </row>
    <row r="632" spans="1:10">
      <c r="A632" s="80"/>
      <c r="B632" s="75"/>
      <c r="C632" s="75"/>
      <c r="D632" s="33"/>
      <c r="E632" s="55" t="s">
        <v>522</v>
      </c>
      <c r="F632" s="70">
        <f xml:space="preserve"> 8.2*2.5+6.5*2</f>
        <v>33.5</v>
      </c>
      <c r="G632" s="68"/>
      <c r="H632" s="54"/>
      <c r="I632" s="54"/>
      <c r="J632" s="54"/>
    </row>
    <row r="633" spans="1:10">
      <c r="A633" s="80"/>
      <c r="B633" s="75"/>
      <c r="C633" s="75"/>
      <c r="D633" s="33"/>
      <c r="E633" s="57" t="s">
        <v>159</v>
      </c>
      <c r="F633" s="69">
        <f>SUM(F630:F632)</f>
        <v>111.09</v>
      </c>
      <c r="G633" s="68"/>
      <c r="H633" s="54"/>
      <c r="I633" s="54"/>
      <c r="J633" s="54"/>
    </row>
    <row r="634" spans="1:10">
      <c r="A634" s="80"/>
      <c r="B634" s="75"/>
      <c r="C634" s="75"/>
      <c r="D634" s="33"/>
      <c r="E634" s="60"/>
      <c r="F634" s="60"/>
      <c r="G634" s="68"/>
      <c r="H634" s="54"/>
      <c r="I634" s="54"/>
      <c r="J634" s="54"/>
    </row>
    <row r="635" spans="1:10">
      <c r="A635" s="80"/>
      <c r="B635" s="81"/>
      <c r="C635" s="82"/>
      <c r="D635" s="83"/>
      <c r="E635" s="84"/>
      <c r="F635" s="85"/>
      <c r="G635" s="39"/>
      <c r="H635" s="54"/>
      <c r="I635" s="54"/>
      <c r="J635" s="54"/>
    </row>
    <row r="636" spans="1:10" ht="25.5">
      <c r="A636" s="80"/>
      <c r="B636" s="75" t="s">
        <v>74</v>
      </c>
      <c r="C636" s="75"/>
      <c r="D636" s="33"/>
      <c r="E636" s="60" t="s">
        <v>75</v>
      </c>
      <c r="F636" s="98"/>
      <c r="G636" s="39"/>
      <c r="H636" s="54"/>
      <c r="I636" s="54"/>
      <c r="J636" s="54"/>
    </row>
    <row r="637" spans="1:10">
      <c r="A637" s="80"/>
      <c r="B637" s="81"/>
      <c r="C637" s="82"/>
      <c r="D637" s="83"/>
      <c r="E637" s="84"/>
      <c r="F637" s="98"/>
      <c r="G637" s="39"/>
      <c r="H637" s="54"/>
      <c r="I637" s="54"/>
      <c r="J637" s="54"/>
    </row>
    <row r="638" spans="1:10">
      <c r="A638" s="24">
        <f>MAX(A$1:A637)+1</f>
        <v>83</v>
      </c>
      <c r="B638" s="81"/>
      <c r="C638" s="32" t="s">
        <v>23</v>
      </c>
      <c r="D638" s="33"/>
      <c r="E638" s="34" t="s">
        <v>24</v>
      </c>
      <c r="F638" s="35"/>
      <c r="G638" s="36" t="s">
        <v>5</v>
      </c>
      <c r="H638" s="61">
        <v>142.80000000000001</v>
      </c>
      <c r="I638" s="259"/>
      <c r="J638" s="61">
        <f t="shared" si="9"/>
        <v>0</v>
      </c>
    </row>
    <row r="639" spans="1:10" ht="25.5">
      <c r="A639" s="80"/>
      <c r="B639" s="81"/>
      <c r="C639" s="82"/>
      <c r="D639" s="65" t="s">
        <v>25</v>
      </c>
      <c r="E639" s="66" t="s">
        <v>26</v>
      </c>
      <c r="F639" s="67"/>
      <c r="G639" s="68" t="s">
        <v>5</v>
      </c>
      <c r="H639" s="54">
        <v>142.80000000000001</v>
      </c>
      <c r="I639" s="54"/>
      <c r="J639" s="54"/>
    </row>
    <row r="640" spans="1:10">
      <c r="A640" s="80"/>
      <c r="B640" s="81"/>
      <c r="C640" s="82"/>
      <c r="D640" s="65"/>
      <c r="E640" s="55" t="s">
        <v>184</v>
      </c>
      <c r="F640" s="69"/>
      <c r="G640" s="68"/>
      <c r="H640" s="54"/>
      <c r="I640" s="54"/>
      <c r="J640" s="54"/>
    </row>
    <row r="641" spans="1:10">
      <c r="A641" s="80"/>
      <c r="B641" s="81"/>
      <c r="C641" s="82"/>
      <c r="D641" s="65"/>
      <c r="E641" s="55" t="s">
        <v>387</v>
      </c>
      <c r="F641" s="69">
        <f>8.4*17</f>
        <v>142.80000000000001</v>
      </c>
      <c r="G641" s="68"/>
      <c r="H641" s="54"/>
      <c r="I641" s="54"/>
      <c r="J641" s="54"/>
    </row>
    <row r="642" spans="1:10" ht="13.5" thickBot="1">
      <c r="A642" s="107"/>
      <c r="B642" s="108"/>
      <c r="C642" s="109"/>
      <c r="D642" s="110"/>
      <c r="E642" s="111"/>
      <c r="F642" s="112"/>
      <c r="G642" s="113"/>
      <c r="H642" s="114"/>
      <c r="I642" s="114"/>
      <c r="J642" s="114"/>
    </row>
    <row r="643" spans="1:10" s="120" customFormat="1" ht="13.5" thickBot="1">
      <c r="A643" s="116"/>
      <c r="B643" s="117"/>
      <c r="C643" s="117"/>
      <c r="D643" s="117"/>
      <c r="E643" s="117" t="s">
        <v>604</v>
      </c>
      <c r="F643" s="118"/>
      <c r="G643" s="117"/>
      <c r="H643" s="118"/>
      <c r="I643" s="118"/>
      <c r="J643" s="119">
        <f>SUM(J5:J642)</f>
        <v>0</v>
      </c>
    </row>
  </sheetData>
  <sheetProtection algorithmName="SHA-512" hashValue="8TticqYXQQFviA/AXc78onH/rDhttSHdk0NT+8cmhyN4L2Z2kqU/9QE8bXrilaH1buApW2p1pCv8S7lO8GNJ4g==" saltValue="OUTWZgWrMwRGkUOKZ6kN8Q==" spinCount="100000" sheet="1" objects="1" scenarios="1"/>
  <mergeCells count="6">
    <mergeCell ref="J3:J4"/>
    <mergeCell ref="A3:C3"/>
    <mergeCell ref="E3:F4"/>
    <mergeCell ref="G3:G4"/>
    <mergeCell ref="H3:H4"/>
    <mergeCell ref="I3:I4"/>
  </mergeCells>
  <pageMargins left="0.39370078740157483" right="0.19685039370078741" top="0.98425196850393704" bottom="0.98425196850393704" header="0.51181102362204722" footer="0.51181102362204722"/>
  <pageSetup paperSize="9" scale="72" orientation="portrait" r:id="rId1"/>
  <headerFooter>
    <oddHeader>&amp;LNÁZOV STAVIEB : Rekonštrukcia a obnova mostov na cestách III. triedy BBSK, oblasť JUH
STAVBA : Most ev. č. 2561-5, C III/2561 v km 9,116 – Kráľovce-Krnišov&amp;RO. Výkaz výmer a rozpočet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5</vt:i4>
      </vt:variant>
    </vt:vector>
  </HeadingPairs>
  <TitlesOfParts>
    <vt:vector size="9" baseType="lpstr">
      <vt:lpstr>Rekapitulácia</vt:lpstr>
      <vt:lpstr>Rekapitulácia objektov</vt:lpstr>
      <vt:lpstr>001-00</vt:lpstr>
      <vt:lpstr>203-00</vt:lpstr>
      <vt:lpstr>'001-00'!Názvy_tlače</vt:lpstr>
      <vt:lpstr>'203-00'!Názvy_tlače</vt:lpstr>
      <vt:lpstr>'Rekapitulácia objektov'!Názvy_tlače</vt:lpstr>
      <vt:lpstr>'001-00'!Oblasť_tlače</vt:lpstr>
      <vt:lpstr>'203-00'!Oblasť_tlače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Ažaltovičová Alena Ing.</dc:creator>
  <cp:lastModifiedBy>Hornáček Peter Ing.</cp:lastModifiedBy>
  <cp:lastPrinted>2023-11-15T09:14:43Z</cp:lastPrinted>
  <dcterms:created xsi:type="dcterms:W3CDTF">2006-07-18T11:06:48Z</dcterms:created>
  <dcterms:modified xsi:type="dcterms:W3CDTF">2023-11-15T09:22:58Z</dcterms:modified>
</cp:coreProperties>
</file>