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5300\40000\ODBOR MOSTOV\Oprava diaľ.mosta EV.Č.D1-073 Hlohovec_P-most\1v DMS Pripomienky\"/>
    </mc:Choice>
  </mc:AlternateContent>
  <bookViews>
    <workbookView xWindow="0" yWindow="0" windowWidth="24000" windowHeight="14820" activeTab="1"/>
  </bookViews>
  <sheets>
    <sheet name="Rekapitulácia stavby" sheetId="12" r:id="rId1"/>
    <sheet name="Súpis prác+Všeobecné položky" sheetId="11" r:id="rId2"/>
    <sheet name="Časti stavby" sheetId="10" r:id="rId3"/>
    <sheet name=" výkaz D1-073" sheetId="9" r:id="rId4"/>
  </sheets>
  <definedNames>
    <definedName name="_xlnm._FilterDatabase" localSheetId="3" hidden="1">' výkaz D1-073'!$A$1:$A$698</definedName>
    <definedName name="_xlnm.Print_Titles" localSheetId="3">' výkaz D1-073'!$1:$4</definedName>
    <definedName name="_xlnm.Print_Titles" localSheetId="2">'Časti stavby'!$1:$3</definedName>
    <definedName name="_xlnm.Print_Titles" localSheetId="1">'Súpis prác+Všeobecné položky'!$1:$3</definedName>
    <definedName name="_xlnm.Print_Area" localSheetId="2">'Časti stavby'!$A$1:$J$110</definedName>
  </definedNames>
  <calcPr calcId="162913"/>
</workbook>
</file>

<file path=xl/calcChain.xml><?xml version="1.0" encoding="utf-8"?>
<calcChain xmlns="http://schemas.openxmlformats.org/spreadsheetml/2006/main">
  <c r="J13" i="10" l="1"/>
  <c r="J28" i="11" l="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95" i="11"/>
  <c r="J96" i="11"/>
  <c r="J97" i="11"/>
  <c r="J98" i="11"/>
  <c r="J99" i="11"/>
  <c r="J100" i="11"/>
  <c r="J101" i="11"/>
  <c r="J102" i="11"/>
  <c r="J103" i="11"/>
  <c r="J104" i="11"/>
  <c r="J105" i="11"/>
  <c r="J19" i="11"/>
  <c r="J20" i="11"/>
  <c r="J21" i="11"/>
  <c r="J22" i="11"/>
  <c r="J23" i="11"/>
  <c r="J24" i="11"/>
  <c r="J25" i="11"/>
  <c r="J26" i="11"/>
  <c r="J27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4" i="11"/>
  <c r="F612" i="9" l="1"/>
  <c r="I95" i="10" l="1"/>
  <c r="J95" i="10" s="1"/>
  <c r="I94" i="10"/>
  <c r="J94" i="10" s="1"/>
  <c r="I93" i="10"/>
  <c r="J93" i="10" s="1"/>
  <c r="I92" i="10"/>
  <c r="J92" i="10" s="1"/>
  <c r="F626" i="9"/>
  <c r="F624" i="9"/>
  <c r="F620" i="9"/>
  <c r="F616" i="9"/>
  <c r="F251" i="9" l="1"/>
  <c r="F250" i="9"/>
  <c r="F252" i="9" s="1"/>
  <c r="F119" i="9"/>
  <c r="F120" i="9"/>
  <c r="F689" i="9" l="1"/>
  <c r="F696" i="9"/>
  <c r="F690" i="9"/>
  <c r="F577" i="9"/>
  <c r="F575" i="9"/>
  <c r="F149" i="9"/>
  <c r="F148" i="9"/>
  <c r="F576" i="9"/>
  <c r="F574" i="9"/>
  <c r="F567" i="9"/>
  <c r="F566" i="9"/>
  <c r="F173" i="9"/>
  <c r="F171" i="9"/>
  <c r="F41" i="9"/>
  <c r="F40" i="9"/>
  <c r="F691" i="9" l="1"/>
  <c r="F391" i="9"/>
  <c r="F207" i="9"/>
  <c r="F206" i="9"/>
  <c r="F192" i="9"/>
  <c r="F445" i="9"/>
  <c r="F305" i="9" l="1"/>
  <c r="F304" i="9"/>
  <c r="F299" i="9"/>
  <c r="F538" i="9" l="1"/>
  <c r="F198" i="9"/>
  <c r="F163" i="9" l="1"/>
  <c r="F162" i="9"/>
  <c r="F161" i="9"/>
  <c r="F160" i="9"/>
  <c r="F159" i="9"/>
  <c r="F156" i="9"/>
  <c r="F155" i="9"/>
  <c r="F154" i="9"/>
  <c r="F153" i="9"/>
  <c r="F164" i="9" l="1"/>
  <c r="F157" i="9"/>
  <c r="F97" i="9" l="1"/>
  <c r="I45" i="10" l="1"/>
  <c r="J45" i="10" s="1"/>
  <c r="I44" i="10"/>
  <c r="J44" i="10" s="1"/>
  <c r="I105" i="10"/>
  <c r="J105" i="10" s="1"/>
  <c r="I104" i="10"/>
  <c r="J104" i="10" s="1"/>
  <c r="I103" i="10"/>
  <c r="J103" i="10" s="1"/>
  <c r="I102" i="10"/>
  <c r="J102" i="10" s="1"/>
  <c r="I101" i="10"/>
  <c r="J101" i="10" s="1"/>
  <c r="I100" i="10"/>
  <c r="J100" i="10" s="1"/>
  <c r="I99" i="10"/>
  <c r="J99" i="10" s="1"/>
  <c r="I98" i="10"/>
  <c r="J98" i="10" s="1"/>
  <c r="I97" i="10"/>
  <c r="J97" i="10" s="1"/>
  <c r="I96" i="10"/>
  <c r="J96" i="10" s="1"/>
  <c r="I91" i="10"/>
  <c r="J91" i="10" s="1"/>
  <c r="I90" i="10"/>
  <c r="J90" i="10" s="1"/>
  <c r="I89" i="10"/>
  <c r="J89" i="10" s="1"/>
  <c r="I88" i="10"/>
  <c r="J88" i="10" s="1"/>
  <c r="I87" i="10"/>
  <c r="J87" i="10" s="1"/>
  <c r="I86" i="10"/>
  <c r="J86" i="10" s="1"/>
  <c r="I85" i="10"/>
  <c r="J85" i="10" s="1"/>
  <c r="I84" i="10"/>
  <c r="J84" i="10" s="1"/>
  <c r="I83" i="10"/>
  <c r="J83" i="10" s="1"/>
  <c r="I82" i="10"/>
  <c r="J82" i="10" s="1"/>
  <c r="I81" i="10"/>
  <c r="J81" i="10" s="1"/>
  <c r="I80" i="10"/>
  <c r="J80" i="10" s="1"/>
  <c r="I79" i="10"/>
  <c r="J79" i="10" s="1"/>
  <c r="I78" i="10"/>
  <c r="J78" i="10" s="1"/>
  <c r="I77" i="10"/>
  <c r="J77" i="10" s="1"/>
  <c r="I76" i="10"/>
  <c r="J76" i="10" s="1"/>
  <c r="I75" i="10"/>
  <c r="J75" i="10" s="1"/>
  <c r="I74" i="10"/>
  <c r="J74" i="10" s="1"/>
  <c r="I73" i="10"/>
  <c r="J73" i="10" s="1"/>
  <c r="I72" i="10"/>
  <c r="J72" i="10" s="1"/>
  <c r="I71" i="10"/>
  <c r="J71" i="10" s="1"/>
  <c r="I70" i="10"/>
  <c r="J70" i="10" s="1"/>
  <c r="I69" i="10"/>
  <c r="J69" i="10" s="1"/>
  <c r="I68" i="10"/>
  <c r="J68" i="10" s="1"/>
  <c r="I67" i="10"/>
  <c r="J67" i="10" s="1"/>
  <c r="I66" i="10"/>
  <c r="J66" i="10" s="1"/>
  <c r="I65" i="10"/>
  <c r="J65" i="10" s="1"/>
  <c r="I64" i="10"/>
  <c r="J64" i="10" s="1"/>
  <c r="I63" i="10"/>
  <c r="J63" i="10" s="1"/>
  <c r="I62" i="10"/>
  <c r="J62" i="10" s="1"/>
  <c r="I61" i="10"/>
  <c r="J61" i="10" s="1"/>
  <c r="I60" i="10"/>
  <c r="J60" i="10" s="1"/>
  <c r="I59" i="10"/>
  <c r="J59" i="10" s="1"/>
  <c r="I58" i="10"/>
  <c r="J58" i="10" s="1"/>
  <c r="I57" i="10"/>
  <c r="J57" i="10" s="1"/>
  <c r="I56" i="10"/>
  <c r="J56" i="10" s="1"/>
  <c r="I55" i="10"/>
  <c r="J55" i="10" s="1"/>
  <c r="I54" i="10"/>
  <c r="J54" i="10" s="1"/>
  <c r="I53" i="10"/>
  <c r="J53" i="10" s="1"/>
  <c r="I52" i="10"/>
  <c r="J52" i="10" s="1"/>
  <c r="I51" i="10"/>
  <c r="J51" i="10" s="1"/>
  <c r="I50" i="10"/>
  <c r="J50" i="10" s="1"/>
  <c r="I49" i="10"/>
  <c r="J49" i="10" s="1"/>
  <c r="I48" i="10"/>
  <c r="J48" i="10" s="1"/>
  <c r="I47" i="10"/>
  <c r="J47" i="10" s="1"/>
  <c r="I46" i="10"/>
  <c r="J46" i="10" s="1"/>
  <c r="I43" i="10"/>
  <c r="J43" i="10" s="1"/>
  <c r="I42" i="10"/>
  <c r="J42" i="10" s="1"/>
  <c r="I41" i="10"/>
  <c r="J41" i="10" s="1"/>
  <c r="I40" i="10"/>
  <c r="J40" i="10" s="1"/>
  <c r="I39" i="10"/>
  <c r="J39" i="10" s="1"/>
  <c r="I38" i="10"/>
  <c r="J38" i="10" s="1"/>
  <c r="I37" i="10"/>
  <c r="J37" i="10" s="1"/>
  <c r="I36" i="10"/>
  <c r="J36" i="10" s="1"/>
  <c r="I35" i="10"/>
  <c r="J35" i="10" s="1"/>
  <c r="I34" i="10"/>
  <c r="J34" i="10" s="1"/>
  <c r="I33" i="10"/>
  <c r="J33" i="10" s="1"/>
  <c r="I32" i="10"/>
  <c r="J32" i="10" s="1"/>
  <c r="I31" i="10"/>
  <c r="J31" i="10" s="1"/>
  <c r="I30" i="10"/>
  <c r="J30" i="10" s="1"/>
  <c r="I29" i="10"/>
  <c r="J29" i="10" s="1"/>
  <c r="I28" i="10"/>
  <c r="J28" i="10" s="1"/>
  <c r="I27" i="10"/>
  <c r="J27" i="10" s="1"/>
  <c r="I26" i="10"/>
  <c r="J26" i="10" s="1"/>
  <c r="I25" i="10"/>
  <c r="J25" i="10" s="1"/>
  <c r="I24" i="10"/>
  <c r="J24" i="10" s="1"/>
  <c r="I23" i="10"/>
  <c r="J23" i="10" s="1"/>
  <c r="I22" i="10"/>
  <c r="J22" i="10" s="1"/>
  <c r="I21" i="10"/>
  <c r="J21" i="10" s="1"/>
  <c r="I20" i="10"/>
  <c r="J20" i="10" s="1"/>
  <c r="I19" i="10"/>
  <c r="J19" i="10" s="1"/>
  <c r="I18" i="10"/>
  <c r="J18" i="10" s="1"/>
  <c r="I17" i="10"/>
  <c r="J17" i="10" s="1"/>
  <c r="I16" i="10"/>
  <c r="J16" i="10" s="1"/>
  <c r="I15" i="10"/>
  <c r="J15" i="10" s="1"/>
  <c r="I14" i="10"/>
  <c r="J14" i="10" s="1"/>
  <c r="I12" i="10"/>
  <c r="J12" i="10" s="1"/>
  <c r="I11" i="10"/>
  <c r="J11" i="10" s="1"/>
  <c r="I10" i="10"/>
  <c r="J10" i="10" s="1"/>
  <c r="I9" i="10"/>
  <c r="J9" i="10" s="1"/>
  <c r="I8" i="10"/>
  <c r="J8" i="10" s="1"/>
  <c r="I7" i="10"/>
  <c r="J7" i="10" s="1"/>
  <c r="I6" i="10"/>
  <c r="J6" i="10" s="1"/>
  <c r="I5" i="10"/>
  <c r="J5" i="10" s="1"/>
  <c r="I4" i="10"/>
  <c r="J4" i="10" s="1"/>
  <c r="J107" i="11" l="1"/>
  <c r="J108" i="11" s="1"/>
  <c r="J109" i="11" s="1"/>
  <c r="F695" i="9" l="1"/>
  <c r="F697" i="9" s="1"/>
  <c r="F683" i="9"/>
  <c r="F682" i="9"/>
  <c r="F674" i="9"/>
  <c r="F673" i="9"/>
  <c r="F672" i="9"/>
  <c r="F670" i="9"/>
  <c r="F666" i="9"/>
  <c r="F661" i="9"/>
  <c r="F660" i="9"/>
  <c r="F658" i="9"/>
  <c r="F654" i="9"/>
  <c r="F647" i="9"/>
  <c r="F636" i="9"/>
  <c r="F608" i="9"/>
  <c r="F600" i="9"/>
  <c r="F598" i="9"/>
  <c r="F593" i="9"/>
  <c r="F592" i="9"/>
  <c r="F588" i="9"/>
  <c r="F565" i="9"/>
  <c r="F558" i="9"/>
  <c r="F554" i="9"/>
  <c r="F550" i="9"/>
  <c r="F547" i="9"/>
  <c r="F540" i="9"/>
  <c r="F539" i="9"/>
  <c r="F534" i="9"/>
  <c r="F525" i="9"/>
  <c r="F519" i="9"/>
  <c r="F514" i="9"/>
  <c r="F509" i="9"/>
  <c r="F502" i="9"/>
  <c r="F501" i="9"/>
  <c r="F500" i="9"/>
  <c r="F499" i="9"/>
  <c r="F496" i="9"/>
  <c r="F495" i="9"/>
  <c r="F491" i="9"/>
  <c r="F487" i="9"/>
  <c r="F482" i="9"/>
  <c r="F481" i="9"/>
  <c r="F477" i="9"/>
  <c r="F468" i="9"/>
  <c r="F467" i="9"/>
  <c r="F466" i="9"/>
  <c r="F438" i="9"/>
  <c r="F437" i="9"/>
  <c r="F434" i="9"/>
  <c r="F423" i="9"/>
  <c r="F418" i="9"/>
  <c r="F413" i="9"/>
  <c r="F403" i="9"/>
  <c r="F398" i="9"/>
  <c r="F394" i="9"/>
  <c r="F384" i="9"/>
  <c r="F378" i="9"/>
  <c r="F366" i="9"/>
  <c r="F359" i="9"/>
  <c r="F354" i="9"/>
  <c r="F350" i="9"/>
  <c r="F340" i="9"/>
  <c r="F343" i="9" s="1"/>
  <c r="F336" i="9"/>
  <c r="F331" i="9"/>
  <c r="F330" i="9"/>
  <c r="F329" i="9"/>
  <c r="F324" i="9"/>
  <c r="F323" i="9"/>
  <c r="F322" i="9"/>
  <c r="F319" i="9"/>
  <c r="F318" i="9"/>
  <c r="F317" i="9"/>
  <c r="F316" i="9"/>
  <c r="F312" i="9"/>
  <c r="F300" i="9"/>
  <c r="F294" i="9"/>
  <c r="F290" i="9"/>
  <c r="F285" i="9"/>
  <c r="F284" i="9"/>
  <c r="F283" i="9"/>
  <c r="F277" i="9"/>
  <c r="F270" i="9"/>
  <c r="F269" i="9"/>
  <c r="F268" i="9"/>
  <c r="F262" i="9"/>
  <c r="F264" i="9" s="1"/>
  <c r="F260" i="9"/>
  <c r="F256" i="9"/>
  <c r="F247" i="9"/>
  <c r="F246" i="9"/>
  <c r="F216" i="9"/>
  <c r="F215" i="9"/>
  <c r="F213" i="9"/>
  <c r="F201" i="9"/>
  <c r="F200" i="9"/>
  <c r="F199" i="9"/>
  <c r="F197" i="9"/>
  <c r="F196" i="9"/>
  <c r="F178" i="9"/>
  <c r="F172" i="9"/>
  <c r="F147" i="9"/>
  <c r="F146" i="9"/>
  <c r="F145" i="9"/>
  <c r="F134" i="9"/>
  <c r="F133" i="9"/>
  <c r="F130" i="9"/>
  <c r="F127" i="9"/>
  <c r="F126" i="9"/>
  <c r="F125" i="9"/>
  <c r="F118" i="9"/>
  <c r="F117" i="9"/>
  <c r="F99" i="9"/>
  <c r="F90" i="9"/>
  <c r="F92" i="9" s="1"/>
  <c r="F82" i="9"/>
  <c r="F81" i="9"/>
  <c r="F76" i="9"/>
  <c r="F72" i="9"/>
  <c r="F67" i="9"/>
  <c r="F68" i="9" s="1"/>
  <c r="F64" i="9"/>
  <c r="F63" i="9"/>
  <c r="F55" i="9"/>
  <c r="F53" i="9"/>
  <c r="F52" i="9"/>
  <c r="F51" i="9"/>
  <c r="F50" i="9"/>
  <c r="F43" i="9"/>
  <c r="F42" i="9"/>
  <c r="F20" i="9"/>
  <c r="A7" i="9"/>
  <c r="F202" i="9" l="1"/>
  <c r="F233" i="9" s="1"/>
  <c r="F662" i="9"/>
  <c r="F684" i="9"/>
  <c r="F139" i="9"/>
  <c r="F399" i="9"/>
  <c r="F128" i="9"/>
  <c r="F107" i="9"/>
  <c r="F111" i="9" s="1"/>
  <c r="F325" i="9"/>
  <c r="F483" i="9"/>
  <c r="F527" i="9"/>
  <c r="F86" i="9"/>
  <c r="F306" i="9"/>
  <c r="F286" i="9"/>
  <c r="F65" i="9"/>
  <c r="F271" i="9"/>
  <c r="F174" i="9"/>
  <c r="F184" i="9" s="1"/>
  <c r="F248" i="9"/>
  <c r="F578" i="9"/>
  <c r="F150" i="9"/>
  <c r="F217" i="9"/>
  <c r="F239" i="9" s="1"/>
  <c r="F332" i="9"/>
  <c r="F372" i="9"/>
  <c r="F497" i="9"/>
  <c r="F541" i="9"/>
  <c r="F594" i="9"/>
  <c r="F44" i="9"/>
  <c r="F121" i="9"/>
  <c r="F208" i="9"/>
  <c r="F601" i="9"/>
  <c r="F469" i="9"/>
  <c r="F503" i="9"/>
  <c r="F675" i="9"/>
  <c r="F56" i="9"/>
  <c r="F320" i="9"/>
  <c r="F419" i="9"/>
  <c r="F69" i="9"/>
  <c r="F385" i="9"/>
  <c r="F570" i="9"/>
  <c r="A9" i="9"/>
  <c r="A11" i="9" s="1"/>
  <c r="F182" i="9"/>
  <c r="F439" i="9"/>
  <c r="F589" i="9"/>
  <c r="F590" i="9" s="1"/>
  <c r="F530" i="9" l="1"/>
  <c r="F228" i="9"/>
  <c r="F234" i="9"/>
  <c r="A13" i="9"/>
  <c r="F235" i="9" l="1"/>
  <c r="F224" i="9" s="1"/>
  <c r="A22" i="9"/>
  <c r="A25" i="9" s="1"/>
  <c r="A28" i="9" l="1"/>
  <c r="J106" i="10" l="1"/>
  <c r="J108" i="10" s="1"/>
  <c r="E4" i="12" s="1"/>
  <c r="A30" i="9"/>
  <c r="J109" i="10" l="1"/>
  <c r="J110" i="10" s="1"/>
  <c r="E5" i="12"/>
  <c r="F4" i="12"/>
  <c r="F5" i="12" s="1"/>
  <c r="A32" i="9"/>
  <c r="A39" i="9" s="1"/>
  <c r="G4" i="12" l="1"/>
  <c r="G5" i="12" s="1"/>
  <c r="A46" i="9"/>
  <c r="A49" i="9" s="1"/>
  <c r="A58" i="9" l="1"/>
  <c r="A61" i="9" s="1"/>
  <c r="A70" i="9" l="1"/>
  <c r="A74" i="9" s="1"/>
  <c r="A78" i="9" s="1"/>
  <c r="A88" i="9" l="1"/>
  <c r="A94" i="9" s="1"/>
  <c r="A113" i="9" l="1"/>
  <c r="A123" i="9" s="1"/>
  <c r="A132" i="9" s="1"/>
  <c r="A141" i="9" s="1"/>
  <c r="A169" i="9" s="1"/>
  <c r="A176" i="9" s="1"/>
  <c r="A180" i="9" s="1"/>
  <c r="A190" i="9" s="1"/>
  <c r="A194" i="9" s="1"/>
  <c r="A204" i="9" l="1"/>
  <c r="A222" i="9"/>
  <c r="A210" i="9" l="1"/>
  <c r="A226" i="9"/>
  <c r="A230" i="9" s="1"/>
  <c r="A237" i="9" s="1"/>
  <c r="A244" i="9" s="1"/>
  <c r="A254" i="9" s="1"/>
  <c r="A258" i="9" s="1"/>
  <c r="A266" i="9" s="1"/>
  <c r="A272" i="9" s="1"/>
  <c r="A281" i="9" s="1"/>
  <c r="A288" i="9" s="1"/>
  <c r="A292" i="9" s="1"/>
  <c r="A296" i="9" s="1"/>
  <c r="A302" i="9" s="1"/>
  <c r="A308" i="9" s="1"/>
  <c r="A314" i="9" s="1"/>
  <c r="A327" i="9" s="1"/>
  <c r="A334" i="9" s="1"/>
  <c r="A338" i="9" s="1"/>
  <c r="A352" i="9" s="1"/>
  <c r="A357" i="9" s="1"/>
  <c r="A374" i="9" s="1"/>
  <c r="A388" i="9" s="1"/>
  <c r="A393" i="9" s="1"/>
  <c r="A401" i="9" s="1"/>
  <c r="A406" i="9" s="1"/>
  <c r="A421" i="9" s="1"/>
  <c r="A425" i="9" s="1"/>
  <c r="A432" i="9" s="1"/>
  <c r="A436" i="9" s="1"/>
  <c r="A444" i="9" s="1"/>
  <c r="A450" i="9" s="1"/>
  <c r="A454" i="9" s="1"/>
  <c r="A458" i="9" s="1"/>
  <c r="A464" i="9" s="1"/>
  <c r="A471" i="9" s="1"/>
  <c r="A475" i="9" s="1"/>
  <c r="A479" i="9" s="1"/>
  <c r="A485" i="9" s="1"/>
  <c r="A489" i="9" s="1"/>
  <c r="A493" i="9" s="1"/>
  <c r="A505" i="9" s="1"/>
  <c r="A511" i="9" s="1"/>
  <c r="A516" i="9" s="1"/>
  <c r="A522" i="9" s="1"/>
  <c r="A532" i="9" s="1"/>
  <c r="A536" i="9" s="1"/>
  <c r="A546" i="9" s="1"/>
  <c r="A549" i="9" s="1"/>
  <c r="A552" i="9" l="1"/>
  <c r="A556" i="9" l="1"/>
  <c r="A563" i="9" l="1"/>
  <c r="A572" i="9" s="1"/>
  <c r="A580" i="9" l="1"/>
  <c r="A586" i="9" s="1"/>
  <c r="A596" i="9" s="1"/>
  <c r="A606" i="9" l="1"/>
  <c r="A610" i="9" s="1"/>
  <c r="A614" i="9" l="1"/>
  <c r="A618" i="9" l="1"/>
  <c r="A622" i="9" l="1"/>
  <c r="A631" i="9" s="1"/>
  <c r="A641" i="9" s="1"/>
  <c r="A645" i="9" s="1"/>
  <c r="A652" i="9" s="1"/>
  <c r="A656" i="9" s="1"/>
  <c r="A664" i="9" s="1"/>
  <c r="A668" i="9" s="1"/>
  <c r="A680" i="9" s="1"/>
  <c r="A686" i="9" s="1"/>
  <c r="A693" i="9" s="1"/>
</calcChain>
</file>

<file path=xl/sharedStrings.xml><?xml version="1.0" encoding="utf-8"?>
<sst xmlns="http://schemas.openxmlformats.org/spreadsheetml/2006/main" count="1749" uniqueCount="740">
  <si>
    <t>45.00.00</t>
  </si>
  <si>
    <t>Doprava vybúraných hmôt vodorovná</t>
  </si>
  <si>
    <t>ČASŤ STAVBY :</t>
  </si>
  <si>
    <t>KS:</t>
  </si>
  <si>
    <t>POLOŽKA</t>
  </si>
  <si>
    <t>VÝKAZ VÝMER</t>
  </si>
  <si>
    <t>M.J.</t>
  </si>
  <si>
    <t>MNOŽ.</t>
  </si>
  <si>
    <t>Č.</t>
  </si>
  <si>
    <t>KÓD SP</t>
  </si>
  <si>
    <t>KÓD SPP</t>
  </si>
  <si>
    <t>t</t>
  </si>
  <si>
    <t>ks</t>
  </si>
  <si>
    <t>45.11.11</t>
  </si>
  <si>
    <t>m2</t>
  </si>
  <si>
    <t>05030407</t>
  </si>
  <si>
    <t>m</t>
  </si>
  <si>
    <t>05080200</t>
  </si>
  <si>
    <t>0508020003</t>
  </si>
  <si>
    <t>m3</t>
  </si>
  <si>
    <t>Doplňujúce konštrukcie, zvodidlá oceľové</t>
  </si>
  <si>
    <t>22030330</t>
  </si>
  <si>
    <t>05090605</t>
  </si>
  <si>
    <t>Doplňujúce práce, otryskanie železobetónovej konštrukcie</t>
  </si>
  <si>
    <t>Izolácie proti vode a zemnej vlhkosti, mostoviek pásmi</t>
  </si>
  <si>
    <t>22030640</t>
  </si>
  <si>
    <t>Podkladné a krycie vrstvy z asfaltových zmesí, bitúmenové vrstvy, asfaltový betón</t>
  </si>
  <si>
    <t>00020803</t>
  </si>
  <si>
    <t>00010401</t>
  </si>
  <si>
    <t>Zmluvné požiadavky poplatky za skládky vybúraných hmôt a sutí</t>
  </si>
  <si>
    <t>00020801</t>
  </si>
  <si>
    <t>kpl</t>
  </si>
  <si>
    <t>05090462</t>
  </si>
  <si>
    <t>Doplňujúce práce, diamantové rezanie bitúmenového krytu, podkladu</t>
  </si>
  <si>
    <t>11050611</t>
  </si>
  <si>
    <t>Zvislé konštrukcie inžinierskych stavieb, rímsy, debnenie tradičné</t>
  </si>
  <si>
    <t>21250426</t>
  </si>
  <si>
    <t>21251161</t>
  </si>
  <si>
    <t>Doplňujúce konštrukcie, špeciálne pomocné, ošetrenie betonárskej výstuže</t>
  </si>
  <si>
    <t>22030643</t>
  </si>
  <si>
    <t>Podkladné a krycie vrstvy z asfaltových zmesí, bitúmenové vrstvy, asfaltový koberec drenážny</t>
  </si>
  <si>
    <t>Požiadavky objednávateľa ostatné požiadavky vypracovávania dokumentácie, dokumentácia DSRS - 3x v tlačenej forme  + 1x v digitálnej forme</t>
  </si>
  <si>
    <t>22030334</t>
  </si>
  <si>
    <t>13071613</t>
  </si>
  <si>
    <r>
      <rPr>
        <sz val="10"/>
        <rFont val="Arial CE"/>
        <family val="2"/>
        <charset val="238"/>
      </rPr>
      <t>Doprava vybúraných hmôt vodorovná, nad</t>
    </r>
    <r>
      <rPr>
        <sz val="10"/>
        <color rgb="FFFF0000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>1 km</t>
    </r>
  </si>
  <si>
    <t>05010405</t>
  </si>
  <si>
    <t>Búranie konštrukcií trámov, nosníkov, prievlakov, konzolových prvkov železobetónových</t>
  </si>
  <si>
    <t>Odstránenie spevnených plôch a vozoviek, zvislého dopravného značenia, kovových</t>
  </si>
  <si>
    <t>05090500</t>
  </si>
  <si>
    <t>Jadrové vŕtanie</t>
  </si>
  <si>
    <t>11050602</t>
  </si>
  <si>
    <t>Zvislé konštrukcie inžinierskych stavieb, rímsy z betónu železového</t>
  </si>
  <si>
    <t>11050621</t>
  </si>
  <si>
    <t>Zvislé konštrukcie inžinierskych stavieb, rímsy, výstuž z betonárskej ocele</t>
  </si>
  <si>
    <t>84010807</t>
  </si>
  <si>
    <t>Náter omietok a betónových povrchov, farba epoxidová</t>
  </si>
  <si>
    <t>84010816</t>
  </si>
  <si>
    <t>Náter omietok a betónových povrchov, impregnačný cementový náter</t>
  </si>
  <si>
    <t>8401081603</t>
  </si>
  <si>
    <t>Náter omietok a betónových povrchov, impregnačný cementový náter mostoviek</t>
  </si>
  <si>
    <t xml:space="preserve"> - spojovací náter zabezpečujúci spojenie pôvodného betónu</t>
  </si>
  <si>
    <t>Ochranné konštrukcie</t>
  </si>
  <si>
    <t>Pohyblivá pracovná plošina</t>
  </si>
  <si>
    <t>00020605</t>
  </si>
  <si>
    <t>22250671</t>
  </si>
  <si>
    <t>2225067101</t>
  </si>
  <si>
    <t>21250528</t>
  </si>
  <si>
    <t>Doplňujúce konštrukcie, mostné zábrany a ochrany, protidotykové zábrany</t>
  </si>
  <si>
    <t>05090205</t>
  </si>
  <si>
    <t>Doplňujúce práce, úprava stavebných konštrukcií vysokotlakým vodným lúčom železobetónových</t>
  </si>
  <si>
    <t>05030162</t>
  </si>
  <si>
    <t>0503016202</t>
  </si>
  <si>
    <t>Požiadavky objednávateľa ostatné požiadavky vypracovávania dokumentácie, dokumentácia DVP - 3x v tlačenej forme  + 1x v digitálnej forme</t>
  </si>
  <si>
    <t xml:space="preserve"> -  montážou a kotvením mechanickými kotvami M12 z nerezu</t>
  </si>
  <si>
    <t xml:space="preserve"> - so zatmelením pozdĺžnej medzery medzi povrchom chodníka a lemovacou doskou</t>
  </si>
  <si>
    <t>dodávka (farba 7040-okenná šedá) so spojovacími prvkami a  kotevnými pätkami z nerezu osadených do plastmalty</t>
  </si>
  <si>
    <t>Doplňujúce práce, diamantové rezanie bitúmenového krytu, podkladu hr. do 50 mm</t>
  </si>
  <si>
    <t>2203033004</t>
  </si>
  <si>
    <t>Podkladné a krycie vrstvy z asfaltových zmesí, bitúmenové postreky, nátery, posypy spojovací postrek</t>
  </si>
  <si>
    <t>Podkladné a krycie vrstvy z asfaltových zmesí, bitúmenové postreky, nátery, posypy spojovací postrek z modifikovanej emulzie</t>
  </si>
  <si>
    <t>Demolačné práce</t>
  </si>
  <si>
    <t>45.22.11</t>
  </si>
  <si>
    <t>Stavebné práce na mostoch</t>
  </si>
  <si>
    <t>2125052803</t>
  </si>
  <si>
    <t>45.23.32</t>
  </si>
  <si>
    <t>45.41.00</t>
  </si>
  <si>
    <t>Omietkarské práce</t>
  </si>
  <si>
    <t>45.44.20</t>
  </si>
  <si>
    <t>Nanášanie ochranných vrstiev - maliarske a natieračské práce</t>
  </si>
  <si>
    <t>0002060501</t>
  </si>
  <si>
    <t>0002060502</t>
  </si>
  <si>
    <t>22040852</t>
  </si>
  <si>
    <t>2204085202</t>
  </si>
  <si>
    <t>Vonkajšie povrchy vodor. konštrukcií, reprofilácia vodor. plôch maltou sanačnou</t>
  </si>
  <si>
    <t>0509046201</t>
  </si>
  <si>
    <t>13070910</t>
  </si>
  <si>
    <t>Vonkajšie povrchy vodor. konštrukcií, omietka šľachtená, z tekutej omietkovej zmesi</t>
  </si>
  <si>
    <t>Požiadavky objednávateľa ostatné požiadavky - vypracovávanie mostného zošita - 3x v tlačenej forme  + 1x v digitálnej forme</t>
  </si>
  <si>
    <t>KÓD CPV</t>
  </si>
  <si>
    <t xml:space="preserve">VŠEOBECNÉ POLOŽKY V PROCESE OBSTARÁVANIA STAVIEB  </t>
  </si>
  <si>
    <t>00010403</t>
  </si>
  <si>
    <t>Zmluvné požiadavky poplatky za skládky zeminy</t>
  </si>
  <si>
    <t>00010404</t>
  </si>
  <si>
    <t>Zmluvné požiadavky poplatky za skládky travín, krovia, mačiny, lesnej hrabanky</t>
  </si>
  <si>
    <t>Požiadavky objednávateľa pomocné práce zhotovovacie alebo zaisťovacie lešenia, ochranné konštrukcie</t>
  </si>
  <si>
    <r>
      <t xml:space="preserve"> - pohyblivé pracovné plošiny umožňujúce prístup dočasným protidotykovým prekážkam resp. vykonaniu sanačných prác na spodnej ploche nosnej konštrukcie a práce súvisiace s ochranou trakčného vedenia v zóne trakčného vedenia</t>
    </r>
    <r>
      <rPr>
        <i/>
        <sz val="10"/>
        <color rgb="FFFF0000"/>
        <rFont val="Arial CE"/>
        <charset val="238"/>
      </rPr>
      <t>.</t>
    </r>
  </si>
  <si>
    <t xml:space="preserve">  - dočasné protidotykové prekážky, ktoré nahradzujú pôvodné protidotykové prekážky a súčasne  chránia obojsmernú železničnú prevádzku pred padajúcimi predmetmi počas búracích a realizačných stavebných prác na pravej (hlohoveckej)  strane mosta resp. medzi pravým a ľavým mostom, ako aj umožňujú vykonanie sanácie bočnej steny krajných nosníkov I-73 nosnej konštrukcie pravého mosta. </t>
  </si>
  <si>
    <t xml:space="preserve"> - dočasné ochranné konštrukčné a bezpečnostné opatrenia zabraňujúce úrazom osôb a od pádu predmetov pod most resp. poranenia od abrazíva pri úprave povrchov </t>
  </si>
  <si>
    <t xml:space="preserve"> -  dočasná ochrana železničného zvršku ako aj trakčného vedenia pred poškodením resp. znečistením podľa druhu realizovaných prác.  Montáž, demontáž a zabezpečenie napäťovej a koľajovej výluky  pre jednotlivé etapy prác v potrebnom rozsahu pri každej výluke vrátane získania potrebných povolení.</t>
  </si>
  <si>
    <t>00020661</t>
  </si>
  <si>
    <t>Výluky na ŽSR</t>
  </si>
  <si>
    <t>Požiadavky objednávateľa ostatné požiadavky geodetické zabezpečenie - kontrolné merania</t>
  </si>
  <si>
    <t>Predrealizačné zameranie mosta a opravou dotknutej časti diaľnice. Zameranie nosnej konštrukcie nad podperami a v štvrtinách a v polovici rozpätí jednotlivých polí mosta po vybúraní vozovky, ríms a krídel. Dokumentácia kontrolných meraní počas výstavby a "0" zameranie pozorovaných bodov po výstavbe. 3x tlačenej a 1x v digitálnej forme</t>
  </si>
  <si>
    <t>00020804</t>
  </si>
  <si>
    <t>00020805</t>
  </si>
  <si>
    <t>05010504</t>
  </si>
  <si>
    <t>Búranie konštrukcií podláh, podkladov, dlažieb betónových</t>
  </si>
  <si>
    <t xml:space="preserve"> - vybúranie olemovania dlažby svahu pri opore 4 : 0,2*0,5*9,7</t>
  </si>
  <si>
    <t>05010205</t>
  </si>
  <si>
    <t>Búranie konštrukcií muriva, priečok, pilierov, prekladov železobetónových</t>
  </si>
  <si>
    <t xml:space="preserve"> - vybúranie prechodových  dosiek a časti záverných múrikov a dotknutých častí krídiel</t>
  </si>
  <si>
    <t xml:space="preserve"> - vybúranie monolitickej rímsy a revízneho chodníka  aj častí nad krídlami, vrátane kotevných prvkov, betónového žľabu pozdĺž revízneho chodníka a chráničiek zabudovaných v rímse : 0,69x69,7+0,38x63,8=67,87m3   </t>
  </si>
  <si>
    <t xml:space="preserve"> - vybúranie  vyrovnávacej bet. vrstvy nad nosnou konštrukciou : 63,6x(11,75+0,6+1,45)x0,04=0,35,11m3</t>
  </si>
  <si>
    <t xml:space="preserve"> - vybúranie nadbetonávky podkladného betónu opory č.4: 14*0,0484=0,68m3</t>
  </si>
  <si>
    <t xml:space="preserve"> - vybúranie časti podkladného betónu opory 4 : 5*0,142=0,71m3</t>
  </si>
  <si>
    <t xml:space="preserve"> - iné drobné búracie práce :</t>
  </si>
  <si>
    <t xml:space="preserve"> - rezerva z nerovností povrchu 10%: 0,1 x 107,45=10,75</t>
  </si>
  <si>
    <t>05020907</t>
  </si>
  <si>
    <t>Vybúranie, odstránenie konštrukcií, rôznych predmetov kovových</t>
  </si>
  <si>
    <t xml:space="preserve"> - demontáž časti MZ GHH A30 vo dvoch etapách,  vrátane odvozu  na skládku do 20 km (2ks á 5850 kg )</t>
  </si>
  <si>
    <t>Odstránenie spevnených plôch vozoviek a doplňujúcich konštrukcií krytov bitúmenových</t>
  </si>
  <si>
    <t>0503016201</t>
  </si>
  <si>
    <t>Odstránenie spevnených plôch a vozoviek, krytov bitúmenových hr.do 100 mm</t>
  </si>
  <si>
    <t xml:space="preserve"> - vybúranie obrusnej vrstvy vozovky pred a za mostom v dĺžke 50 m oblasti prechodových dosiek  hr. cca 40 mm : (2*50*11,75+2,5*7,55+4,2*4,255)=59,43 m2</t>
  </si>
  <si>
    <t xml:space="preserve"> - vybúranie izolácie a jej ochrany pod rímsou a revíznym chodníkom : 63,2*(1,1+1,9)=189,60 m2</t>
  </si>
  <si>
    <t>Odstránenie spevnených plôch a vozoviek, krytov bitúmenových hr. nad 100 do 200 mm</t>
  </si>
  <si>
    <t xml:space="preserve"> - vybúranie vozovky vrátane hydroizolácie na moste v štyroch rôznych etapách nad 100 do 200 mm : 63,2*(11,75-0,5)=717,19 m2</t>
  </si>
  <si>
    <t xml:space="preserve"> - rezerva na nerovnosti 10 % :</t>
  </si>
  <si>
    <t>05030263</t>
  </si>
  <si>
    <t>Odstránenie spevnených plôch vozoviek a doplňujúcich konštrukcií podkladov z kameniva ťaženého</t>
  </si>
  <si>
    <t>0503026304</t>
  </si>
  <si>
    <t>Odstránenie spevnených plôch vozoviek a doplňujúcich konštrukcií podkladov z kameniva ťaženého hr. nad 300 mm</t>
  </si>
  <si>
    <t xml:space="preserve"> - vybúranie vozovky vrátane hydroizolácie pred mostom v v oblasti prechodových dosiek : (11,75)*((9,8+16,8)/2+(16,7+9,6)/2))-2,5*7,55-4,2*4,255=274,04 m2</t>
  </si>
  <si>
    <t>05030264</t>
  </si>
  <si>
    <t>Odstránenie spevnených plôch vozoviek a doplňujúcich konštrukcií podkladov z kameniva hrubého drveného</t>
  </si>
  <si>
    <t>0503026404</t>
  </si>
  <si>
    <t xml:space="preserve">Odstránenie spevnených plôch vozoviek a doplňujúcich konštrukcií podkladov z kameniva hrubého drveného hr. nad 300 mm </t>
  </si>
  <si>
    <t>(11,75)*((9,8+16,8)/2+(16,7+9,6)/2))-2,5*7,55-4,2*4,255=274,04 m2</t>
  </si>
  <si>
    <t>Odstránenie spevnených plôch vozoviek a doplňujúcich konštrukcií zvodidiel, zábradlia, stien, oplotení kovových</t>
  </si>
  <si>
    <t xml:space="preserve"> - demontáž existujúcej protidotykovej prekážky 3x10,0 m</t>
  </si>
  <si>
    <t xml:space="preserve">   / s odvozom do zberných surovín-cca 2,0 t/</t>
  </si>
  <si>
    <t xml:space="preserve"> - jednoduché zvodidlo mostné : 69,7+2*15
   / s odvozom do zberných surovín-cca 3,9 t/</t>
  </si>
  <si>
    <t xml:space="preserve"> - oplotenie rýchlostnej cesty (na svahovom kuželi 2x30 m resp. pozdĺž zrkadla 67+2x2 t.j.  131 m) :
   / s odvozom do zberných surovín-cca 0,4 t/</t>
  </si>
  <si>
    <t xml:space="preserve"> - demontáž starého oceľového zábradlia: 69 m
   / s odvozom do zberných surovín-cca 2,75 t/</t>
  </si>
  <si>
    <t xml:space="preserve"> - demontáž oceľového odvodňovača po hornú plochu nosnej konštrukcie resp. vyčnievajúce časti odpadových rúr 8x0,5m
 / s odvozom do zberných surovín-cca 8x0,080 = 0,64 t/</t>
  </si>
  <si>
    <t>05030507</t>
  </si>
  <si>
    <t xml:space="preserve"> - demontáž a spätná montáž  (označenie mosta) - s odvozom na dočasnú skládku pre spätnú montáž</t>
  </si>
  <si>
    <t xml:space="preserve"> - demontáž a spätná montáž konštrukcie podstavca dopravnej značky vrátane dvoch značiek pri opore 1 resp. za oporou 4 :</t>
  </si>
  <si>
    <t xml:space="preserve"> - demontáž a spätná montáž špeciálnych značiek správcu </t>
  </si>
  <si>
    <t xml:space="preserve"> - nad 15 km spoplatnená skládka</t>
  </si>
  <si>
    <t xml:space="preserve">   zmiešaný odpad : 581,7</t>
  </si>
  <si>
    <t xml:space="preserve"> - nad 15 km zberný dvor</t>
  </si>
  <si>
    <t xml:space="preserve">   oceľ do šrotu : 24,6</t>
  </si>
  <si>
    <t>spolu</t>
  </si>
  <si>
    <t>hod</t>
  </si>
  <si>
    <t>0509020501</t>
  </si>
  <si>
    <t>Doplňujúce práce, úprava stavebných konštrukcií vysokotlakým vodným lúčom železobetónových, čistenie</t>
  </si>
  <si>
    <t xml:space="preserve"> - otryskanie tlakom do 60 MPa</t>
  </si>
  <si>
    <t xml:space="preserve"> - odstránenie nečistôt a mastnôt pred nanášaním zjednocujúceho náteru na  : </t>
  </si>
  <si>
    <t xml:space="preserve"> - opore 1 : (37,4*(2,1+1,8)/2+0,3)+2,49+1,87+4,25*1,8/2)=81,4m2*0,1</t>
  </si>
  <si>
    <t xml:space="preserve"> - opore 4 : 19*((2,1+1,8)/2+0,3)+2,49+1,87+4,25*1,8/2=50,9m2*0,1</t>
  </si>
  <si>
    <t xml:space="preserve"> - pozdĺžne rezy na moste : 2*(63,2-0,74)</t>
  </si>
  <si>
    <t xml:space="preserve"> - pozdĺžne rezy za mostom : 3*(9+4,2+2*50+10,5+2,5)</t>
  </si>
  <si>
    <t xml:space="preserve"> - priečne rezy za mostom : 3*4*(11,75+2*0,25)</t>
  </si>
  <si>
    <t>0509046203</t>
  </si>
  <si>
    <t>Doplňujúce práce, diamantové rezanie bitúmenového krytu, podkladu hr. nad 100 do 150 mm</t>
  </si>
  <si>
    <t xml:space="preserve"> - pozdĺžne škáry na moste : 63,2-0,74</t>
  </si>
  <si>
    <t xml:space="preserve"> - zvislé vŕtanie priemeru 20 mm - prevŕtanie spodného pásu (150 mm) - kotvenie dočasnej protidotykovej prekážky : 12*2</t>
  </si>
  <si>
    <t xml:space="preserve"> - zvislé vŕtanie priemeru 14 mm - vŕtanie do spodného pásu (100 mm) - kotvenie dočasnej protidotykovej prekážky : 12*2</t>
  </si>
  <si>
    <t xml:space="preserve"> - zvislé vŕtanie priemeru 60 mm do betónu nosnej konštrukcie </t>
  </si>
  <si>
    <t xml:space="preserve">  pre osadenie odvodňovačov izolácie - prevŕtanie horného a spodného pásu nosníka I-73:</t>
  </si>
  <si>
    <t xml:space="preserve"> - zvislé vŕtanie priemeru 200 mm do betónu nosnej konštrukcie  </t>
  </si>
  <si>
    <t xml:space="preserve">  pre osadenie odvodňovačov mosta - prevŕtanie horného a spodného pásu nosníka I-73 :</t>
  </si>
  <si>
    <t>0509060501</t>
  </si>
  <si>
    <t>Doplňujúce práce, otryskanie železobetónovej konštrukcie, tlakovou vodou</t>
  </si>
  <si>
    <t xml:space="preserve"> - búranie tlakom min. 80 MPa</t>
  </si>
  <si>
    <t xml:space="preserve"> - odstránenie nepevných častí betónu (príprava plôch na sanáciu):</t>
  </si>
  <si>
    <t xml:space="preserve"> - opora 1 : (37,4*(2,1+1,8)/2+0,3)+2,49+1,87+4,25*1,8/2)</t>
  </si>
  <si>
    <t xml:space="preserve"> - opora 4 : 19*((2,1+1,8)/2+0,3)+2,49+1,87=47,1m2</t>
  </si>
  <si>
    <t xml:space="preserve"> - ostané plochy opôr : (81,42+47,11)*0,2</t>
  </si>
  <si>
    <t xml:space="preserve">45.11.12 </t>
  </si>
  <si>
    <t>Úprava staveniska a vyčisťovacie práce</t>
  </si>
  <si>
    <t>01010101</t>
  </si>
  <si>
    <t>Prípravné práce, odstránenie porastov travín</t>
  </si>
  <si>
    <t>0101010101</t>
  </si>
  <si>
    <t>Prípravné práce, odstránenie porastov travín na suchu</t>
  </si>
  <si>
    <t xml:space="preserve"> - odstránenie porastu okolo podpier č.2 a č.3 : 2*2*15*1</t>
  </si>
  <si>
    <t>01010103</t>
  </si>
  <si>
    <t>Prípravné práce, odstránenie porastov krovín</t>
  </si>
  <si>
    <t>0101010301</t>
  </si>
  <si>
    <t>Prípravné práce, odstránenie porastov krovín na suchu</t>
  </si>
  <si>
    <t xml:space="preserve"> - odstránenie krovitého porastu na svahoch z 5 m širokého pásu v mieste realizácie betónových žľabov uličných vpustov opôr 1 a 4  : 5*(23,2+20,3) :</t>
  </si>
  <si>
    <t>01060204</t>
  </si>
  <si>
    <t>Premiestnenie  vodorovné nad 3 000 m</t>
  </si>
  <si>
    <t>0106020404</t>
  </si>
  <si>
    <t>Premiestnenie  vodorovné nad 3 000 m, vyklčovaných krovín</t>
  </si>
  <si>
    <t>217,50*0,5</t>
  </si>
  <si>
    <t>0106020409</t>
  </si>
  <si>
    <t>Premiestnenie  vodorovné nad 3 000 m, poľnohospodárskych plodín</t>
  </si>
  <si>
    <t xml:space="preserve">45.11.24 </t>
  </si>
  <si>
    <t>Výkopové práce</t>
  </si>
  <si>
    <t>01030101</t>
  </si>
  <si>
    <t>Hĺbené vykopávky jám zapažených</t>
  </si>
  <si>
    <t>0103010107</t>
  </si>
  <si>
    <t>Hĺbené vykopávky jám zapažených, tr. horniny 1-4</t>
  </si>
  <si>
    <t>01030102</t>
  </si>
  <si>
    <t>Hĺbené vykopávky jám nezapažených</t>
  </si>
  <si>
    <t>0103010207</t>
  </si>
  <si>
    <t>Hĺbené vykopávky jám nezapažených, tr. horniny 1-4</t>
  </si>
  <si>
    <t xml:space="preserve"> - výkop podkladných vrstiev vozovky pred mostom : (150,3+146,6)*1,1</t>
  </si>
  <si>
    <t xml:space="preserve"> - výkop jamy pre kanalizačné potrubie uličného vpustu : 
0,6*1,4* 4,3*2</t>
  </si>
  <si>
    <t xml:space="preserve"> - výkop zeminy pre obslužné schodisko : 5,4*1,1*0,8</t>
  </si>
  <si>
    <t xml:space="preserve"> - výkop zeminy základov pre revízny chodník pozdĺž opory 1 : 0,385*30,69+0,644*4=7,19m3</t>
  </si>
  <si>
    <t xml:space="preserve"> - výkop zeminy základov pre revízny chodník pozdĺž opory 4 : 0,319*9+0,297*5+0,567*5=7,19m3</t>
  </si>
  <si>
    <t>01040401</t>
  </si>
  <si>
    <t>Konštrukcie z hornín - zásypy bez zhutnenia</t>
  </si>
  <si>
    <t>0104040103</t>
  </si>
  <si>
    <t>Konštrukcie z hornín - zásypy bez zhutnenia, tr.horniny 4</t>
  </si>
  <si>
    <t>01040402</t>
  </si>
  <si>
    <t>Konštrukcie z hornín - zásypy so zhutnením</t>
  </si>
  <si>
    <t>0104040203</t>
  </si>
  <si>
    <t>Konštrukcie z hornín - zásypy so zhutnením, tr.horniny 4</t>
  </si>
  <si>
    <t>nakupovaný materiál:</t>
  </si>
  <si>
    <t xml:space="preserve"> - zhutnený štrkopieskový zásyp vrchnej časti podložia vozovky v oblasti obnaženej a čiastočne vybúranej časti prechodovej dosky : ((5,23+4,41)*(11,75+0,5)+2*20,5*1,06)*1,1</t>
  </si>
  <si>
    <t>0104040207</t>
  </si>
  <si>
    <t>Konštrukcie z hornín - zásypy so zhutnením, tr. horniny 1-4</t>
  </si>
  <si>
    <t xml:space="preserve"> - doplnenie chýbajúcich vrstiev zemín vo vymletej oblasti opory 1 vrátane zhutnenia :  0,626*4</t>
  </si>
  <si>
    <t xml:space="preserve"> - doplnenie chýbajúcich vrstiev zemín vo vymletej oblasti opory 4 vrátane zhutnenia : 1,416*5+0,316*5</t>
  </si>
  <si>
    <t>45.11.25</t>
  </si>
  <si>
    <t>Presun zemín</t>
  </si>
  <si>
    <t>01040100</t>
  </si>
  <si>
    <t>Konštrukcie z hornín - skládky</t>
  </si>
  <si>
    <t>0104010007</t>
  </si>
  <si>
    <t>Konštrukcie z hornín - skládky  tr.horniny 1-4</t>
  </si>
  <si>
    <t>uloženie prebytočnej zeminy na spoplatnenej skládke</t>
  </si>
  <si>
    <t>01060202</t>
  </si>
  <si>
    <t>Premiestnenie  , vodorovné do 1 000 m</t>
  </si>
  <si>
    <t>0106020201</t>
  </si>
  <si>
    <t>Premiestnenie  výkopku resp. rúbaniny, vodorovné do 1 000 m, tr. horniny 1-4</t>
  </si>
  <si>
    <t>spätný zásyp z vykopanej zeminy (tam a späť): 11,16*2</t>
  </si>
  <si>
    <t>0106020401</t>
  </si>
  <si>
    <t>Premiestnenie  výkopku resp. rúbaniny, vodorovné nad 3 000 m, tr. horniny 1-4</t>
  </si>
  <si>
    <t>odvoz prebytočnej zeminy na spoplatnenú skládku:</t>
  </si>
  <si>
    <t>výkopy</t>
  </si>
  <si>
    <t>spätný zásyp</t>
  </si>
  <si>
    <t>01060700</t>
  </si>
  <si>
    <t>Premiestnenie  - nakladanie, prekladanie, vykladanie</t>
  </si>
  <si>
    <t>0106070007</t>
  </si>
  <si>
    <t>Premiestnenie  výkopku resp. rúbaniny - nakladanie, prekladanie, vykladanie,  tr. horniny 1-4</t>
  </si>
  <si>
    <t>11010101</t>
  </si>
  <si>
    <t>Základy, pásy z betónu prostého</t>
  </si>
  <si>
    <t>1101010103</t>
  </si>
  <si>
    <t>Základy, pásy z betónu prostého, tr. C 12/15 (B 15)</t>
  </si>
  <si>
    <t xml:space="preserve"> - podbetónovanie pravého rohu opory 1 v mieste výmoľa : 0,800*(4+0,6/2)*0,6 </t>
  </si>
  <si>
    <t xml:space="preserve"> - podbetónovanie pravej rohu opory 4 v mieste výmoľa : 1,718*(5+0,6/2)*0,6 </t>
  </si>
  <si>
    <t>1101010105</t>
  </si>
  <si>
    <t>Základy, pásy z betónu prostého, tr. C 20/25 (B 25)</t>
  </si>
  <si>
    <t>11010302</t>
  </si>
  <si>
    <t>Základy, dosky z betónu železového</t>
  </si>
  <si>
    <t>1101030208</t>
  </si>
  <si>
    <t>Základy, dosky z betónu železového, tr. C 35/45 (B 45)</t>
  </si>
  <si>
    <t xml:space="preserve"> - dobetonávka plochy stredného deliaceho pásu za prechodovými blokmi :  (7,8+5,3)*0,25</t>
  </si>
  <si>
    <t>11050202</t>
  </si>
  <si>
    <t>Zvislé konštrukcie inžinierskych stavieb, opory z betónu železového</t>
  </si>
  <si>
    <t>1105020206</t>
  </si>
  <si>
    <t>Zvislé konštrukcie inžinierskych stavieb, opory z betónu železového, tr. C 25/30 (B 30)</t>
  </si>
  <si>
    <t xml:space="preserve"> - sanácia opory 4 + rezerva 10%: 6*1*1*0,25+0,15m3</t>
  </si>
  <si>
    <t>1105020207</t>
  </si>
  <si>
    <t>Zvislé konštrukcie inžinierskych stavieb, opory z betónu železového, tr. C 30/37 (B 35)</t>
  </si>
  <si>
    <t xml:space="preserve"> - dobetonávka opory 1 : 6,7m3</t>
  </si>
  <si>
    <t xml:space="preserve"> - dobetonávka opory 4 : 7,47m3</t>
  </si>
  <si>
    <t>11050211</t>
  </si>
  <si>
    <t>Zvislé konštrukcie inžinierskych stavieb, opory, debnenie tradičné</t>
  </si>
  <si>
    <t>1105021101</t>
  </si>
  <si>
    <t xml:space="preserve">Zvislé konštrukcie inžinierskych stavieb, opory, debnenie tradičné drevené </t>
  </si>
  <si>
    <t xml:space="preserve"> - debnenie sanovaných častí opory 4 : 6*1*1</t>
  </si>
  <si>
    <t xml:space="preserve"> - debnenie nadbetonávky záverného múrika opory 1 : 35,2*1+5,5*0,6</t>
  </si>
  <si>
    <t xml:space="preserve"> - debnenie nadbetonávky záverného múrika opory 1 : 35,2*1+5,5*0,7</t>
  </si>
  <si>
    <t>11050221</t>
  </si>
  <si>
    <t>Zvislé konštrukcie inžinierskych stavieb, opory, výstuž z betonárskej ocele</t>
  </si>
  <si>
    <t>1105022106</t>
  </si>
  <si>
    <t>Zvislé konštrukcie inžinierskych stavieb, opory, výstuž z betonárskej ocele 10505</t>
  </si>
  <si>
    <t xml:space="preserve"> - kotevná výstuž sanovanej plochy opory 4 : </t>
  </si>
  <si>
    <t xml:space="preserve"> - vystuž nadbetonávky a záverného múrika a krídla opory 1    vrátane kotvenia betonárskej výstuže  do stávajúceho záv. múrika, vrtmi priemeru 16 mm , dĺ.300 mm :</t>
  </si>
  <si>
    <t xml:space="preserve"> - vystuž nadbetonávky a záverného múrika a krídla opory 4    vrátane kotvenia betonárskej výstuže  do stávajúceho záv. múrika, vrtmi priemeru 16 mm , dĺ.300 mm :</t>
  </si>
  <si>
    <t>1105022107</t>
  </si>
  <si>
    <t>Zvislé konštrukcie inžinierskych stavieb, opory, výstuž z betonárskej ocele zo zváraných sietí</t>
  </si>
  <si>
    <t xml:space="preserve"> - výstuž sanovaných častí opory 4</t>
  </si>
  <si>
    <t>1105060208</t>
  </si>
  <si>
    <t>Zvislé konštrukcie inžinierskych stavieb, rímsy z betónu železového, tr. C 35/45 (B 45)</t>
  </si>
  <si>
    <t xml:space="preserve"> - prechodové bloky za krídlami a v strednom deliacom páse : (3,3+3,5+7,4+4,2)*0,25</t>
  </si>
  <si>
    <t xml:space="preserve"> - monolitická časť ľavej rímsy : 0,184*65,03</t>
  </si>
  <si>
    <t xml:space="preserve"> - monolitická časť revízneho chodníka : 0,362*69,74</t>
  </si>
  <si>
    <t>1105061101</t>
  </si>
  <si>
    <t>Zvislé konštrukcie inžinierskych stavieb, rímsy, debnenie tradičné drevené</t>
  </si>
  <si>
    <t xml:space="preserve"> - debnenie rímsy a revízneho chodníka: 0,245*(65,03+69,73)</t>
  </si>
  <si>
    <t>1105062106</t>
  </si>
  <si>
    <t>Zvislé konštrukcie inžinierskych stavieb, rímsy, výstuž z betonárskej ocele 10505</t>
  </si>
  <si>
    <t xml:space="preserve"> - výstuž rímsy a revízneho chodníka : 6402kg</t>
  </si>
  <si>
    <t>11080102</t>
  </si>
  <si>
    <t xml:space="preserve">Vodorovné nosné konštrukcie inžinierskych stavieb, prechodové dosky z betónu železového </t>
  </si>
  <si>
    <t>1108010207</t>
  </si>
  <si>
    <t>Vodorovné nosné konštrukcie inžinierskych stavieb, prechodové dosky  z betónu železového, tr. C 30/37 (B 35)</t>
  </si>
  <si>
    <t>11080112</t>
  </si>
  <si>
    <t>Vodorovné nosné konštrukcie inžinierskych stavieb, prechodové dosky, debnenie z dielcov</t>
  </si>
  <si>
    <t>1108011201</t>
  </si>
  <si>
    <t>Vodorovné nosné konštrukcie inžinierskych stavieb, prechodové dosky, debnenie z dielcov drevených</t>
  </si>
  <si>
    <t>11080121</t>
  </si>
  <si>
    <t>Vodorovné nosné konštrukcie inžinierskych stavieb, prechodové dosky, výstuž z betonárskej ocele</t>
  </si>
  <si>
    <t>1108012106</t>
  </si>
  <si>
    <t>Vodorovné nosné konštrukcie inžinierskych stavieb, prechodové dosky, výstuž z betonárskej ocele 10505</t>
  </si>
  <si>
    <t>11080202</t>
  </si>
  <si>
    <t>Vodorovné nosné konštrukcie inžinierskych stavieb, mostné dosky z betónu železového</t>
  </si>
  <si>
    <t>1108020205</t>
  </si>
  <si>
    <t>Vodorovné nosné konštrukcie inžinierskych stavieb, mostné dosky  z betónu železového, tr. C 20/25 (B 25)</t>
  </si>
  <si>
    <t xml:space="preserve"> - olemovania dlažby svahu pri opore 1 : 0,2*0,5*10,5+0,2*0,3*5,5</t>
  </si>
  <si>
    <t xml:space="preserve"> - pochôzna plocha revízneho chodníka pozdĺž opory 1 : 0,115m2*34,7</t>
  </si>
  <si>
    <t xml:space="preserve"> - olemovania dlažby svahu pri opore 4 : 0,2*0,5*9,7</t>
  </si>
  <si>
    <t xml:space="preserve"> - pochôzna plocha revízneho chodníka pozdĺž opory 4 : 0,124m2*19</t>
  </si>
  <si>
    <t>1108020207</t>
  </si>
  <si>
    <t>Vodorovné nosné konštrukcie inžinierskych stavieb, mostné dosky  z betónu železového, tr. C 30/37 (B 35)</t>
  </si>
  <si>
    <t xml:space="preserve"> - nadbetonávka nosnej konštrukcie vrátane kotvenia spriahajúcej dosky do prefabrikovaných nosníkov I-73 v počte 5320ks: 2,017*63,1</t>
  </si>
  <si>
    <t xml:space="preserve"> -  dobetonávka nosnej konštrukcie vybúraných otvorov v mieste pôvodných odvodňovačov  (10*0,15*0,4*0,7) :</t>
  </si>
  <si>
    <t xml:space="preserve"> - rezerva na nerovnosti povrchu 10% : 127,27*0,1</t>
  </si>
  <si>
    <t>11080212</t>
  </si>
  <si>
    <t>Vodorovné nosné konštrukcie inžinierskych stavieb, mostné dosky, debnenie z dielcov</t>
  </si>
  <si>
    <t>1108021201</t>
  </si>
  <si>
    <t>Vodorovné nosné konštrukcie inžinierskych stavieb, mostné dosky, debnenie z dielcov drevených</t>
  </si>
  <si>
    <t xml:space="preserve"> - debnenie ŽB lemovania dlažby svahu opory 4 : 9,7*0,2</t>
  </si>
  <si>
    <t xml:space="preserve"> - debnenie okraja revíznej pochôznej plochy pozdĺž opory 4 : (19+0,75)*0,2 </t>
  </si>
  <si>
    <t xml:space="preserve"> - debnenie okrajov nadbetonávky : 2*2,017m2+61*(0,15+0,24)</t>
  </si>
  <si>
    <t>11080213</t>
  </si>
  <si>
    <t>Vodorovné nosné konštrukcie inžinierskych stavieb, mostné dosky, debnenie zabudované</t>
  </si>
  <si>
    <t>1108021301</t>
  </si>
  <si>
    <t>Vodorovné nosné konštrukcie inžinierskych stavieb, mostné dosky, debnenie zabudované drevené</t>
  </si>
  <si>
    <t xml:space="preserve"> -  debnenie nosnej konštrukcie vybúraných otvorov v mieste pôvodných odvodňovačov  : 10*0,4*0,7</t>
  </si>
  <si>
    <t>11080221</t>
  </si>
  <si>
    <t>Vodorovné nosné konštrukcie inžinierskych stavieb, mostné dosky, výstuž z betonárskej ocele</t>
  </si>
  <si>
    <t>1108022106</t>
  </si>
  <si>
    <t>Vodorovné nosné konštrukcie inžinierskych stavieb, mostné dosky, výstuž z betonárskej ocele 10505</t>
  </si>
  <si>
    <t xml:space="preserve"> - výstuž prechodových blokov a do betónovej plochy stredného deliaceho pásu : 10*47,4</t>
  </si>
  <si>
    <t xml:space="preserve"> - výstuž pochôznej ŽB plochy revízneho chodníka pozdĺž opory 4 : 26,7kg</t>
  </si>
  <si>
    <t>1108022107</t>
  </si>
  <si>
    <t>Vodorovné nosné konštrukcie inžinierskych stavieb, mostné dosky, výstuž z betonárskej ocele zo zváraných sietí</t>
  </si>
  <si>
    <t xml:space="preserve"> - výstuž lemovania dlažby svahu opory 1 z kari sieti : 94,8kg</t>
  </si>
  <si>
    <t xml:space="preserve"> - výstuž lemovania dlažby svahu opory 4 z kari sieti : 94,8kg</t>
  </si>
  <si>
    <t xml:space="preserve"> - výstuž pochôznej ŽB plochy revízneho chodníka pozdĺž opory 1 z kari sieti : 284,4kg</t>
  </si>
  <si>
    <t xml:space="preserve"> - výstuž pochôznej ŽB plochy revízneho chodníka pozdĺž opory 4 z kari sieti : 237,0kg</t>
  </si>
  <si>
    <t>15020407</t>
  </si>
  <si>
    <t>Múry, rímsy z dielcov polymerbetónových</t>
  </si>
  <si>
    <t xml:space="preserve"> - rímsové prefabrikáty z polymérbetónu; rozmer: 1000x600x40; počet kusov: 67+65+2  </t>
  </si>
  <si>
    <t xml:space="preserve"> - dodávka s montážou rímsového prefabrikátu :  (67+65+2)*1*0,6*0,4</t>
  </si>
  <si>
    <t xml:space="preserve"> - dodanie, vŕtanie a vlepenie kotevných skrutiek M24 s príslušenstvom 208ks(935kg); a sadu rektifikačných prípravkov - v potrebnom počte (cca 1239kg) </t>
  </si>
  <si>
    <t>21250106</t>
  </si>
  <si>
    <t>2125010602</t>
  </si>
  <si>
    <t>Doplňujúce konštrukcie, zvodidlá oceľové zábradeľné</t>
  </si>
  <si>
    <r>
      <t xml:space="preserve"> - krajné zábradľové (H3) zvodidlo </t>
    </r>
    <r>
      <rPr>
        <i/>
        <u/>
        <sz val="10"/>
        <rFont val="Arial CE"/>
        <family val="2"/>
        <charset val="238"/>
      </rPr>
      <t>bez výplne</t>
    </r>
    <r>
      <rPr>
        <i/>
        <sz val="10"/>
        <rFont val="Arial CE"/>
        <family val="2"/>
        <charset val="238"/>
      </rPr>
      <t xml:space="preserve"> vrátane prechodu z mosta na existujúce cestné zvodidlo: 70+2*12</t>
    </r>
  </si>
  <si>
    <t xml:space="preserve">   dodávka s povrchovou úpravou, montážou, kotvením pomocou  </t>
  </si>
  <si>
    <t xml:space="preserve">   podľa platného TPV </t>
  </si>
  <si>
    <t xml:space="preserve"> - zvislé vŕtanie do priem. 28 mm dĺ. min 190 mm  do rímsy</t>
  </si>
  <si>
    <t xml:space="preserve">   pre kotvenie stĺpikov zvodidla : 2*36*0,190 =13,68 m</t>
  </si>
  <si>
    <t xml:space="preserve"> - prechody v mieste mostných záverov musia byť elektricky izolované</t>
  </si>
  <si>
    <r>
      <t xml:space="preserve"> - krajné zábradľové (H3) zvodidlo </t>
    </r>
    <r>
      <rPr>
        <i/>
        <u/>
        <sz val="10"/>
        <rFont val="Arial CE"/>
        <family val="2"/>
        <charset val="238"/>
      </rPr>
      <t xml:space="preserve">s výplňou </t>
    </r>
    <r>
      <rPr>
        <i/>
        <sz val="10"/>
        <rFont val="Arial CE"/>
        <family val="2"/>
        <charset val="238"/>
      </rPr>
      <t>vrátane prechodu z mosta na existujúce cestné betónové zvodidlo : 65+5+7</t>
    </r>
  </si>
  <si>
    <t xml:space="preserve">   pre kotvenie stĺpikov zvodidla : 2*32*0,190 =12,61 m</t>
  </si>
  <si>
    <t>21250207</t>
  </si>
  <si>
    <t>Doplňujúce konštrukcie, zábradlia kompozitné</t>
  </si>
  <si>
    <t xml:space="preserve"> - kompozitné zábradlie so zvislou výplňou z rúr 32*3 zhora kotvené, s otvoreným madlom tvaru U vo výške 1,2 m z kompozitných profilov ktoré sú opatrené UV stabilizátormi :69,73-11,45=58,28m</t>
  </si>
  <si>
    <t xml:space="preserve"> - dodávka s montážou so stĺpmi z uzavretého profilu 51x51x6.          </t>
  </si>
  <si>
    <t xml:space="preserve"> - kotvením stĺpov pomocou  vrtov priemeru 14 mm, dĺ. 150 mm do monolitickej časti revízneho chodníka : (18*3+2*4)*2*0,135=16,74 m</t>
  </si>
  <si>
    <t xml:space="preserve"> - so spojovacím a kotviacim materiálom z nehrdzavejúcej ocele</t>
  </si>
  <si>
    <t xml:space="preserve"> - kompozitné jednotyčové zábradlie s otvoreným madlom, vodorovnou výplňou z rúry 32/3 s zarážkou zhora kotvené výšky 1,1 m z kompozitných profilov ktoré sú opatrené UV stabilizátormi : </t>
  </si>
  <si>
    <t xml:space="preserve"> - kotvením pomocou  vrtov priemeru 14 mm, dĺ. 150 mm do monolitickej betónovej pochôznej plochy revíznych chodníkov pozdĺž úložného prahu opôr č.1 a č.4 : 
opora 1 : 29,07+0,4+0,75+2,75+1,1=34,07m; opora 4 32,07+0,725+0,99=33,78m</t>
  </si>
  <si>
    <t xml:space="preserve"> - s jednotyčovým zábradlím (madlo, 1x priečka, zarážka)</t>
  </si>
  <si>
    <t>21250320</t>
  </si>
  <si>
    <t>Doplňujúce konštrukcie, odvodnenie mostov, odvodňovače</t>
  </si>
  <si>
    <t xml:space="preserve"> - mostný odvodňovač  zvislým odtokom DN 160</t>
  </si>
  <si>
    <t>21250321</t>
  </si>
  <si>
    <t>Doplňujúce konštrukcie, odvodnenie mostov, odvodňovacie potrubie</t>
  </si>
  <si>
    <t xml:space="preserve"> - vodorovné odvodňovacie potrubie z polyetylénu DN 160 s odolnosťou voči UV žiareniu a oproti chemickým vplyvom : 21,7+27,6</t>
  </si>
  <si>
    <t xml:space="preserve"> - s napojením na odvodňovače DN 160</t>
  </si>
  <si>
    <t xml:space="preserve"> - s napojením na odvodňovače izolácie DN 50</t>
  </si>
  <si>
    <t xml:space="preserve"> - so závesným systémom (vzdialenosť závesov do max 2,0 m)</t>
  </si>
  <si>
    <t xml:space="preserve">Doplňujúce konštrukcie, dilatačné zariadenia, mostné závery povrchové posun </t>
  </si>
  <si>
    <t>2125042602</t>
  </si>
  <si>
    <t>Doplňujúce konštrukcie, dilatačné zariadenia, mostné závery povrchové posun do 100 mm</t>
  </si>
  <si>
    <t xml:space="preserve"> - Dodávka a montáž kobercového mostného záveru s gumokovovými modulmi dĺžky 2ks 16,10 m včítane krycieho plechu rímsy; kontrola a prípadná úprava prednastavenia; privarenie záveru k výstuži; odpálenie  obnaženej výstuže pri MZ, ktoré sú v kolízii s konštrukciou nového MZ ( odhad 2*0,2 t ); odborná demontáž transportných pomôcok  - 2 ks:</t>
  </si>
  <si>
    <t>Doplňujúce konštrukcie, mostné zábrany a ochrany, protidotykové zábrany z kompozitného materiálu</t>
  </si>
  <si>
    <t>protidotykové zábrany z kompozitného materiálu opatrené UV stabilizátormi:</t>
  </si>
  <si>
    <t xml:space="preserve"> - protidotyková zvislá prekážka : 11,45*1,80=20,61 m2</t>
  </si>
  <si>
    <t xml:space="preserve"> - zvislé vŕtanie do priem. 14 mm dĺ.135 mm  do rímsy  pre kotvenie zvislých protidotykových prekážok : 5x13 x 0,135 = 8,77 m</t>
  </si>
  <si>
    <t xml:space="preserve"> - vodorovná protidotyková prekážka : 12,0*1,82=21,84 m2</t>
  </si>
  <si>
    <t xml:space="preserve"> - zvislé vŕtanie do priem. 14 mm dĺ.135 mm  do rímsy  pre kotvenie zvislých protidotykových prekážok : 8*10* 0,135 = 10,8 m</t>
  </si>
  <si>
    <t>21250531</t>
  </si>
  <si>
    <t>Doplňujúce konštrukcie, mostné zábrany a ochrany, krycie zábrany</t>
  </si>
  <si>
    <t>2125053101</t>
  </si>
  <si>
    <t>Doplňujúce konštrukcie, mostné zábrany a ochrany, krycie zábrany, štít</t>
  </si>
  <si>
    <t xml:space="preserve"> - zábrana proti pádu, plotový nadstavec zvodidla . 1,8*(65,25+2*3)  </t>
  </si>
  <si>
    <t>21250906</t>
  </si>
  <si>
    <t>Doplňujúce konštrukcie, drobné zariadenia oceľové</t>
  </si>
  <si>
    <t xml:space="preserve"> - pre odvodnenie izolácie mostovky : nerezová odvodňovacia rúrka  </t>
  </si>
  <si>
    <t xml:space="preserve">   D 51/2, dĺ. 1500 mm s kotviacim plechom 200x200x2 mm rovná, </t>
  </si>
  <si>
    <t xml:space="preserve">   osadenie rúrky s kotviacim plechom do plastmalty, </t>
  </si>
  <si>
    <t xml:space="preserve">  s mriežkou  vrátane úpravy okolo odvodnenia (vybúranie a </t>
  </si>
  <si>
    <t xml:space="preserve">   vyspravenie káps okolo plechov )                                                                                                                      .</t>
  </si>
  <si>
    <t>21251006</t>
  </si>
  <si>
    <t>Doplňujúce konštrukcie, podperné konštrukcie mostov oceľové</t>
  </si>
  <si>
    <t>2125100601</t>
  </si>
  <si>
    <t>Doplňujúce konštrukcie, podperné konštrukcie mostov oceľové ľahké</t>
  </si>
  <si>
    <t xml:space="preserve"> - montáž a demontáž lešenia pod mostom mimo zóny trakčného vedenia umožňujúca prechod dopravy na poľnej ceste + prenájom : (14,15+2x1)x(61,1-8,6-2x10,5/2)x7,4=5019,4</t>
  </si>
  <si>
    <r>
      <t xml:space="preserve"> - dočistenie, ochrana a sanácia obnaženej výstuže nosnej konštrukcie minerálnym</t>
    </r>
    <r>
      <rPr>
        <i/>
        <sz val="10"/>
        <color rgb="FFFF0000"/>
        <rFont val="Arial CE"/>
        <family val="2"/>
        <charset val="238"/>
      </rPr>
      <t xml:space="preserve"> </t>
    </r>
    <r>
      <rPr>
        <i/>
        <sz val="10"/>
        <rFont val="Arial CE"/>
        <family val="2"/>
        <charset val="238"/>
      </rPr>
      <t>náterom</t>
    </r>
    <r>
      <rPr>
        <i/>
        <sz val="10"/>
        <color rgb="FFFF0000"/>
        <rFont val="Arial CE"/>
        <family val="2"/>
        <charset val="238"/>
      </rPr>
      <t xml:space="preserve"> : </t>
    </r>
    <r>
      <rPr>
        <i/>
        <sz val="10"/>
        <rFont val="Arial CE"/>
        <charset val="238"/>
      </rPr>
      <t>8*0,43*(63-2*0,75)*0,1+5</t>
    </r>
  </si>
  <si>
    <r>
      <t xml:space="preserve"> - dočistenie, ochrana a sanácia obnaženej výstuže opôr a podpier minerálnym</t>
    </r>
    <r>
      <rPr>
        <i/>
        <sz val="10"/>
        <color rgb="FFFF0000"/>
        <rFont val="Arial CE"/>
        <family val="2"/>
        <charset val="238"/>
      </rPr>
      <t xml:space="preserve"> </t>
    </r>
    <r>
      <rPr>
        <i/>
        <sz val="10"/>
        <rFont val="Arial CE"/>
        <family val="2"/>
        <charset val="238"/>
      </rPr>
      <t>náterom</t>
    </r>
    <r>
      <rPr>
        <i/>
        <sz val="10"/>
        <color rgb="FFFF0000"/>
        <rFont val="Arial CE"/>
        <family val="2"/>
        <charset val="238"/>
      </rPr>
      <t xml:space="preserve"> : </t>
    </r>
    <r>
      <rPr>
        <i/>
        <sz val="10"/>
        <rFont val="Arial CE"/>
        <charset val="238"/>
      </rPr>
      <t>(81,42+42,11+25,71+288,40+98,58)*0,1</t>
    </r>
  </si>
  <si>
    <t>45.22.38</t>
  </si>
  <si>
    <t>Kompletovanie a montáž prefabrikovaných konštrukcií</t>
  </si>
  <si>
    <t>15090102</t>
  </si>
  <si>
    <t>Schodiskové konštrukcie plošné, z dielcov železobetónových</t>
  </si>
  <si>
    <t>45.23.13</t>
  </si>
  <si>
    <t>Práce na stavbe miestnych potrubných vedení vody a kanalizácie</t>
  </si>
  <si>
    <t>27031171</t>
  </si>
  <si>
    <t>Kanalizácie, ostatné konštrukcie, šachty a spádoviská kanalizačné</t>
  </si>
  <si>
    <t>2703117101</t>
  </si>
  <si>
    <t>Kanalizácie, ostatné konštrukcie, šachty a spádoviská kanalizačné z betónových dielcov</t>
  </si>
  <si>
    <t>27031172</t>
  </si>
  <si>
    <t>Kanalizácie, ostatné konštrukcie, vpusty kanalizačné</t>
  </si>
  <si>
    <t>2703117201</t>
  </si>
  <si>
    <t>Kanalizácie, ostatné konštrukcie, vpusty kanalizačné z betónových dielcov</t>
  </si>
  <si>
    <t xml:space="preserve"> - uličný vpust v mieste prechodových blokoch krídiel s napojením na žľab svahu v zmysle VL4</t>
  </si>
  <si>
    <t>27031176</t>
  </si>
  <si>
    <t>Kanalizácie, ostatné konštrukcie, doplnky</t>
  </si>
  <si>
    <t>2703117602</t>
  </si>
  <si>
    <t>Kanalizácie, ostatné konštrukcie, doplnky - mreže</t>
  </si>
  <si>
    <t>Práce na vrchnej stavbe diaľníc, ciest, ulíc, chodníkov a nekrytých parkovísk</t>
  </si>
  <si>
    <t xml:space="preserve"> - spojovací postrek emulzný, modifikovaný na moste : 2*62,5*11,75</t>
  </si>
  <si>
    <t xml:space="preserve"> - spojovací postrek emulzný, modifikovaný za mostom v oblasti prechodovej dosky : 2*2*137</t>
  </si>
  <si>
    <t xml:space="preserve"> - spojovací postrek emulzný, modifikovaný za mostom za oblasťou prechodovej dosky : 2,5*7,6+4,2*7,6+2*50*(11,75+0,5)</t>
  </si>
  <si>
    <t>Podkladné a krycie vrstvy z asfaltových zmesí, bitúmenové postreky, nátery, posypy posyp podkladu alebo krytu</t>
  </si>
  <si>
    <t>2203033401</t>
  </si>
  <si>
    <t>Podkladné a krycie vrstvy z asfaltových zmesí, bitúmenové postreky, nátery, posypy posyp podkladu alebo krytu drvou</t>
  </si>
  <si>
    <t xml:space="preserve"> - zaklinenie: 3239,9</t>
  </si>
  <si>
    <t>2203064004</t>
  </si>
  <si>
    <t>Podkladné a krycie vrstvy z asfaltových zmesí, bitúmenové vrstvy, asfaltový betón  triedy I modifikovaný</t>
  </si>
  <si>
    <t xml:space="preserve"> - ACo16 obrus PMB hr. 60 mm (za mostom) ložná vrstva : 2*(137)*0,06</t>
  </si>
  <si>
    <t>22030641</t>
  </si>
  <si>
    <t>Podkladné a krycie vrstvy z asfaltových zmesí, bitúmenové vrstvy, asfaltový koberec mastixový</t>
  </si>
  <si>
    <t>2203064101</t>
  </si>
  <si>
    <t>Podkladné a krycie vrstvy z asfaltových zmesí, bitúmenové vrstvy, asfaltový koberec mastixový triedy I</t>
  </si>
  <si>
    <t xml:space="preserve"> - obrusná vrstva SMA 11PMB do 40 mm (na moste) : 62,5*11,75*0,040</t>
  </si>
  <si>
    <t xml:space="preserve"> - obrusná vrstva SMA 11PMB do 50 mm (za mostom+10% na nerovnosti) : 2*137+2,5*7,6+4,2*7,6+2*50*(11,75+0,5)*0,05*1,1</t>
  </si>
  <si>
    <t>2203064302</t>
  </si>
  <si>
    <t>Podkladné a krycie vrstvy z asfaltových zmesí, bitúmenové vrstvy, asfaltový koberec drenážny z plastbetónu</t>
  </si>
  <si>
    <t xml:space="preserve">   hr. 45 mm ((62,5+2*13,8)*0,1*+(11*0,4*0,5)+6*0,4*0,4)*0,045 :</t>
  </si>
  <si>
    <t>22030744</t>
  </si>
  <si>
    <t>Podkladné a krycie vrstvy z asfaltových zmesí, liaty asfalt, cestný</t>
  </si>
  <si>
    <t>2203074402</t>
  </si>
  <si>
    <t>Podkladné a krycie vrstvy z asfaltových zmesí, liaty asfalt cestný strednozrnný</t>
  </si>
  <si>
    <t xml:space="preserve"> - ochrana izolácie MA 16 PMB +10% : 62,5*11,75*0,045*1,1</t>
  </si>
  <si>
    <t>Kryty dláždené,chodníkov komunikácií,rigolov - úprava škár pri opravách a vyplnenie škár elastickou zálievkou</t>
  </si>
  <si>
    <t>2204085201</t>
  </si>
  <si>
    <t>Kryty dláždené,chodníkov komunikácií,rigolov - úprava škár pri opravách a vyplnenie škár elastickou zálievkou s predtesnením</t>
  </si>
  <si>
    <t xml:space="preserve"> - pozdĺž rímsy : 69+65</t>
  </si>
  <si>
    <t xml:space="preserve"> - pri mostných záveroch :  2*(16,1+16,0)</t>
  </si>
  <si>
    <t>Kryty dláždené,chodníkov komunikácií,rigolov - úprava škár pri opravách a vyplnenie škár elastickou zálievkou bez predtesnenia</t>
  </si>
  <si>
    <t xml:space="preserve"> - vyplnenie škár zarezaním trvalopružnou zálievkou na začiatku a na konci opravy vozovky a pozdĺž pracovnej škáry medzi 1. a 2.etapou : (63,2-0,74)+(9+4,2+2*50+10,5+2,5)+4*(11,75+2*0,25)</t>
  </si>
  <si>
    <t xml:space="preserve"> - trvalo pružná zálievka pozdĺž polymér betónového prefabrikátu a monolitického betónu revízneho chodníka a rímsy rátane penetračného náteru : 69+65  </t>
  </si>
  <si>
    <t xml:space="preserve"> - trvalo pružná zálievka pracovných a zmrašťovacích škár revízneho chodníka a rímsy vrátane penetračného náteru zabezpečujúci priľnavosť:  12*1,71+12*0,91</t>
  </si>
  <si>
    <t xml:space="preserve"> - vyplnenie škár trvalopružnou zálievkou pozdĺž protidotykovej zábrany : 11,45+13*0,15+2*12</t>
  </si>
  <si>
    <t>22250356</t>
  </si>
  <si>
    <t>Doplňujúce konštrukcie, zvodidlá prefabrikované</t>
  </si>
  <si>
    <t>2225035602</t>
  </si>
  <si>
    <t>Doplňujúce konštrukcie, zvodidlá prefabrikované s ozubom-zámkom</t>
  </si>
  <si>
    <t xml:space="preserve"> - demontáž a montáž dvoch prechodových dielcov na oceľovú konštrukciu, jedného bežného dielca a skladovanie na stavenisku počas opravy : 3x4 m</t>
  </si>
  <si>
    <t xml:space="preserve"> - demontáž dvoch bežných dielcov a odvoz na skládku objednávateľa : 2x4 m</t>
  </si>
  <si>
    <t>22250465</t>
  </si>
  <si>
    <t>Doplňujúce konštrukcie,  ochranné zariadenia, nadstavce na zvodidlá</t>
  </si>
  <si>
    <t xml:space="preserve"> - osadenie smerových stĺpikov na zvodidlo : po 50m 200 m pred a 100 m za mostom a na moste po 4 ks na oboch zvodidlách</t>
  </si>
  <si>
    <t xml:space="preserve"> - osadenie modrých smerových stĺpikov 1 m pred bielymi smerovými stĺpikmi</t>
  </si>
  <si>
    <t>22250570</t>
  </si>
  <si>
    <t>Doplňujúce konštrukcie, značky staničenia a geodetické body, meračské značky</t>
  </si>
  <si>
    <t xml:space="preserve"> - klincové značky - na rímsach: </t>
  </si>
  <si>
    <t xml:space="preserve"> - čapová značka - na opore a na pilieroch:</t>
  </si>
  <si>
    <t xml:space="preserve">   dodávka vrátane montáže s kotvením</t>
  </si>
  <si>
    <t>Doplňujúce konštrukcie,  zvislé dopravné značky, normálny alebo zväčšený rozmer</t>
  </si>
  <si>
    <t>Doplňujúce konštrukcie,  zvislé dopravné značky, normálny alebo zväčšený rozmer oceľové</t>
  </si>
  <si>
    <r>
      <t xml:space="preserve"> - spätná montáž demontovaného materiálu  (označenie mosta) - </t>
    </r>
    <r>
      <rPr>
        <i/>
        <sz val="10"/>
        <rFont val="Arial CE"/>
        <charset val="238"/>
      </rPr>
      <t>s dovozom z dočasnej skládky pre spätnú montáž</t>
    </r>
  </si>
  <si>
    <r>
      <t xml:space="preserve"> - spätná montáž demontovanej konštrukcie podstavca dopravnej značky vrátane dvoch značiek pri opore 1 resp. za oporou 4 -</t>
    </r>
    <r>
      <rPr>
        <i/>
        <sz val="10"/>
        <color rgb="FFFF0000"/>
        <rFont val="Arial CE"/>
        <charset val="238"/>
      </rPr>
      <t xml:space="preserve"> </t>
    </r>
    <r>
      <rPr>
        <i/>
        <sz val="10"/>
        <rFont val="Arial CE"/>
        <charset val="238"/>
      </rPr>
      <t>s dovozom z dočasnej skládky pre spätnú montáž</t>
    </r>
  </si>
  <si>
    <r>
      <t xml:space="preserve"> - spätná montáž demontovaných špeciálnych značiek správcu - </t>
    </r>
    <r>
      <rPr>
        <i/>
        <sz val="10"/>
        <rFont val="Arial CE"/>
        <charset val="238"/>
      </rPr>
      <t>s dovozom z dočasnej skládky pre spätnú montáž</t>
    </r>
  </si>
  <si>
    <t>22250980</t>
  </si>
  <si>
    <t>Doplňujúce konštrukcie,  obrubníky chodníkové</t>
  </si>
  <si>
    <t>2225098001</t>
  </si>
  <si>
    <t>Doplňujúce konštrukcie,  obrubníky chodníkové betónové</t>
  </si>
  <si>
    <t xml:space="preserve"> - obrubníky prechodových blokov za krídlami a v strednom deliacom páse : 2*8+2*4,5</t>
  </si>
  <si>
    <t>22251161</t>
  </si>
  <si>
    <t>Doplňujúce konštrukcie,  otvorené žľaby z betónových tvárnic</t>
  </si>
  <si>
    <t>2225116102</t>
  </si>
  <si>
    <t>Doplňujúce konštrukcie,  otvorené žľaby z betónových tvárnic š. nad 500 mm</t>
  </si>
  <si>
    <t xml:space="preserve"> - žľaby od odpadových rúr k vsakovacím šachtám pri podperách 2 a 3 včetne podkladového betónu  2*3,2</t>
  </si>
  <si>
    <t xml:space="preserve"> - obnova vybúraných žľabov pozdĺž diaľnice v oblasti prechodových dosiek : 11+5</t>
  </si>
  <si>
    <t>45.23.33</t>
  </si>
  <si>
    <t>Práce na spodnej stavby diaľnic, ciest, ulíc a chodníkov a nekrytých parkovísk</t>
  </si>
  <si>
    <t>22010104</t>
  </si>
  <si>
    <t>Podkladné a krycie vrstvy bez spojiva nestmelené, štrkodrva</t>
  </si>
  <si>
    <t xml:space="preserve"> - zhutnená štrkodrva hrúbky 0,22m v oblasti prechodovej dosky : 2*(137-3,5*11,75)*0,22</t>
  </si>
  <si>
    <t>22020212</t>
  </si>
  <si>
    <t>Podkladné a krycie vrstvy s hydraulickým spojivom, stabilizované z miešacieho centra zmesou spojív</t>
  </si>
  <si>
    <t xml:space="preserve"> - stabilizácia cementom CBMG C5/6 v oblasti prechodovej dosky hrúbky 200 mm : 2*(137-1,2*11,75)*0,20</t>
  </si>
  <si>
    <t>22030329</t>
  </si>
  <si>
    <t>Podkladné a krycie vrstvy z asfaltových zmesí, bitúmenové postreky, nátery, posypy infiltračný postrek</t>
  </si>
  <si>
    <t>2203032902</t>
  </si>
  <si>
    <t>Podkladné a krycie vrstvy z asfaltových zmesí, bitúmenové postreky, nátery, posypy infiltračný postrek z modifikovaného asfaltu</t>
  </si>
  <si>
    <t xml:space="preserve"> - infiltračný postrek cementovej stabilizácie v oblasti prechodovej dosky : 2*(137-1,2*11,75)</t>
  </si>
  <si>
    <t>22030539</t>
  </si>
  <si>
    <t>Podkladné a krycie vrstvy z asfaltových zmesí s bitúmenovým spojivom, kamenivo obaľované asfaltom</t>
  </si>
  <si>
    <t>2203053901</t>
  </si>
  <si>
    <t>Podkladné a krycie vrstvy z asfaltových zmesí s bitúmenovým spojivom, kamenivo obaľované asfaltom triedy I</t>
  </si>
  <si>
    <t xml:space="preserve"> - ACo22 PMB hr. 80 mm (za mostom) podkladová vrstva : 2*(137-0,07*11,75)*0,08</t>
  </si>
  <si>
    <t>45.24.70</t>
  </si>
  <si>
    <t>Práce na hrubej stavbe úprav tokov, hrádzí, zavlažovacích kanálov a akvaduktov</t>
  </si>
  <si>
    <t>11200101</t>
  </si>
  <si>
    <t>Podkladné konštrukcie, podkladné vrstvy, betón prostý</t>
  </si>
  <si>
    <t>1120010106</t>
  </si>
  <si>
    <t>Podkladné konštrukcie, podkladné vrstvy, betón prostý tr. C 25/30 (B 30)</t>
  </si>
  <si>
    <t xml:space="preserve"> - podkladný betón pod obrubníkmi : (8+4,5)*2*0,1</t>
  </si>
  <si>
    <t>31210303</t>
  </si>
  <si>
    <t>Spevnené plochy, dlažby z  lomového  kameňa</t>
  </si>
  <si>
    <t>3121030301</t>
  </si>
  <si>
    <t>Spevnené plochy, dlažby z  lomového  kameňa na sucho</t>
  </si>
  <si>
    <t>31080608</t>
  </si>
  <si>
    <t>Objekty melioračné, drenážne vyústenie z betónových dielcov</t>
  </si>
  <si>
    <t>vyústenie na oporách do sklzov</t>
  </si>
  <si>
    <t>45.26.14</t>
  </si>
  <si>
    <t>Izolačné práce proti vode</t>
  </si>
  <si>
    <t>61010101</t>
  </si>
  <si>
    <t>Izolácie proti vode a zemnej vlhkosti, bežných konštrukcií náterivami a tmelmi</t>
  </si>
  <si>
    <t>6101010101</t>
  </si>
  <si>
    <t>Izolácie proti vode a zemnej vlhkosti, bežných konštrukcií náterivami a tmelmi na ploche vodorovnej</t>
  </si>
  <si>
    <t xml:space="preserve"> - prechodová doska : penetračný náter : 2*(91,5+4,2)</t>
  </si>
  <si>
    <t xml:space="preserve"> - prechodová doska : asfaltový náter :  2 * 191,4</t>
  </si>
  <si>
    <t>6101010102</t>
  </si>
  <si>
    <t>Izolácie proti vode a zemnej vlhkosti, bežných konštrukcií náterivami a tmelmi na ploche zvislej</t>
  </si>
  <si>
    <t xml:space="preserve"> - záverný múrik a krídlo : penetračný náter : 9,8+11+11,3+11,2</t>
  </si>
  <si>
    <t xml:space="preserve"> - záverný múrik a krídlo : asfaltový náter 2 * 43,30</t>
  </si>
  <si>
    <t>61010502</t>
  </si>
  <si>
    <t>6101050201</t>
  </si>
  <si>
    <t>Izolácie proti vode a zemnej vlhkosti, mostoviek pásmi na ploche vodorovnej</t>
  </si>
  <si>
    <t xml:space="preserve"> - natavovací izolačný pás separačnej vrstvy : 2*16,2*1,1 </t>
  </si>
  <si>
    <t xml:space="preserve"> - natavovací izolačný pás hr. do 5 mm :</t>
  </si>
  <si>
    <t>(870,2+2*13,2*2)*1,1</t>
  </si>
  <si>
    <t>45.26.23</t>
  </si>
  <si>
    <t>Betonárske práce</t>
  </si>
  <si>
    <t>11010201</t>
  </si>
  <si>
    <t>Základy, pätky z betónu prostého</t>
  </si>
  <si>
    <t>1101020105</t>
  </si>
  <si>
    <t>Základy, pätky z betónu prostého, tr. C 20/25 (B 25)</t>
  </si>
  <si>
    <t>základové pätky oplotenia na svahu: 0,4*0,4*0,8*16</t>
  </si>
  <si>
    <t>45.34.10</t>
  </si>
  <si>
    <t>Montáž zábradlí</t>
  </si>
  <si>
    <t>67020201</t>
  </si>
  <si>
    <t>Zábradlie schodiskové, z profilovej ocele</t>
  </si>
  <si>
    <t xml:space="preserve"> - kompozitné jednotyčové zábradlie schodiskové z boku kotvené výšky 1,1 m z kompozitných profilov ktoré sú opatrené UV stabilizátormi : </t>
  </si>
  <si>
    <t xml:space="preserve"> - kotvením pomocou  vrtov priemeru 14 mm,dĺ. 150 mm do bočnej steny ŽB obrubníka terénneho schodiska vrátane podest pri opore 4 pre ťažké kotvenie stĺpov :</t>
  </si>
  <si>
    <t xml:space="preserve"> - s dvojtyčovým zábradlím (madlo, 1x priečka, zarážka)</t>
  </si>
  <si>
    <t>45.34.20</t>
  </si>
  <si>
    <t>Montáž oplotenia</t>
  </si>
  <si>
    <t>11030432</t>
  </si>
  <si>
    <t>Stĺpy, piliere, vzpery a rámové stojky (pozemné stavby) plotové oceľové</t>
  </si>
  <si>
    <t>1103043201</t>
  </si>
  <si>
    <t>Stĺpy, piliere, vzpery a rámové stojky (pozemné stavby) plotové oceľové, zabetónovanie pätky</t>
  </si>
  <si>
    <t>oceľové stĺpiky oplotenia</t>
  </si>
  <si>
    <t>67110109</t>
  </si>
  <si>
    <t>Oplotenie, drôtené pletivo poplastované</t>
  </si>
  <si>
    <t>6711010902</t>
  </si>
  <si>
    <t>Oplotenie, drôtené pletivo poplastované na stĺpiky oceľové</t>
  </si>
  <si>
    <t xml:space="preserve"> - výška 1,8 m : 2*30*1,8 </t>
  </si>
  <si>
    <t xml:space="preserve"> - jemné celoplošné vyspravenie celej plochy nosnej konštrukcie sanačnou maltou : 199,10+636,53+211,56</t>
  </si>
  <si>
    <t xml:space="preserve">   hr. 3 mm</t>
  </si>
  <si>
    <t xml:space="preserve">vyspravenie  prefabrikovanej časti spodnej a bočnej plochy nosnej konštrukcie z prefabrikátov typu I-73 sanačnou maltou do hr.10 mm : </t>
  </si>
  <si>
    <t xml:space="preserve"> - stredná lokálna reprofilácia sanačnými hmotami hr. do 10 mm spodných pásov a bočných plôch prefabrikovaných nosníkov typuI-73 : 636,53+199,1</t>
  </si>
  <si>
    <t xml:space="preserve">vyspravenie  časti spodnej a bočnej plochy nosnej konštrukcie z prefabrikátov typu I-73 ako aj hornej plochy NK v oblasti podpier 2 a 3 sanačnou maltou do hr.40 mm : </t>
  </si>
  <si>
    <t xml:space="preserve"> - horná plocha nadpodperová v mieste podpuer 2 a 3 hrubá lokálna reprofilácia sanačnými hmotami do hrúbky 40 mm :  2*16,25*1,5</t>
  </si>
  <si>
    <t xml:space="preserve"> - hrubá lokálna reprofilácia sanačnými hmotami do hrúbky 40 mm výplňového betónu medzi spodnými pásmi prefabrikovaných nosníkov typu I-73 : 211,56</t>
  </si>
  <si>
    <t>13090910</t>
  </si>
  <si>
    <t>Vonkajšie povrchy stien, omietka šľachtená z tekutej omietkovej zmesi</t>
  </si>
  <si>
    <t xml:space="preserve"> - jemné celoplošné vyspravenie celej plochy opôr a pilierov sanačnou maltou : 81,42+47,11+25,71+288,40+98,58</t>
  </si>
  <si>
    <t>13091513</t>
  </si>
  <si>
    <t>Vonkajšie povrchy stien, reprofilácia zvislých a šikmých plôch maltou sanačnou</t>
  </si>
  <si>
    <t xml:space="preserve">vyspravenie  podpier sanačnou maltou do hr.10 mm : </t>
  </si>
  <si>
    <t xml:space="preserve"> - vyrovnanie výrazných lokálnych nerovností povrchu opôr (10%) : (81,4+47,11+25,71)*0,1</t>
  </si>
  <si>
    <t>8401080703</t>
  </si>
  <si>
    <t>Náter omietok a betónových povrchov, farba epoxidová, mostoviek</t>
  </si>
  <si>
    <t xml:space="preserve"> - spojenie sanačnej vrstvy nad podperami a okrajov separačnej vrstvy  (asfaltového pásu) : 16,23*(2*0,4)*2</t>
  </si>
  <si>
    <t xml:space="preserve"> - spojenie izolácie a vyrovnávacieho betónu (zapečaťujúca vrstva) : na moste 870,2; na prechodových doskách 2*13,2*2</t>
  </si>
  <si>
    <t>84010818</t>
  </si>
  <si>
    <t>Náter omietok a betónových povrchov, ochranný a zjednocujúci náter na báze epoxidu</t>
  </si>
  <si>
    <t>8401081803</t>
  </si>
  <si>
    <t>Náter omietok a betónových povrchov, ochranný a zjednocujúci náter na báze epoxidu mostoviek</t>
  </si>
  <si>
    <t xml:space="preserve"> - otryskanie (brokovanie) NK sanačnej vrstvy nosnej konštrukcie nad piliermi 2 a 3 pred položením separačnej vrstvy : 16,23*2*2</t>
  </si>
  <si>
    <t xml:space="preserve"> - otryskanie(brokovanie) NK pred dobetónovaním ŽB vyrovnávacej dosky : 63,2*13,78=870,9</t>
  </si>
  <si>
    <t xml:space="preserve"> - otryskanie (brokovanie)NK pod izoláciu vozovky na prechodovej doske a závernom múriku: 2*13,0*2</t>
  </si>
  <si>
    <t xml:space="preserve"> - otryskanie(brokovanie) NK pod izoláciu vozovky :63,2*13,78=870,9</t>
  </si>
  <si>
    <t xml:space="preserve"> - otryskanie čiel (vrátane odrezania obnaženej kotevnej výstuže ríms pri hornom páse nosníkov) prefabrikovaných nosníkov typu I-73 : 2*1,632*61</t>
  </si>
  <si>
    <t xml:space="preserve"> - otryskanie spodných pásov prefabrikovaných nosníkov typuI-73 : 9*1,15*(63-2*0,75)</t>
  </si>
  <si>
    <t xml:space="preserve"> - otryskanie výplňového betónu vrátane povrchu obnaženej výstuže medzi spodnými pásmi prefabrikovaných nosníkov typu I-73 : 8*0,43*(63-2*0,75)</t>
  </si>
  <si>
    <t xml:space="preserve"> - otryskanie telesa podpier 2 a 3 : 4*10,3*7</t>
  </si>
  <si>
    <t xml:space="preserve"> - otryskanie priečnikov podpier 2 a 3 : 4*10,3+2*15,1*1,9</t>
  </si>
  <si>
    <t xml:space="preserve"> - výstuž nadbetonávky z kari sietí : 8247,60kg</t>
  </si>
  <si>
    <t>SO D1-073 Most ev.č. D1-073, pravý most</t>
  </si>
  <si>
    <t>Číslo časti stavby</t>
  </si>
  <si>
    <t>Klasifikácia stavieb</t>
  </si>
  <si>
    <t>Názov časti stavby</t>
  </si>
  <si>
    <t>Cena bez DPH</t>
  </si>
  <si>
    <t>DPH 20%</t>
  </si>
  <si>
    <t>Cena s DPH</t>
  </si>
  <si>
    <t>Celkový súčet</t>
  </si>
  <si>
    <t xml:space="preserve">SO D1-073 </t>
  </si>
  <si>
    <t>Most ev.č. D1-073, pravý most</t>
  </si>
  <si>
    <t>Klasifikácia produkcie</t>
  </si>
  <si>
    <t>Čislo položky</t>
  </si>
  <si>
    <t>Názov položky</t>
  </si>
  <si>
    <t>M.j.</t>
  </si>
  <si>
    <t>Množstvo</t>
  </si>
  <si>
    <t>Jednotková cena</t>
  </si>
  <si>
    <t xml:space="preserve">45.00.00 - Všeobecné položky v procese obstarávania stavieb </t>
  </si>
  <si>
    <t>45.11.11 - Demolačné práce</t>
  </si>
  <si>
    <t>45.22.11 - Stavebné práce na mostoch</t>
  </si>
  <si>
    <t>45.23.32 - Práce na vrchnej stavbe diaľníc, ciest, ulíc, chodníkov a nekrytých parkovísk</t>
  </si>
  <si>
    <t>45.23.33 - Práce na spodnej stavby diaľnic, ciest, ulíc a chodníkov a nekrytých parkovísk</t>
  </si>
  <si>
    <t>45.41.00 - Omietkarské práce</t>
  </si>
  <si>
    <t>45.44.20 - Nanášanie ochranných vrstiev - maliarske a natieračské práce</t>
  </si>
  <si>
    <t>Časť stavby</t>
  </si>
  <si>
    <t xml:space="preserve"> </t>
  </si>
  <si>
    <t>Celkom za SO D1-073 Most ev.č. D1-073, pravý most</t>
  </si>
  <si>
    <t>45.11.12</t>
  </si>
  <si>
    <t>45.11.24</t>
  </si>
  <si>
    <t>Vodorovné nosné konštrukcie inžinierskych stavieb, prechodové dosky z betónu železového</t>
  </si>
  <si>
    <t>45.11.12 - Úprava staveniska a vyčisťovacie práce</t>
  </si>
  <si>
    <t>45.11.25 - Výkopové práce</t>
  </si>
  <si>
    <t>45.11.24 - Presun zemín</t>
  </si>
  <si>
    <t>45.22.38 - Kompletovanie a montáž prefabrikovaných konštrukcií</t>
  </si>
  <si>
    <t>45.23.13 - Práce na stavbe miestnych potrubných vedení vody a kanalizácie</t>
  </si>
  <si>
    <t>45.24.70 - Práce na hrubej stavbe úprav tokov, hrádzí, zavlažovacích kanálov a akvaduktov</t>
  </si>
  <si>
    <t>45.26.14 - Izolačné práce proti vode</t>
  </si>
  <si>
    <t>45.26.23 - Betonárske práce</t>
  </si>
  <si>
    <t>45.34.10 - Montáž zábradlí</t>
  </si>
  <si>
    <t>45.34.20 - Montáž oplotenia</t>
  </si>
  <si>
    <t>Celkom za 073 - Most ev. č. D1-073 Hlohovec</t>
  </si>
  <si>
    <t>T</t>
  </si>
  <si>
    <t>M3</t>
  </si>
  <si>
    <t>M2</t>
  </si>
  <si>
    <t>M</t>
  </si>
  <si>
    <r>
      <t xml:space="preserve"> - zábradeľné </t>
    </r>
    <r>
      <rPr>
        <i/>
        <sz val="10"/>
        <rFont val="Arial"/>
        <family val="2"/>
        <charset val="238"/>
      </rPr>
      <t>zvodidlo</t>
    </r>
    <r>
      <rPr>
        <i/>
        <sz val="10"/>
        <rFont val="Arial CE"/>
        <family val="2"/>
        <charset val="238"/>
      </rPr>
      <t xml:space="preserve"> mostné : 65,3+7,8+2
   / s odvozom do zberných surovín-cca 3,2 t/</t>
    </r>
  </si>
  <si>
    <t xml:space="preserve">   odpadové farby a laky</t>
  </si>
  <si>
    <t xml:space="preserve">   zmesový komunálny odpad</t>
  </si>
  <si>
    <t xml:space="preserve">   obaly z papiera a lepenky</t>
  </si>
  <si>
    <t xml:space="preserve">   obaly z plastov</t>
  </si>
  <si>
    <t xml:space="preserve">   zmiešané obaly</t>
  </si>
  <si>
    <t xml:space="preserve">   absorbenty, filtračné materiály, handry na čistenie a ochranné odevy</t>
  </si>
  <si>
    <t xml:space="preserve">   drevo</t>
  </si>
  <si>
    <t xml:space="preserve"> - montáž výstražných značiek - pozor nebezpečie úrazu el. prúdom 2x2=4 ks</t>
  </si>
  <si>
    <t>Doplňujúce práce, otryskanie železobetónovej konštrukcie, kovovou drvinou</t>
  </si>
  <si>
    <t>0509060503</t>
  </si>
  <si>
    <t>0509060504</t>
  </si>
  <si>
    <t xml:space="preserve"> - výstuž prechodovej dosky opory 1 : 5780kg</t>
  </si>
  <si>
    <t xml:space="preserve"> - výstuž prechodovej dosky opory 4 : 5794kg</t>
  </si>
  <si>
    <t xml:space="preserve"> - prechodová doska opory 1 : 89,5*0,32=28,64m3</t>
  </si>
  <si>
    <t xml:space="preserve"> - prechodová doska opory 4 :  91,5*0,32=29,28m3</t>
  </si>
  <si>
    <t xml:space="preserve"> - debnenie prechodovej dosky vrátane podkladného betónu opory 1 : (8,24*2+13,04)*0,32+(8,24*2+13,24)*0,1</t>
  </si>
  <si>
    <t xml:space="preserve"> - debnenie prechodovej dosky vrátane podkladného betónu opory 1 : (8,24*2+13,04)*0,32+(8,24*2+13,24)*0,2</t>
  </si>
  <si>
    <t xml:space="preserve"> - prefabrikované železobetónové stupne (C30/37) 175x350-750 18ks</t>
  </si>
  <si>
    <t xml:space="preserve"> - výkop vsakovacej šachty 1,7*1,35*1,90*4 </t>
  </si>
  <si>
    <t xml:space="preserve"> - zásyp železobetónových vsakovacích šachiet 1,3x1,05 m osadené v 1,8m hĺbke do štrkopieskovej vrstvy  vyplnená drveným kameňom frakcie 63-90 - 4 ks: 4*0,94*1,19*1,8</t>
  </si>
  <si>
    <t xml:space="preserve"> - štrkopiesková vrstva pod železobetónové vsakovacie šachty - 4 ks: 4*1,15*1,4</t>
  </si>
  <si>
    <t xml:space="preserve"> - železobetónová vsakovacia šachta 1,3x1,05 m z prefabrikovaných stenových prvkov osadená v 1,8m hĺbke do štrkopieskovej vrstvy  vyplnená drveným kameňom frakcie 63-90</t>
  </si>
  <si>
    <t xml:space="preserve"> - odvodňovač izolácie zvislým odtokom DN 50</t>
  </si>
  <si>
    <t xml:space="preserve"> - búranie poškodenej dlažby, resp. dlažby v mieste revízneho chodníka pozdĺž opory (hrúbka 10 cm+ podkladný betón) svahu pri opore 1 vrátane podkladného betónu 20% plochy :  0,20*11,2*(25,4+18,8)/2+34,67*1,25</t>
  </si>
  <si>
    <t xml:space="preserve"> - búranie poškodenej dlažby, resp. dlažby v mieste revízneho chodníka pozdĺž opory  (hrúbka 10 cm+ podkladný betón) svahu pri opore 4 vrátane podkladného betónu 20% plochy :  0,20*11,2*(21,9+18,2)/2</t>
  </si>
  <si>
    <t xml:space="preserve"> - vybúranie olemovania dlažby svahu pri opore 1 : 0,2*0,5*11,2+0,2*0,3*5,5</t>
  </si>
  <si>
    <t xml:space="preserve"> - otryskanie spevneného svahu opory 4 po dokončení opráv (výmena dlažby, škárovanie) : ((19,5*11,2)+((21,9+18,2)/2-1,65)*11,2)*0,1</t>
  </si>
  <si>
    <t xml:space="preserve"> - otryskanie spevneného svahu opory 1 po dokončení opráv (výmena dlažby, škárovanie) : ((40,7+34,7)/2-1,65)*11,2)*0,1</t>
  </si>
  <si>
    <t xml:space="preserve"> - odstránenie porastu zo svahových kužeľov  a zo spevnených svahov opôr 1 a 4 : 2*(19,5*11,2)+0,25*3,14*((21,6*23,2)+18,2*20,3)) :</t>
  </si>
  <si>
    <t xml:space="preserve"> - odstránenie porastu zo spevnených svahov opôr 1 a 4 ľavého mosta : 2*((21,6+16,6(/2-1,65)*11,2 :</t>
  </si>
  <si>
    <t xml:space="preserve"> - podkladný betón hrúbky 100 mm pod dlažbou svahu pri opore 1 : 0,20*11,2*(25,4+18,8)/2</t>
  </si>
  <si>
    <t xml:space="preserve"> - podkladný betón hrúbky 100 mm pod dlažbou svahu pri opore 4 : 0,20*11,2*(21,9+18,2)/2*0,1</t>
  </si>
  <si>
    <t xml:space="preserve"> - pokládka  chýbajúcej a poškodenej betónovej dlažby 500x500x100 svahu pri opore 1 :  0,20*11,2*(25,4+18,8)/2</t>
  </si>
  <si>
    <t xml:space="preserve"> - pokládka chýbajúcej a poškodenej betónovej dlažby 500x500x100 svahu pri opore 4 : 0,20*11,2*(21,9+18,2)/2</t>
  </si>
  <si>
    <t xml:space="preserve"> - vyspravenie podpier 2 a 3 sanačnou malto hr. 10mm : 0,5*(288,4+98,58)</t>
  </si>
  <si>
    <t xml:space="preserve">vyspravenie  opôr a podpier sanačnou maltou do hr.50 mm : </t>
  </si>
  <si>
    <t xml:space="preserve"> - vyspravenie podpier 2 a 3 sanačnou maltou hr. 50mm : 0,5*(288,4+98,58)</t>
  </si>
  <si>
    <t xml:space="preserve"> - vyspravenie opôr 1 a 2 sanačnou maltou hr. 50mm : 81,4+47,11+25,71</t>
  </si>
  <si>
    <t xml:space="preserve"> -  príprava na opravu škárovania spevneného svahu opory 1 : : ((40,7+34,7)/2-1,65)*11,2)*0,1</t>
  </si>
  <si>
    <t xml:space="preserve"> - príprava na opravu škárovania spevneného svahu opory 4 : ((19,5*11,2)+((21,9+18,2)/2-1,65)*11,2)*0,1</t>
  </si>
  <si>
    <t xml:space="preserve"> - oprava škárovania betónovej dlažby opory 1 : ((40,7+34,7)/2-1,65)*11,2)*0,1</t>
  </si>
  <si>
    <t xml:space="preserve"> - oprava škárovania betónovej dlažby opory 4 : ((19,5*11,2)+((21,9+18,2)/2-1,65)*11,2)*0,1</t>
  </si>
  <si>
    <t xml:space="preserve">   s vysprávkovou hmotou na nosnej konštrukcii a na podperách : 1047,19+541,22</t>
  </si>
  <si>
    <t xml:space="preserve"> - vrchný ochranný a zjednodušujúci náter betónových povrchov na nosnej konštrukcii a na podperách : 1047,19+541,22</t>
  </si>
  <si>
    <t xml:space="preserve">   s vysprávkovou hmotou na spevnenom svahu opôr 1 a 4 : 1047,19+541,22+ ((19,5*11,2)+((21,9+18,2)/2-1,65)*11,2)</t>
  </si>
  <si>
    <t xml:space="preserve"> - vrchný ochranný a zjednodušujúci náter betónových povrchov na spevnenom svahu opôr 1 a 4: ((40,7+34,7)/2-1,65)*11,2)+((19,5*11,2)+((21,9+18,2)/2-1,65)*11,2)</t>
  </si>
  <si>
    <t xml:space="preserve"> - schodnica schodiska pri opore 4 : 3,30*0,2=0,66</t>
  </si>
  <si>
    <t xml:space="preserve"> - debnenie schodnice schodiska pri opore 4 : 2*3,3*1,1</t>
  </si>
  <si>
    <t xml:space="preserve"> - základový pás, podkladný betón a nadbetonávka podkladného betónu opory 1 revízneho chodníka :  30,7*(0,3*0,60+0,1*0,58+0,3*0,15)+4*0,8*0,75 </t>
  </si>
  <si>
    <t xml:space="preserve"> - základový pás, podkladný betón a nadbetonávka podkladného betónu opory 4 revízneho chodníka :  14*(0,3*0,54+0,1*0,58+0,3*0,15)+5*0,8*0,75 </t>
  </si>
  <si>
    <t xml:space="preserve"> - podkladný betón prechodovej dosky opory 1 : 92,4m2*0,1</t>
  </si>
  <si>
    <t xml:space="preserve"> - podkladný betón prechodovej dosky opory 4 : 94,5m2*0,1</t>
  </si>
  <si>
    <t xml:space="preserve"> - žľab k dvom uličným žľabom včetne podkladného betónu 0,8*0,6 m/m : (20,8+20,3)*1,2</t>
  </si>
  <si>
    <t xml:space="preserve"> - zvislé odvodňovacie potrubie z polyetylénu DN 160 s odolnosťou voči UV žiareniu a oproti chemickým vplyvom so závesným systémom a kompenzátorom umožňujúci pohyb 20 mm : 2*(5+2*1)</t>
  </si>
  <si>
    <t xml:space="preserve"> - výstuž nadbetonávky  kotvením pomocou  vrtov priemeru 12 mm, dĺ. 150 mm do nosnej konštrukcie mosta (0,15*(6540+2*255)=1057,5m) : 3547,3kg</t>
  </si>
  <si>
    <t xml:space="preserve"> - výkop základového pásu odvodňovacích žľabov : 43,1*0,8*0,6*1,1</t>
  </si>
  <si>
    <t>1548,69*0,1</t>
  </si>
  <si>
    <t xml:space="preserve">   bitúmen na skládku : 532,1</t>
  </si>
  <si>
    <t xml:space="preserve">   betón na skládku : 495,6</t>
  </si>
  <si>
    <t>11090102</t>
  </si>
  <si>
    <t>Schodiskové konštrukcie kompletné, z betónu železového</t>
  </si>
  <si>
    <t>11090101</t>
  </si>
  <si>
    <t>1109010106</t>
  </si>
  <si>
    <t>Schodiskové konštrukcie kompletné, z betónu prostého</t>
  </si>
  <si>
    <t>Schodiskové konštrukcie kompletné z betónu prostého, tr. C 25/30 (B 30)</t>
  </si>
  <si>
    <t>1109010208</t>
  </si>
  <si>
    <t>Schodiskové konštrukcie kompletné z betónu železového, tr. C 35/45 (B 40)</t>
  </si>
  <si>
    <t>11090111</t>
  </si>
  <si>
    <t>Schodiskové konštrukcie kompletné, debnenie tradičné</t>
  </si>
  <si>
    <t>1109011101</t>
  </si>
  <si>
    <t>Schodiskové konštrukcie kompletné, debnenie tradičné drevené</t>
  </si>
  <si>
    <t>11090121</t>
  </si>
  <si>
    <t>Schodiskové konštrukcie kompletné, výstuž z betonárskej ocele</t>
  </si>
  <si>
    <t>1109012106</t>
  </si>
  <si>
    <t>Schodiskové konštrukcie kompletné, výstuž z betonárskej ocele 10505</t>
  </si>
  <si>
    <t>1109012107</t>
  </si>
  <si>
    <t>Schodiskové konštrukcie kompletné, výstuž z betonárskej ocele zo zváraných sietí</t>
  </si>
  <si>
    <t xml:space="preserve"> - výstuž schodnice schodiska pri opore 4 </t>
  </si>
  <si>
    <t xml:space="preserve"> - základové bloky revízneho schodiska a podkladný betón schodiskových stupňov : 1*1,25*0,8+0,35*0,8*1,15+5,9*0,6*1,15+5,3*0,3*0,19</t>
  </si>
  <si>
    <t>zabezpečenia trakčnej a koľajovej výluky v potrebnom rozsahu; montáž, demontáž a zabezpečenie napäťovej a koľajovej výluky  pre jednotlivé etapy prác v potrebnom rozsahu - výluky na trati - odhad hodín: počet výluk-30 ks; odhadovaná dĺžka jednej výluky: 6 hodín; v cene položky je zahrnutý aj náklad za technický dozor správcu  inžinierskych sietí realizovaný počas výluky.</t>
  </si>
  <si>
    <t>Jednotková cena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</si>
</sst>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0000000"/>
    <numFmt numFmtId="165" formatCode="0000000000"/>
    <numFmt numFmtId="166" formatCode="0.0"/>
    <numFmt numFmtId="167" formatCode="#"/>
    <numFmt numFmtId="168" formatCode="#,###,###,###,##0.00"/>
  </numFmts>
  <fonts count="56">
    <font>
      <sz val="10"/>
      <name val="Arial"/>
      <charset val="238"/>
    </font>
    <font>
      <sz val="10"/>
      <name val="Arial CE"/>
      <family val="2"/>
      <charset val="238"/>
    </font>
    <font>
      <sz val="10"/>
      <name val="Helv"/>
    </font>
    <font>
      <sz val="8"/>
      <color rgb="FF000000"/>
      <name val="Arial"/>
      <family val="2"/>
      <charset val="238"/>
    </font>
    <font>
      <sz val="9"/>
      <color rgb="FF000000"/>
      <name val="Ariel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i/>
      <u/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name val="Arial CE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i/>
      <sz val="10"/>
      <color rgb="FFFF0000"/>
      <name val="Arial CE"/>
      <charset val="238"/>
    </font>
    <font>
      <b/>
      <sz val="10"/>
      <color rgb="FFFF0000"/>
      <name val="Arial"/>
      <family val="2"/>
      <charset val="238"/>
    </font>
    <font>
      <b/>
      <i/>
      <sz val="10"/>
      <name val="Arial CE"/>
      <charset val="238"/>
    </font>
    <font>
      <b/>
      <sz val="10"/>
      <color indexed="12"/>
      <name val="Arial CE"/>
      <family val="2"/>
      <charset val="238"/>
    </font>
    <font>
      <b/>
      <sz val="10"/>
      <color indexed="12"/>
      <name val="Arial"/>
      <family val="2"/>
    </font>
    <font>
      <sz val="10"/>
      <color indexed="12"/>
      <name val="Arial CE"/>
      <family val="2"/>
      <charset val="238"/>
    </font>
    <font>
      <b/>
      <sz val="10"/>
      <name val="Arial"/>
      <family val="2"/>
    </font>
    <font>
      <i/>
      <sz val="10"/>
      <color rgb="FFFF0000"/>
      <name val="Arial CE"/>
      <family val="2"/>
      <charset val="238"/>
    </font>
    <font>
      <i/>
      <u/>
      <sz val="10"/>
      <name val="Arial CE"/>
      <charset val="238"/>
    </font>
    <font>
      <sz val="10"/>
      <name val="Arial"/>
      <family val="2"/>
    </font>
    <font>
      <i/>
      <sz val="10"/>
      <name val="Arial"/>
      <family val="2"/>
      <charset val="238"/>
    </font>
    <font>
      <sz val="12"/>
      <name val="Arial CE"/>
      <charset val="238"/>
    </font>
    <font>
      <i/>
      <sz val="10"/>
      <name val="Arial"/>
      <family val="2"/>
    </font>
    <font>
      <b/>
      <sz val="18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sz val="10"/>
      <color indexed="12"/>
      <name val="Arial CE"/>
      <charset val="238"/>
    </font>
    <font>
      <b/>
      <sz val="10"/>
      <color rgb="FF0000FF"/>
      <name val="Arial CE"/>
      <family val="2"/>
      <charset val="238"/>
    </font>
    <font>
      <u/>
      <sz val="10"/>
      <color indexed="12"/>
      <name val="Arial CE"/>
      <charset val="238"/>
    </font>
    <font>
      <b/>
      <sz val="10"/>
      <color rgb="FFFF0000"/>
      <name val="Arial CE"/>
      <charset val="238"/>
    </font>
    <font>
      <b/>
      <sz val="9"/>
      <color rgb="FF000000"/>
      <name val="Ariel"/>
      <charset val="238"/>
    </font>
    <font>
      <u/>
      <sz val="10"/>
      <name val="Arial CE"/>
      <family val="2"/>
      <charset val="238"/>
    </font>
    <font>
      <b/>
      <sz val="8"/>
      <color rgb="FF000000"/>
      <name val="Ariel"/>
      <charset val="238"/>
    </font>
    <font>
      <b/>
      <sz val="9"/>
      <name val="Ariel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 CE"/>
      <family val="2"/>
      <charset val="238"/>
    </font>
    <font>
      <b/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Helv"/>
      <charset val="238"/>
    </font>
    <font>
      <b/>
      <i/>
      <sz val="10"/>
      <color rgb="FFFF0000"/>
      <name val="Arial CE"/>
      <charset val="238"/>
    </font>
    <font>
      <b/>
      <sz val="10"/>
      <name val="Helv"/>
    </font>
    <font>
      <b/>
      <sz val="10"/>
      <color rgb="FFFF0000"/>
      <name val="Helv"/>
    </font>
    <font>
      <sz val="10"/>
      <color rgb="FFFF0000"/>
      <name val="Helv"/>
    </font>
    <font>
      <sz val="10"/>
      <color rgb="FFC00000"/>
      <name val="Arial CE"/>
      <charset val="238"/>
    </font>
    <font>
      <b/>
      <sz val="10"/>
      <color rgb="FFC00000"/>
      <name val="Arial"/>
      <family val="2"/>
      <charset val="238"/>
    </font>
    <font>
      <b/>
      <sz val="10"/>
      <color rgb="FFC00000"/>
      <name val="Helv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2" borderId="0"/>
    <xf numFmtId="0" fontId="4" fillId="0" borderId="0"/>
    <xf numFmtId="0" fontId="12" fillId="0" borderId="0"/>
    <xf numFmtId="0" fontId="36" fillId="4" borderId="0"/>
    <xf numFmtId="0" fontId="36" fillId="0" borderId="0"/>
    <xf numFmtId="0" fontId="3" fillId="0" borderId="0"/>
    <xf numFmtId="0" fontId="38" fillId="4" borderId="0"/>
    <xf numFmtId="0" fontId="45" fillId="0" borderId="0"/>
    <xf numFmtId="0" fontId="5" fillId="0" borderId="0"/>
    <xf numFmtId="0" fontId="5" fillId="0" borderId="0"/>
    <xf numFmtId="0" fontId="5" fillId="0" borderId="0"/>
  </cellStyleXfs>
  <cellXfs count="446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2" fillId="0" borderId="0" xfId="0" applyFont="1" applyFill="1" applyAlignment="1">
      <alignment vertical="top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/>
    </xf>
    <xf numFmtId="167" fontId="7" fillId="0" borderId="0" xfId="0" applyNumberFormat="1" applyFont="1" applyFill="1" applyBorder="1" applyAlignment="1" applyProtection="1">
      <alignment vertical="top" wrapText="1"/>
    </xf>
    <xf numFmtId="167" fontId="6" fillId="0" borderId="1" xfId="0" applyNumberFormat="1" applyFont="1" applyFill="1" applyBorder="1" applyAlignment="1" applyProtection="1">
      <alignment horizontal="left" vertical="top"/>
    </xf>
    <xf numFmtId="167" fontId="1" fillId="0" borderId="1" xfId="0" applyNumberFormat="1" applyFont="1" applyFill="1" applyBorder="1" applyAlignment="1" applyProtection="1">
      <alignment horizontal="left" vertical="top"/>
    </xf>
    <xf numFmtId="167" fontId="1" fillId="0" borderId="1" xfId="0" applyNumberFormat="1" applyFont="1" applyFill="1" applyBorder="1" applyAlignment="1" applyProtection="1">
      <alignment horizontal="center" vertical="top"/>
    </xf>
    <xf numFmtId="1" fontId="1" fillId="0" borderId="20" xfId="0" applyNumberFormat="1" applyFont="1" applyFill="1" applyBorder="1" applyAlignment="1" applyProtection="1">
      <alignment horizontal="left" vertical="top" wrapText="1"/>
    </xf>
    <xf numFmtId="0" fontId="36" fillId="4" borderId="25" xfId="5" applyBorder="1"/>
    <xf numFmtId="0" fontId="36" fillId="4" borderId="25" xfId="5" applyBorder="1" applyAlignment="1">
      <alignment wrapText="1"/>
    </xf>
    <xf numFmtId="0" fontId="36" fillId="4" borderId="25" xfId="5" applyBorder="1" applyAlignment="1">
      <alignment horizontal="center"/>
    </xf>
    <xf numFmtId="0" fontId="4" fillId="0" borderId="25" xfId="5" applyFont="1" applyFill="1" applyBorder="1"/>
    <xf numFmtId="0" fontId="4" fillId="0" borderId="25" xfId="5" applyFont="1" applyFill="1" applyBorder="1" applyAlignment="1">
      <alignment horizontal="left"/>
    </xf>
    <xf numFmtId="4" fontId="4" fillId="0" borderId="25" xfId="5" applyNumberFormat="1" applyFont="1" applyFill="1" applyBorder="1" applyAlignment="1">
      <alignment horizontal="right"/>
    </xf>
    <xf numFmtId="168" fontId="36" fillId="0" borderId="25" xfId="3" applyNumberFormat="1" applyFont="1" applyBorder="1"/>
    <xf numFmtId="168" fontId="36" fillId="0" borderId="25" xfId="6" applyNumberFormat="1" applyBorder="1"/>
    <xf numFmtId="168" fontId="0" fillId="0" borderId="0" xfId="0" applyNumberFormat="1"/>
    <xf numFmtId="0" fontId="3" fillId="0" borderId="0" xfId="7" applyBorder="1" applyAlignment="1">
      <alignment wrapText="1"/>
    </xf>
    <xf numFmtId="0" fontId="0" fillId="0" borderId="0" xfId="0" applyProtection="1"/>
    <xf numFmtId="0" fontId="37" fillId="0" borderId="0" xfId="0" applyFont="1"/>
    <xf numFmtId="49" fontId="1" fillId="0" borderId="0" xfId="0" applyNumberFormat="1" applyFont="1" applyBorder="1" applyProtection="1">
      <protection locked="0"/>
    </xf>
    <xf numFmtId="0" fontId="39" fillId="4" borderId="25" xfId="8" applyFont="1" applyBorder="1" applyProtection="1"/>
    <xf numFmtId="0" fontId="39" fillId="4" borderId="25" xfId="8" applyFont="1" applyBorder="1" applyAlignment="1" applyProtection="1">
      <alignment vertical="top"/>
    </xf>
    <xf numFmtId="0" fontId="40" fillId="0" borderId="0" xfId="0" applyFont="1" applyProtection="1"/>
    <xf numFmtId="0" fontId="36" fillId="4" borderId="25" xfId="8" applyFont="1" applyBorder="1" applyAlignment="1" applyProtection="1">
      <alignment horizontal="center" vertical="top"/>
    </xf>
    <xf numFmtId="0" fontId="41" fillId="0" borderId="29" xfId="7" applyFont="1" applyBorder="1" applyAlignment="1" applyProtection="1">
      <alignment wrapText="1"/>
    </xf>
    <xf numFmtId="0" fontId="40" fillId="0" borderId="0" xfId="0" applyFont="1" applyFill="1" applyProtection="1"/>
    <xf numFmtId="2" fontId="4" fillId="2" borderId="25" xfId="8" applyNumberFormat="1" applyFont="1" applyFill="1" applyBorder="1" applyAlignment="1" applyProtection="1">
      <alignment horizontal="center" vertical="top"/>
      <protection locked="0"/>
    </xf>
    <xf numFmtId="168" fontId="41" fillId="0" borderId="25" xfId="7" applyNumberFormat="1" applyFont="1" applyBorder="1" applyAlignment="1" applyProtection="1">
      <alignment vertical="top"/>
    </xf>
    <xf numFmtId="0" fontId="41" fillId="0" borderId="1" xfId="7" applyFont="1" applyBorder="1" applyAlignment="1" applyProtection="1">
      <alignment wrapText="1"/>
    </xf>
    <xf numFmtId="0" fontId="41" fillId="0" borderId="29" xfId="7" applyFont="1" applyBorder="1" applyAlignment="1" applyProtection="1">
      <alignment vertical="top" wrapText="1"/>
    </xf>
    <xf numFmtId="0" fontId="41" fillId="0" borderId="1" xfId="7" applyFont="1" applyBorder="1" applyAlignment="1" applyProtection="1">
      <alignment vertical="top" wrapText="1"/>
    </xf>
    <xf numFmtId="0" fontId="41" fillId="0" borderId="30" xfId="7" applyFont="1" applyBorder="1" applyAlignment="1" applyProtection="1">
      <alignment wrapText="1"/>
    </xf>
    <xf numFmtId="2" fontId="40" fillId="0" borderId="0" xfId="0" applyNumberFormat="1" applyFont="1" applyAlignment="1" applyProtection="1">
      <alignment vertical="top"/>
    </xf>
    <xf numFmtId="0" fontId="40" fillId="0" borderId="0" xfId="0" applyFont="1" applyAlignment="1" applyProtection="1">
      <alignment vertical="top"/>
    </xf>
    <xf numFmtId="168" fontId="40" fillId="0" borderId="0" xfId="0" applyNumberFormat="1" applyFont="1" applyAlignment="1" applyProtection="1">
      <alignment vertical="top"/>
    </xf>
    <xf numFmtId="168" fontId="43" fillId="0" borderId="25" xfId="7" applyNumberFormat="1" applyFont="1" applyBorder="1" applyProtection="1"/>
    <xf numFmtId="0" fontId="44" fillId="0" borderId="26" xfId="0" applyFont="1" applyBorder="1" applyAlignment="1" applyProtection="1">
      <alignment vertical="top"/>
    </xf>
    <xf numFmtId="168" fontId="43" fillId="0" borderId="25" xfId="9" applyNumberFormat="1" applyFont="1" applyBorder="1" applyProtection="1"/>
    <xf numFmtId="0" fontId="44" fillId="0" borderId="31" xfId="0" applyFont="1" applyBorder="1" applyAlignment="1" applyProtection="1">
      <alignment vertical="top"/>
    </xf>
    <xf numFmtId="168" fontId="46" fillId="0" borderId="30" xfId="0" applyNumberFormat="1" applyFont="1" applyBorder="1" applyProtection="1"/>
    <xf numFmtId="0" fontId="41" fillId="0" borderId="27" xfId="7" quotePrefix="1" applyFont="1" applyBorder="1" applyAlignment="1" applyProtection="1"/>
    <xf numFmtId="0" fontId="40" fillId="0" borderId="27" xfId="7" applyFont="1" applyBorder="1" applyAlignment="1" applyProtection="1">
      <alignment vertical="top"/>
    </xf>
    <xf numFmtId="0" fontId="41" fillId="0" borderId="27" xfId="7" quotePrefix="1" applyFont="1" applyBorder="1" applyAlignment="1" applyProtection="1">
      <alignment vertical="top"/>
    </xf>
    <xf numFmtId="0" fontId="41" fillId="0" borderId="25" xfId="7" applyFont="1" applyBorder="1" applyAlignment="1" applyProtection="1">
      <alignment wrapText="1"/>
    </xf>
    <xf numFmtId="0" fontId="36" fillId="4" borderId="25" xfId="8" applyFont="1" applyBorder="1" applyProtection="1"/>
    <xf numFmtId="0" fontId="36" fillId="4" borderId="25" xfId="8" applyFont="1" applyBorder="1" applyAlignment="1" applyProtection="1">
      <alignment horizontal="center" vertical="top" wrapText="1"/>
    </xf>
    <xf numFmtId="0" fontId="42" fillId="0" borderId="25" xfId="10" applyFont="1" applyFill="1" applyBorder="1" applyAlignment="1" applyProtection="1">
      <alignment vertical="top" wrapText="1"/>
    </xf>
    <xf numFmtId="164" fontId="42" fillId="0" borderId="25" xfId="10" quotePrefix="1" applyNumberFormat="1" applyFont="1" applyFill="1" applyBorder="1" applyAlignment="1" applyProtection="1">
      <alignment horizontal="left" vertical="top" wrapText="1"/>
    </xf>
    <xf numFmtId="0" fontId="42" fillId="0" borderId="25" xfId="10" applyFont="1" applyFill="1" applyBorder="1" applyAlignment="1" applyProtection="1">
      <alignment horizontal="center" vertical="top" wrapText="1"/>
    </xf>
    <xf numFmtId="4" fontId="42" fillId="0" borderId="25" xfId="10" applyNumberFormat="1" applyFont="1" applyFill="1" applyBorder="1" applyAlignment="1" applyProtection="1">
      <alignment vertical="top"/>
    </xf>
    <xf numFmtId="0" fontId="39" fillId="4" borderId="25" xfId="8" applyFont="1" applyBorder="1" applyAlignment="1" applyProtection="1">
      <alignment horizontal="center" vertical="top"/>
    </xf>
    <xf numFmtId="0" fontId="43" fillId="0" borderId="26" xfId="7" applyFont="1" applyBorder="1" applyAlignment="1" applyProtection="1"/>
    <xf numFmtId="49" fontId="42" fillId="0" borderId="27" xfId="0" quotePrefix="1" applyNumberFormat="1" applyFont="1" applyBorder="1" applyAlignment="1" applyProtection="1">
      <alignment horizontal="left" vertical="top"/>
    </xf>
    <xf numFmtId="0" fontId="42" fillId="0" borderId="27" xfId="0" applyFont="1" applyBorder="1" applyAlignment="1" applyProtection="1">
      <alignment vertical="top" wrapText="1"/>
    </xf>
    <xf numFmtId="2" fontId="42" fillId="0" borderId="28" xfId="0" applyNumberFormat="1" applyFont="1" applyFill="1" applyBorder="1" applyAlignment="1" applyProtection="1">
      <alignment vertical="top"/>
    </xf>
    <xf numFmtId="168" fontId="43" fillId="0" borderId="25" xfId="7" applyNumberFormat="1" applyFont="1" applyBorder="1" applyAlignment="1" applyProtection="1">
      <alignment vertical="top"/>
    </xf>
    <xf numFmtId="0" fontId="40" fillId="0" borderId="27" xfId="0" applyFont="1" applyBorder="1" applyProtection="1"/>
    <xf numFmtId="2" fontId="42" fillId="0" borderId="27" xfId="0" applyNumberFormat="1" applyFont="1" applyFill="1" applyBorder="1" applyAlignment="1" applyProtection="1">
      <alignment vertical="top"/>
    </xf>
    <xf numFmtId="168" fontId="41" fillId="0" borderId="27" xfId="7" applyNumberFormat="1" applyFont="1" applyBorder="1" applyProtection="1"/>
    <xf numFmtId="168" fontId="41" fillId="0" borderId="27" xfId="7" applyNumberFormat="1" applyFont="1" applyBorder="1" applyAlignment="1" applyProtection="1">
      <alignment vertical="top"/>
    </xf>
    <xf numFmtId="0" fontId="1" fillId="0" borderId="0" xfId="0" applyFont="1" applyFill="1" applyBorder="1" applyAlignment="1" applyProtection="1">
      <alignment horizontal="left" vertical="top"/>
    </xf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Protection="1"/>
    <xf numFmtId="4" fontId="7" fillId="0" borderId="0" xfId="0" applyNumberFormat="1" applyFont="1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vertical="top"/>
    </xf>
    <xf numFmtId="0" fontId="1" fillId="0" borderId="0" xfId="0" applyFont="1" applyFill="1" applyProtection="1"/>
    <xf numFmtId="166" fontId="1" fillId="0" borderId="0" xfId="0" applyNumberFormat="1" applyFont="1" applyFill="1" applyProtection="1"/>
    <xf numFmtId="0" fontId="1" fillId="0" borderId="2" xfId="0" applyFont="1" applyFill="1" applyBorder="1" applyAlignment="1" applyProtection="1">
      <alignment horizontal="left"/>
    </xf>
    <xf numFmtId="1" fontId="1" fillId="0" borderId="0" xfId="0" applyNumberFormat="1" applyFont="1" applyFill="1" applyBorder="1" applyAlignment="1" applyProtection="1">
      <alignment horizontal="left" vertical="top"/>
    </xf>
    <xf numFmtId="0" fontId="1" fillId="0" borderId="2" xfId="0" applyFont="1" applyFill="1" applyBorder="1" applyAlignment="1" applyProtection="1">
      <alignment horizontal="center"/>
    </xf>
    <xf numFmtId="4" fontId="1" fillId="0" borderId="0" xfId="0" applyNumberFormat="1" applyFont="1" applyFill="1" applyBorder="1" applyAlignment="1" applyProtection="1">
      <alignment horizontal="right" vertical="top"/>
    </xf>
    <xf numFmtId="0" fontId="1" fillId="0" borderId="4" xfId="0" applyFont="1" applyFill="1" applyBorder="1" applyAlignment="1" applyProtection="1">
      <alignment horizontal="centerContinuous"/>
    </xf>
    <xf numFmtId="0" fontId="1" fillId="0" borderId="8" xfId="0" applyFont="1" applyFill="1" applyBorder="1" applyAlignment="1" applyProtection="1">
      <alignment horizontal="center" vertical="top"/>
    </xf>
    <xf numFmtId="0" fontId="1" fillId="0" borderId="9" xfId="0" applyFont="1" applyFill="1" applyBorder="1" applyAlignment="1" applyProtection="1">
      <alignment horizontal="center"/>
    </xf>
    <xf numFmtId="2" fontId="1" fillId="0" borderId="0" xfId="0" applyNumberFormat="1" applyFont="1" applyFill="1" applyProtection="1"/>
    <xf numFmtId="0" fontId="6" fillId="0" borderId="14" xfId="0" applyFont="1" applyFill="1" applyBorder="1" applyAlignment="1" applyProtection="1">
      <alignment horizontal="center" vertical="top" wrapText="1"/>
    </xf>
    <xf numFmtId="0" fontId="6" fillId="0" borderId="15" xfId="0" applyFont="1" applyFill="1" applyBorder="1" applyAlignment="1" applyProtection="1">
      <alignment horizontal="center" vertical="top" wrapText="1"/>
    </xf>
    <xf numFmtId="0" fontId="1" fillId="0" borderId="15" xfId="0" applyFont="1" applyFill="1" applyBorder="1" applyAlignment="1" applyProtection="1">
      <alignment horizontal="center" vertical="top" wrapText="1"/>
    </xf>
    <xf numFmtId="0" fontId="1" fillId="0" borderId="5" xfId="0" applyFont="1" applyFill="1" applyBorder="1" applyAlignment="1" applyProtection="1">
      <alignment horizontal="center" vertical="top" wrapText="1"/>
    </xf>
    <xf numFmtId="4" fontId="7" fillId="0" borderId="16" xfId="0" applyNumberFormat="1" applyFont="1" applyFill="1" applyBorder="1" applyAlignment="1" applyProtection="1">
      <alignment vertical="top" wrapText="1"/>
    </xf>
    <xf numFmtId="0" fontId="1" fillId="0" borderId="15" xfId="0" quotePrefix="1" applyFont="1" applyFill="1" applyBorder="1" applyAlignment="1" applyProtection="1">
      <alignment horizontal="center" vertical="top" wrapText="1"/>
    </xf>
    <xf numFmtId="4" fontId="1" fillId="0" borderId="7" xfId="0" applyNumberFormat="1" applyFont="1" applyFill="1" applyBorder="1" applyAlignment="1" applyProtection="1">
      <alignment horizontal="center" vertical="top" wrapText="1"/>
    </xf>
    <xf numFmtId="4" fontId="1" fillId="0" borderId="0" xfId="0" applyNumberFormat="1" applyFont="1" applyFill="1" applyProtection="1"/>
    <xf numFmtId="0" fontId="1" fillId="0" borderId="17" xfId="0" applyFont="1" applyFill="1" applyBorder="1" applyAlignment="1" applyProtection="1">
      <alignment vertical="top" wrapText="1"/>
    </xf>
    <xf numFmtId="0" fontId="6" fillId="0" borderId="1" xfId="0" applyFont="1" applyFill="1" applyBorder="1" applyAlignment="1" applyProtection="1">
      <alignment vertical="top" wrapText="1"/>
    </xf>
    <xf numFmtId="164" fontId="6" fillId="0" borderId="1" xfId="0" applyNumberFormat="1" applyFont="1" applyFill="1" applyBorder="1" applyAlignment="1" applyProtection="1">
      <alignment horizontal="left" vertical="top" wrapText="1"/>
    </xf>
    <xf numFmtId="165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horizontal="left" vertical="top" wrapText="1"/>
    </xf>
    <xf numFmtId="0" fontId="6" fillId="0" borderId="1" xfId="0" applyFont="1" applyFill="1" applyBorder="1" applyAlignment="1" applyProtection="1">
      <alignment horizontal="center" vertical="top" wrapText="1"/>
    </xf>
    <xf numFmtId="4" fontId="1" fillId="0" borderId="18" xfId="0" applyNumberFormat="1" applyFont="1" applyFill="1" applyBorder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166" fontId="1" fillId="0" borderId="0" xfId="0" applyNumberFormat="1" applyFont="1" applyFill="1" applyAlignment="1" applyProtection="1">
      <alignment vertical="top"/>
    </xf>
    <xf numFmtId="0" fontId="1" fillId="0" borderId="0" xfId="0" applyFont="1" applyFill="1" applyAlignment="1" applyProtection="1">
      <alignment vertical="top" wrapText="1"/>
    </xf>
    <xf numFmtId="0" fontId="6" fillId="0" borderId="17" xfId="0" applyFont="1" applyFill="1" applyBorder="1" applyAlignment="1" applyProtection="1">
      <alignment horizontal="center" vertical="top"/>
    </xf>
    <xf numFmtId="164" fontId="6" fillId="0" borderId="1" xfId="0" quotePrefix="1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Alignment="1" applyProtection="1">
      <alignment vertical="top" wrapText="1"/>
    </xf>
    <xf numFmtId="4" fontId="6" fillId="0" borderId="18" xfId="0" applyNumberFormat="1" applyFont="1" applyFill="1" applyBorder="1" applyAlignment="1" applyProtection="1">
      <alignment vertical="top"/>
    </xf>
    <xf numFmtId="2" fontId="15" fillId="0" borderId="0" xfId="0" applyNumberFormat="1" applyFont="1" applyFill="1" applyAlignment="1" applyProtection="1">
      <alignment vertical="top"/>
    </xf>
    <xf numFmtId="4" fontId="1" fillId="0" borderId="0" xfId="0" applyNumberFormat="1" applyFont="1" applyFill="1" applyAlignment="1" applyProtection="1">
      <alignment vertical="top"/>
    </xf>
    <xf numFmtId="0" fontId="15" fillId="0" borderId="0" xfId="0" applyFont="1" applyFill="1" applyAlignment="1" applyProtection="1">
      <alignment vertical="top"/>
    </xf>
    <xf numFmtId="0" fontId="6" fillId="0" borderId="1" xfId="0" applyFont="1" applyFill="1" applyBorder="1" applyAlignment="1" applyProtection="1">
      <alignment horizontal="left" wrapText="1"/>
    </xf>
    <xf numFmtId="49" fontId="6" fillId="0" borderId="1" xfId="0" quotePrefix="1" applyNumberFormat="1" applyFont="1" applyFill="1" applyBorder="1" applyAlignment="1" applyProtection="1">
      <alignment horizontal="left" vertical="top"/>
    </xf>
    <xf numFmtId="49" fontId="6" fillId="0" borderId="1" xfId="0" applyNumberFormat="1" applyFont="1" applyFill="1" applyBorder="1" applyAlignment="1" applyProtection="1">
      <alignment horizontal="left" vertical="top"/>
    </xf>
    <xf numFmtId="0" fontId="6" fillId="0" borderId="0" xfId="0" applyFont="1" applyFill="1" applyAlignment="1" applyProtection="1">
      <alignment wrapText="1"/>
    </xf>
    <xf numFmtId="0" fontId="6" fillId="0" borderId="1" xfId="0" applyFont="1" applyFill="1" applyBorder="1" applyAlignment="1" applyProtection="1">
      <alignment horizontal="center" vertical="top"/>
    </xf>
    <xf numFmtId="2" fontId="6" fillId="0" borderId="18" xfId="0" applyNumberFormat="1" applyFont="1" applyFill="1" applyBorder="1" applyAlignment="1" applyProtection="1">
      <alignment vertical="top"/>
    </xf>
    <xf numFmtId="0" fontId="48" fillId="0" borderId="0" xfId="0" applyFont="1" applyFill="1" applyAlignment="1" applyProtection="1">
      <alignment vertical="top"/>
    </xf>
    <xf numFmtId="166" fontId="2" fillId="0" borderId="0" xfId="0" applyNumberFormat="1" applyFont="1" applyFill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1" fontId="48" fillId="0" borderId="0" xfId="0" applyNumberFormat="1" applyFont="1" applyFill="1" applyAlignment="1" applyProtection="1">
      <alignment vertical="top"/>
    </xf>
    <xf numFmtId="0" fontId="2" fillId="0" borderId="0" xfId="0" applyFont="1" applyFill="1" applyBorder="1" applyAlignment="1" applyProtection="1">
      <alignment vertical="top"/>
    </xf>
    <xf numFmtId="0" fontId="6" fillId="0" borderId="20" xfId="0" applyFont="1" applyFill="1" applyBorder="1" applyAlignment="1" applyProtection="1">
      <alignment horizontal="left" wrapText="1"/>
    </xf>
    <xf numFmtId="49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Font="1" applyFill="1" applyBorder="1" applyAlignment="1" applyProtection="1">
      <alignment horizontal="center" vertical="top"/>
    </xf>
    <xf numFmtId="2" fontId="1" fillId="0" borderId="18" xfId="0" applyNumberFormat="1" applyFont="1" applyFill="1" applyBorder="1" applyAlignment="1" applyProtection="1">
      <alignment vertical="top"/>
    </xf>
    <xf numFmtId="0" fontId="16" fillId="0" borderId="0" xfId="0" applyFont="1" applyFill="1" applyAlignment="1" applyProtection="1">
      <alignment vertical="top" wrapText="1"/>
    </xf>
    <xf numFmtId="2" fontId="16" fillId="0" borderId="0" xfId="0" applyNumberFormat="1" applyFont="1" applyFill="1" applyAlignment="1" applyProtection="1">
      <alignment wrapText="1"/>
    </xf>
    <xf numFmtId="1" fontId="55" fillId="0" borderId="0" xfId="0" applyNumberFormat="1" applyFont="1" applyFill="1" applyAlignment="1" applyProtection="1">
      <alignment vertical="top"/>
    </xf>
    <xf numFmtId="0" fontId="1" fillId="0" borderId="20" xfId="0" applyFont="1" applyFill="1" applyBorder="1" applyAlignment="1" applyProtection="1">
      <alignment horizontal="left" wrapText="1"/>
    </xf>
    <xf numFmtId="0" fontId="7" fillId="0" borderId="0" xfId="0" applyFont="1" applyFill="1" applyAlignment="1" applyProtection="1">
      <alignment vertical="top" wrapText="1"/>
    </xf>
    <xf numFmtId="4" fontId="7" fillId="0" borderId="0" xfId="0" applyNumberFormat="1" applyFont="1" applyFill="1" applyAlignment="1" applyProtection="1">
      <alignment wrapText="1"/>
    </xf>
    <xf numFmtId="0" fontId="5" fillId="0" borderId="0" xfId="0" applyFont="1" applyFill="1" applyProtection="1"/>
    <xf numFmtId="166" fontId="5" fillId="0" borderId="0" xfId="0" applyNumberFormat="1" applyFont="1" applyFill="1" applyProtection="1"/>
    <xf numFmtId="49" fontId="6" fillId="0" borderId="20" xfId="0" applyNumberFormat="1" applyFont="1" applyFill="1" applyBorder="1" applyAlignment="1" applyProtection="1">
      <alignment vertical="top" wrapText="1"/>
    </xf>
    <xf numFmtId="49" fontId="6" fillId="0" borderId="0" xfId="0" applyNumberFormat="1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6" fillId="3" borderId="17" xfId="0" applyFont="1" applyFill="1" applyBorder="1" applyAlignment="1" applyProtection="1">
      <alignment horizontal="center" vertical="top"/>
    </xf>
    <xf numFmtId="4" fontId="10" fillId="0" borderId="0" xfId="0" applyNumberFormat="1" applyFont="1" applyFill="1" applyAlignment="1" applyProtection="1">
      <alignment wrapText="1"/>
    </xf>
    <xf numFmtId="0" fontId="12" fillId="0" borderId="0" xfId="0" applyFont="1" applyFill="1" applyAlignment="1" applyProtection="1">
      <alignment vertical="top" wrapText="1"/>
    </xf>
    <xf numFmtId="4" fontId="7" fillId="0" borderId="0" xfId="0" applyNumberFormat="1" applyFont="1" applyFill="1" applyAlignment="1" applyProtection="1">
      <alignment vertical="top" wrapText="1"/>
    </xf>
    <xf numFmtId="49" fontId="6" fillId="0" borderId="1" xfId="0" quotePrefix="1" applyNumberFormat="1" applyFont="1" applyBorder="1" applyAlignment="1" applyProtection="1">
      <alignment horizontal="left" vertical="top"/>
    </xf>
    <xf numFmtId="49" fontId="6" fillId="0" borderId="1" xfId="0" applyNumberFormat="1" applyFont="1" applyBorder="1" applyAlignment="1" applyProtection="1">
      <alignment horizontal="left" vertical="top"/>
    </xf>
    <xf numFmtId="0" fontId="6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wrapText="1"/>
    </xf>
    <xf numFmtId="0" fontId="6" fillId="0" borderId="1" xfId="0" applyFont="1" applyBorder="1" applyAlignment="1" applyProtection="1">
      <alignment horizontal="center" vertical="top"/>
    </xf>
    <xf numFmtId="0" fontId="52" fillId="0" borderId="0" xfId="0" applyFont="1" applyFill="1" applyAlignment="1" applyProtection="1">
      <alignment vertical="top"/>
    </xf>
    <xf numFmtId="166" fontId="51" fillId="0" borderId="0" xfId="0" applyNumberFormat="1" applyFont="1" applyFill="1" applyAlignment="1" applyProtection="1">
      <alignment vertical="top"/>
    </xf>
    <xf numFmtId="0" fontId="6" fillId="0" borderId="1" xfId="0" applyFont="1" applyFill="1" applyBorder="1" applyAlignment="1" applyProtection="1">
      <alignment horizontal="left" vertical="top" wrapText="1"/>
    </xf>
    <xf numFmtId="0" fontId="47" fillId="0" borderId="0" xfId="0" applyFont="1" applyFill="1" applyProtection="1"/>
    <xf numFmtId="0" fontId="16" fillId="0" borderId="0" xfId="0" applyFont="1" applyAlignment="1" applyProtection="1">
      <alignment vertical="top" wrapText="1"/>
    </xf>
    <xf numFmtId="2" fontId="16" fillId="0" borderId="0" xfId="0" applyNumberFormat="1" applyFont="1" applyFill="1" applyAlignment="1" applyProtection="1">
      <alignment vertical="top" wrapText="1"/>
    </xf>
    <xf numFmtId="4" fontId="7" fillId="0" borderId="0" xfId="0" applyNumberFormat="1" applyFont="1" applyFill="1" applyAlignment="1" applyProtection="1">
      <alignment horizontal="right" vertical="top" wrapText="1"/>
    </xf>
    <xf numFmtId="0" fontId="51" fillId="0" borderId="0" xfId="0" applyFont="1" applyFill="1" applyAlignment="1" applyProtection="1">
      <alignment vertical="top"/>
    </xf>
    <xf numFmtId="49" fontId="1" fillId="0" borderId="1" xfId="0" quotePrefix="1" applyNumberFormat="1" applyFont="1" applyFill="1" applyBorder="1" applyAlignment="1" applyProtection="1">
      <alignment horizontal="left" vertical="top"/>
    </xf>
    <xf numFmtId="2" fontId="6" fillId="0" borderId="0" xfId="0" applyNumberFormat="1" applyFont="1" applyFill="1" applyAlignment="1" applyProtection="1">
      <alignment vertical="top" wrapText="1"/>
    </xf>
    <xf numFmtId="0" fontId="18" fillId="0" borderId="0" xfId="0" applyFont="1" applyFill="1" applyProtection="1"/>
    <xf numFmtId="0" fontId="14" fillId="0" borderId="0" xfId="0" applyFont="1" applyFill="1" applyProtection="1"/>
    <xf numFmtId="166" fontId="18" fillId="0" borderId="0" xfId="0" applyNumberFormat="1" applyFont="1" applyFill="1" applyProtection="1"/>
    <xf numFmtId="164" fontId="8" fillId="0" borderId="1" xfId="0" applyNumberFormat="1" applyFont="1" applyFill="1" applyBorder="1" applyAlignment="1" applyProtection="1">
      <alignment horizontal="left" vertical="top" wrapText="1"/>
    </xf>
    <xf numFmtId="165" fontId="8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Font="1" applyFill="1" applyBorder="1" applyAlignment="1" applyProtection="1">
      <alignment vertical="top" wrapText="1"/>
    </xf>
    <xf numFmtId="0" fontId="8" fillId="0" borderId="0" xfId="0" applyFont="1" applyFill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left" wrapText="1"/>
    </xf>
    <xf numFmtId="2" fontId="15" fillId="0" borderId="18" xfId="0" applyNumberFormat="1" applyFont="1" applyBorder="1" applyAlignment="1" applyProtection="1">
      <alignment vertical="top"/>
    </xf>
    <xf numFmtId="0" fontId="0" fillId="0" borderId="0" xfId="0" applyFill="1" applyProtection="1"/>
    <xf numFmtId="0" fontId="0" fillId="0" borderId="17" xfId="0" applyFill="1" applyBorder="1" applyProtection="1"/>
    <xf numFmtId="2" fontId="7" fillId="0" borderId="0" xfId="0" applyNumberFormat="1" applyFont="1" applyFill="1" applyAlignment="1" applyProtection="1">
      <alignment wrapText="1"/>
    </xf>
    <xf numFmtId="0" fontId="1" fillId="0" borderId="18" xfId="0" applyFont="1" applyFill="1" applyBorder="1" applyAlignment="1" applyProtection="1">
      <alignment vertical="top"/>
    </xf>
    <xf numFmtId="166" fontId="0" fillId="0" borderId="0" xfId="0" applyNumberFormat="1" applyFill="1" applyProtection="1"/>
    <xf numFmtId="0" fontId="0" fillId="0" borderId="17" xfId="0" applyBorder="1" applyProtection="1"/>
    <xf numFmtId="0" fontId="16" fillId="0" borderId="0" xfId="0" applyNumberFormat="1" applyFont="1" applyAlignment="1" applyProtection="1">
      <alignment vertical="top" wrapText="1"/>
    </xf>
    <xf numFmtId="0" fontId="1" fillId="0" borderId="18" xfId="0" applyFont="1" applyBorder="1" applyAlignment="1" applyProtection="1">
      <alignment vertical="top"/>
    </xf>
    <xf numFmtId="2" fontId="7" fillId="0" borderId="0" xfId="0" applyNumberFormat="1" applyFont="1" applyFill="1" applyAlignment="1" applyProtection="1">
      <alignment horizontal="right" wrapText="1"/>
    </xf>
    <xf numFmtId="2" fontId="10" fillId="0" borderId="0" xfId="0" applyNumberFormat="1" applyFont="1" applyFill="1" applyAlignment="1" applyProtection="1">
      <alignment vertical="top" wrapText="1"/>
    </xf>
    <xf numFmtId="4" fontId="15" fillId="0" borderId="18" xfId="0" applyNumberFormat="1" applyFont="1" applyFill="1" applyBorder="1" applyAlignment="1" applyProtection="1">
      <alignment vertical="top"/>
    </xf>
    <xf numFmtId="2" fontId="7" fillId="0" borderId="0" xfId="0" applyNumberFormat="1" applyFont="1" applyFill="1" applyAlignment="1" applyProtection="1">
      <alignment vertical="top" wrapText="1"/>
    </xf>
    <xf numFmtId="0" fontId="6" fillId="0" borderId="0" xfId="0" applyFont="1" applyFill="1" applyAlignment="1" applyProtection="1">
      <alignment vertical="top"/>
    </xf>
    <xf numFmtId="0" fontId="5" fillId="0" borderId="17" xfId="0" applyFont="1" applyFill="1" applyBorder="1" applyProtection="1"/>
    <xf numFmtId="2" fontId="12" fillId="0" borderId="0" xfId="0" applyNumberFormat="1" applyFont="1" applyFill="1" applyAlignment="1" applyProtection="1">
      <alignment wrapText="1"/>
    </xf>
    <xf numFmtId="0" fontId="1" fillId="0" borderId="17" xfId="0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horizontal="left" vertical="top"/>
    </xf>
    <xf numFmtId="2" fontId="47" fillId="0" borderId="0" xfId="0" applyNumberFormat="1" applyFont="1" applyFill="1" applyProtection="1"/>
    <xf numFmtId="166" fontId="18" fillId="0" borderId="0" xfId="0" applyNumberFormat="1" applyFont="1" applyFill="1" applyAlignment="1" applyProtection="1">
      <alignment vertical="top"/>
    </xf>
    <xf numFmtId="0" fontId="2" fillId="0" borderId="17" xfId="0" applyFont="1" applyFill="1" applyBorder="1" applyAlignment="1" applyProtection="1">
      <alignment vertical="top"/>
    </xf>
    <xf numFmtId="0" fontId="1" fillId="0" borderId="1" xfId="0" applyFont="1" applyFill="1" applyBorder="1" applyAlignment="1" applyProtection="1">
      <alignment horizontal="left" vertical="top" wrapText="1"/>
    </xf>
    <xf numFmtId="2" fontId="1" fillId="0" borderId="0" xfId="0" applyNumberFormat="1" applyFont="1" applyFill="1" applyAlignment="1" applyProtection="1">
      <alignment vertical="top" wrapText="1"/>
    </xf>
    <xf numFmtId="2" fontId="10" fillId="0" borderId="0" xfId="0" applyNumberFormat="1" applyFont="1" applyFill="1" applyAlignment="1" applyProtection="1">
      <alignment wrapText="1"/>
    </xf>
    <xf numFmtId="49" fontId="1" fillId="0" borderId="1" xfId="0" quotePrefix="1" applyNumberFormat="1" applyFont="1" applyBorder="1" applyAlignment="1" applyProtection="1">
      <alignment horizontal="left" vertical="top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horizontal="center" vertical="top"/>
    </xf>
    <xf numFmtId="4" fontId="15" fillId="0" borderId="18" xfId="0" applyNumberFormat="1" applyFont="1" applyBorder="1" applyAlignment="1" applyProtection="1">
      <alignment vertical="top"/>
    </xf>
    <xf numFmtId="0" fontId="1" fillId="0" borderId="1" xfId="0" applyFont="1" applyFill="1" applyBorder="1" applyAlignment="1" applyProtection="1">
      <alignment horizontal="left" wrapText="1"/>
    </xf>
    <xf numFmtId="4" fontId="7" fillId="0" borderId="20" xfId="0" applyNumberFormat="1" applyFont="1" applyFill="1" applyBorder="1" applyAlignment="1" applyProtection="1">
      <alignment wrapText="1"/>
    </xf>
    <xf numFmtId="0" fontId="1" fillId="0" borderId="1" xfId="0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left" vertical="top"/>
    </xf>
    <xf numFmtId="4" fontId="7" fillId="0" borderId="20" xfId="0" applyNumberFormat="1" applyFont="1" applyFill="1" applyBorder="1" applyAlignment="1" applyProtection="1">
      <alignment horizontal="right" wrapText="1"/>
    </xf>
    <xf numFmtId="4" fontId="1" fillId="0" borderId="18" xfId="0" applyNumberFormat="1" applyFont="1" applyBorder="1" applyAlignment="1" applyProtection="1">
      <alignment vertical="top"/>
    </xf>
    <xf numFmtId="4" fontId="7" fillId="0" borderId="0" xfId="0" applyNumberFormat="1" applyFont="1" applyFill="1" applyBorder="1" applyAlignment="1" applyProtection="1">
      <alignment horizontal="right" wrapText="1"/>
    </xf>
    <xf numFmtId="166" fontId="18" fillId="0" borderId="0" xfId="0" applyNumberFormat="1" applyFont="1" applyFill="1" applyAlignment="1" applyProtection="1">
      <alignment horizontal="right" vertical="top"/>
    </xf>
    <xf numFmtId="49" fontId="11" fillId="0" borderId="1" xfId="0" quotePrefix="1" applyNumberFormat="1" applyFont="1" applyFill="1" applyBorder="1" applyAlignment="1" applyProtection="1">
      <alignment horizontal="left" vertical="top"/>
    </xf>
    <xf numFmtId="2" fontId="7" fillId="0" borderId="20" xfId="0" applyNumberFormat="1" applyFont="1" applyFill="1" applyBorder="1" applyAlignment="1" applyProtection="1">
      <alignment horizontal="right" wrapText="1"/>
    </xf>
    <xf numFmtId="49" fontId="7" fillId="0" borderId="0" xfId="0" applyNumberFormat="1" applyFont="1" applyFill="1" applyAlignment="1" applyProtection="1">
      <alignment vertical="top" wrapText="1"/>
    </xf>
    <xf numFmtId="2" fontId="10" fillId="0" borderId="20" xfId="0" applyNumberFormat="1" applyFont="1" applyFill="1" applyBorder="1" applyAlignment="1" applyProtection="1">
      <alignment horizontal="right" wrapText="1"/>
    </xf>
    <xf numFmtId="2" fontId="6" fillId="0" borderId="0" xfId="0" applyNumberFormat="1" applyFont="1" applyFill="1" applyAlignment="1" applyProtection="1">
      <alignment wrapText="1"/>
    </xf>
    <xf numFmtId="2" fontId="15" fillId="0" borderId="0" xfId="0" applyNumberFormat="1" applyFont="1" applyFill="1" applyProtection="1"/>
    <xf numFmtId="0" fontId="11" fillId="0" borderId="0" xfId="0" applyFont="1" applyFill="1" applyAlignment="1" applyProtection="1">
      <alignment vertical="top" wrapText="1"/>
    </xf>
    <xf numFmtId="0" fontId="10" fillId="0" borderId="0" xfId="0" applyFont="1" applyFill="1" applyAlignment="1" applyProtection="1">
      <alignment vertical="top" wrapText="1"/>
    </xf>
    <xf numFmtId="0" fontId="19" fillId="0" borderId="0" xfId="0" applyFont="1" applyFill="1" applyAlignment="1" applyProtection="1">
      <alignment horizontal="right" vertical="top" wrapText="1"/>
    </xf>
    <xf numFmtId="2" fontId="19" fillId="0" borderId="0" xfId="0" applyNumberFormat="1" applyFont="1" applyFill="1" applyAlignment="1" applyProtection="1">
      <alignment vertical="top" wrapText="1"/>
    </xf>
    <xf numFmtId="0" fontId="15" fillId="0" borderId="1" xfId="0" applyFont="1" applyFill="1" applyBorder="1" applyAlignment="1" applyProtection="1">
      <alignment horizontal="center" vertical="top"/>
    </xf>
    <xf numFmtId="0" fontId="15" fillId="0" borderId="0" xfId="0" applyFont="1" applyFill="1" applyProtection="1"/>
    <xf numFmtId="0" fontId="7" fillId="0" borderId="0" xfId="0" applyNumberFormat="1" applyFont="1" applyFill="1" applyAlignment="1" applyProtection="1">
      <alignment vertical="top" wrapText="1"/>
    </xf>
    <xf numFmtId="2" fontId="10" fillId="0" borderId="0" xfId="0" applyNumberFormat="1" applyFont="1" applyFill="1" applyAlignment="1" applyProtection="1">
      <alignment horizontal="right" wrapText="1"/>
    </xf>
    <xf numFmtId="2" fontId="16" fillId="0" borderId="0" xfId="0" applyNumberFormat="1" applyFont="1" applyFill="1" applyProtection="1"/>
    <xf numFmtId="2" fontId="15" fillId="0" borderId="0" xfId="0" applyNumberFormat="1" applyFont="1" applyFill="1" applyAlignment="1" applyProtection="1">
      <alignment wrapText="1"/>
    </xf>
    <xf numFmtId="0" fontId="1" fillId="0" borderId="0" xfId="0" applyFont="1" applyFill="1" applyAlignment="1" applyProtection="1">
      <alignment wrapText="1"/>
    </xf>
    <xf numFmtId="0" fontId="16" fillId="0" borderId="0" xfId="0" applyFont="1" applyFill="1" applyAlignment="1" applyProtection="1">
      <alignment wrapText="1"/>
    </xf>
    <xf numFmtId="0" fontId="6" fillId="0" borderId="19" xfId="0" applyFont="1" applyFill="1" applyBorder="1" applyAlignment="1" applyProtection="1">
      <alignment horizontal="center" vertical="top"/>
    </xf>
    <xf numFmtId="2" fontId="16" fillId="0" borderId="0" xfId="0" applyNumberFormat="1" applyFont="1" applyFill="1" applyAlignment="1" applyProtection="1">
      <alignment horizontal="right" wrapText="1"/>
    </xf>
    <xf numFmtId="0" fontId="6" fillId="0" borderId="19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left" vertical="top" wrapText="1"/>
    </xf>
    <xf numFmtId="4" fontId="7" fillId="0" borderId="0" xfId="0" applyNumberFormat="1" applyFont="1" applyFill="1" applyBorder="1" applyAlignment="1" applyProtection="1">
      <alignment vertical="top" wrapText="1"/>
    </xf>
    <xf numFmtId="0" fontId="1" fillId="0" borderId="1" xfId="0" quotePrefix="1" applyFont="1" applyFill="1" applyBorder="1" applyAlignment="1" applyProtection="1">
      <alignment horizontal="center" vertical="top" wrapText="1"/>
    </xf>
    <xf numFmtId="4" fontId="1" fillId="0" borderId="18" xfId="0" applyNumberFormat="1" applyFont="1" applyFill="1" applyBorder="1" applyAlignment="1" applyProtection="1">
      <alignment horizontal="center" vertical="top" wrapText="1"/>
    </xf>
    <xf numFmtId="4" fontId="10" fillId="0" borderId="20" xfId="0" applyNumberFormat="1" applyFont="1" applyFill="1" applyBorder="1" applyAlignment="1" applyProtection="1">
      <alignment horizontal="right" wrapText="1"/>
    </xf>
    <xf numFmtId="0" fontId="1" fillId="0" borderId="20" xfId="0" quotePrefix="1" applyFont="1" applyFill="1" applyBorder="1" applyAlignment="1" applyProtection="1">
      <alignment horizontal="center" vertical="top" wrapText="1"/>
    </xf>
    <xf numFmtId="4" fontId="12" fillId="0" borderId="18" xfId="0" applyNumberFormat="1" applyFont="1" applyFill="1" applyBorder="1" applyAlignment="1" applyProtection="1">
      <alignment vertical="top"/>
    </xf>
    <xf numFmtId="0" fontId="5" fillId="0" borderId="19" xfId="0" applyFont="1" applyFill="1" applyBorder="1" applyProtection="1"/>
    <xf numFmtId="4" fontId="10" fillId="0" borderId="0" xfId="0" applyNumberFormat="1" applyFont="1" applyFill="1" applyBorder="1" applyAlignment="1" applyProtection="1">
      <alignment horizontal="right" wrapText="1"/>
    </xf>
    <xf numFmtId="4" fontId="10" fillId="0" borderId="0" xfId="0" applyNumberFormat="1" applyFont="1" applyFill="1" applyBorder="1" applyAlignment="1" applyProtection="1">
      <alignment vertical="top" wrapText="1"/>
    </xf>
    <xf numFmtId="0" fontId="1" fillId="0" borderId="19" xfId="0" applyFont="1" applyFill="1" applyBorder="1" applyProtection="1"/>
    <xf numFmtId="49" fontId="20" fillId="0" borderId="1" xfId="0" applyNumberFormat="1" applyFont="1" applyFill="1" applyBorder="1" applyAlignment="1" applyProtection="1">
      <alignment vertical="top"/>
    </xf>
    <xf numFmtId="0" fontId="20" fillId="0" borderId="1" xfId="0" applyFont="1" applyFill="1" applyBorder="1" applyAlignment="1" applyProtection="1">
      <alignment vertical="top"/>
    </xf>
    <xf numFmtId="49" fontId="20" fillId="0" borderId="1" xfId="0" applyNumberFormat="1" applyFont="1" applyFill="1" applyBorder="1" applyAlignment="1" applyProtection="1">
      <alignment horizontal="left" vertical="top"/>
    </xf>
    <xf numFmtId="0" fontId="21" fillId="0" borderId="0" xfId="0" applyFont="1" applyFill="1" applyBorder="1" applyAlignment="1" applyProtection="1">
      <alignment vertical="top" wrapText="1"/>
    </xf>
    <xf numFmtId="0" fontId="21" fillId="0" borderId="0" xfId="0" applyFont="1" applyFill="1" applyBorder="1" applyAlignment="1" applyProtection="1">
      <alignment vertical="center" wrapText="1"/>
    </xf>
    <xf numFmtId="0" fontId="22" fillId="0" borderId="1" xfId="0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vertical="top"/>
    </xf>
    <xf numFmtId="0" fontId="6" fillId="0" borderId="1" xfId="0" applyFont="1" applyFill="1" applyBorder="1" applyAlignment="1" applyProtection="1">
      <alignment vertical="top"/>
    </xf>
    <xf numFmtId="0" fontId="23" fillId="0" borderId="0" xfId="0" applyFont="1" applyFill="1" applyBorder="1" applyAlignment="1" applyProtection="1">
      <alignment vertical="top" wrapText="1"/>
    </xf>
    <xf numFmtId="2" fontId="6" fillId="0" borderId="18" xfId="0" applyNumberFormat="1" applyFont="1" applyBorder="1" applyAlignment="1" applyProtection="1">
      <alignment vertical="top"/>
    </xf>
    <xf numFmtId="0" fontId="1" fillId="0" borderId="0" xfId="0" applyFont="1" applyProtection="1"/>
    <xf numFmtId="2" fontId="1" fillId="0" borderId="18" xfId="0" applyNumberFormat="1" applyFont="1" applyBorder="1" applyAlignment="1" applyProtection="1">
      <alignment vertical="top"/>
    </xf>
    <xf numFmtId="0" fontId="50" fillId="0" borderId="0" xfId="0" applyFont="1" applyFill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top" wrapText="1"/>
    </xf>
    <xf numFmtId="2" fontId="16" fillId="0" borderId="0" xfId="0" applyNumberFormat="1" applyFont="1" applyAlignment="1" applyProtection="1">
      <alignment wrapText="1"/>
    </xf>
    <xf numFmtId="2" fontId="1" fillId="0" borderId="0" xfId="0" applyNumberFormat="1" applyFont="1" applyFill="1" applyAlignment="1" applyProtection="1">
      <alignment wrapText="1"/>
    </xf>
    <xf numFmtId="49" fontId="11" fillId="0" borderId="1" xfId="0" quotePrefix="1" applyNumberFormat="1" applyFont="1" applyBorder="1" applyAlignment="1" applyProtection="1">
      <alignment horizontal="left" vertical="top"/>
    </xf>
    <xf numFmtId="0" fontId="11" fillId="0" borderId="0" xfId="0" applyFont="1" applyAlignment="1" applyProtection="1">
      <alignment vertical="top" wrapText="1"/>
    </xf>
    <xf numFmtId="0" fontId="24" fillId="0" borderId="0" xfId="0" applyFont="1" applyFill="1" applyAlignment="1" applyProtection="1">
      <alignment wrapText="1"/>
    </xf>
    <xf numFmtId="0" fontId="20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center" wrapText="1"/>
    </xf>
    <xf numFmtId="0" fontId="22" fillId="0" borderId="19" xfId="0" applyFont="1" applyFill="1" applyBorder="1" applyProtection="1"/>
    <xf numFmtId="0" fontId="20" fillId="0" borderId="0" xfId="0" applyFont="1" applyFill="1" applyBorder="1" applyAlignment="1" applyProtection="1">
      <alignment vertical="center" wrapText="1"/>
    </xf>
    <xf numFmtId="0" fontId="20" fillId="0" borderId="1" xfId="0" applyFont="1" applyFill="1" applyBorder="1" applyAlignment="1" applyProtection="1">
      <alignment horizontal="center" vertical="top"/>
    </xf>
    <xf numFmtId="2" fontId="12" fillId="0" borderId="18" xfId="0" applyNumberFormat="1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vertical="top" wrapText="1"/>
    </xf>
    <xf numFmtId="0" fontId="0" fillId="0" borderId="19" xfId="0" applyBorder="1" applyProtection="1"/>
    <xf numFmtId="4" fontId="7" fillId="0" borderId="20" xfId="0" applyNumberFormat="1" applyFont="1" applyFill="1" applyBorder="1" applyAlignment="1" applyProtection="1">
      <alignment vertical="top" wrapText="1"/>
    </xf>
    <xf numFmtId="4" fontId="10" fillId="0" borderId="20" xfId="0" applyNumberFormat="1" applyFont="1" applyFill="1" applyBorder="1" applyAlignment="1" applyProtection="1">
      <alignment vertical="top" wrapText="1"/>
    </xf>
    <xf numFmtId="4" fontId="15" fillId="0" borderId="18" xfId="0" applyNumberFormat="1" applyFont="1" applyFill="1" applyBorder="1" applyAlignment="1" applyProtection="1">
      <alignment horizontal="right" vertical="top" wrapText="1"/>
    </xf>
    <xf numFmtId="4" fontId="1" fillId="0" borderId="18" xfId="0" applyNumberFormat="1" applyFont="1" applyFill="1" applyBorder="1" applyAlignment="1" applyProtection="1">
      <alignment horizontal="right" vertical="top" wrapText="1"/>
    </xf>
    <xf numFmtId="0" fontId="16" fillId="0" borderId="0" xfId="0" applyNumberFormat="1" applyFont="1" applyFill="1" applyBorder="1" applyAlignment="1" applyProtection="1">
      <alignment vertical="top" wrapText="1"/>
    </xf>
    <xf numFmtId="2" fontId="25" fillId="0" borderId="0" xfId="0" applyNumberFormat="1" applyFont="1" applyAlignment="1" applyProtection="1">
      <alignment wrapText="1"/>
    </xf>
    <xf numFmtId="0" fontId="10" fillId="0" borderId="0" xfId="0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 applyProtection="1">
      <alignment horizontal="right" wrapText="1"/>
    </xf>
    <xf numFmtId="0" fontId="12" fillId="0" borderId="0" xfId="0" applyFont="1" applyFill="1" applyBorder="1" applyAlignment="1" applyProtection="1">
      <alignment vertical="top" wrapText="1"/>
    </xf>
    <xf numFmtId="2" fontId="16" fillId="0" borderId="0" xfId="0" applyNumberFormat="1" applyFont="1" applyFill="1" applyBorder="1" applyAlignment="1" applyProtection="1">
      <alignment vertical="center" wrapText="1"/>
    </xf>
    <xf numFmtId="4" fontId="16" fillId="0" borderId="0" xfId="0" applyNumberFormat="1" applyFont="1" applyAlignment="1" applyProtection="1">
      <alignment wrapText="1"/>
    </xf>
    <xf numFmtId="0" fontId="25" fillId="0" borderId="0" xfId="0" applyFont="1" applyAlignment="1" applyProtection="1">
      <alignment vertical="top" wrapText="1"/>
    </xf>
    <xf numFmtId="4" fontId="25" fillId="0" borderId="0" xfId="0" applyNumberFormat="1" applyFont="1" applyAlignment="1" applyProtection="1">
      <alignment wrapText="1"/>
    </xf>
    <xf numFmtId="49" fontId="26" fillId="0" borderId="1" xfId="0" quotePrefix="1" applyNumberFormat="1" applyFont="1" applyBorder="1" applyAlignment="1" applyProtection="1">
      <alignment horizontal="left" vertical="top"/>
    </xf>
    <xf numFmtId="0" fontId="26" fillId="0" borderId="0" xfId="0" applyFont="1" applyAlignment="1" applyProtection="1">
      <alignment vertical="top" wrapText="1"/>
    </xf>
    <xf numFmtId="0" fontId="26" fillId="0" borderId="0" xfId="0" applyFont="1" applyAlignment="1" applyProtection="1">
      <alignment wrapText="1"/>
    </xf>
    <xf numFmtId="49" fontId="26" fillId="0" borderId="1" xfId="0" quotePrefix="1" applyNumberFormat="1" applyFont="1" applyFill="1" applyBorder="1" applyAlignment="1" applyProtection="1">
      <alignment horizontal="left" vertical="top"/>
    </xf>
    <xf numFmtId="0" fontId="27" fillId="0" borderId="0" xfId="0" applyFont="1" applyFill="1" applyAlignment="1" applyProtection="1">
      <alignment vertical="top" wrapText="1"/>
    </xf>
    <xf numFmtId="0" fontId="27" fillId="0" borderId="0" xfId="0" applyFont="1" applyAlignment="1" applyProtection="1">
      <alignment vertical="top" wrapText="1"/>
    </xf>
    <xf numFmtId="2" fontId="10" fillId="0" borderId="0" xfId="0" applyNumberFormat="1" applyFont="1" applyFill="1" applyBorder="1" applyAlignment="1" applyProtection="1">
      <alignment horizontal="right" wrapText="1"/>
    </xf>
    <xf numFmtId="0" fontId="12" fillId="0" borderId="17" xfId="0" applyFont="1" applyFill="1" applyBorder="1" applyAlignment="1" applyProtection="1">
      <alignment vertical="top"/>
    </xf>
    <xf numFmtId="0" fontId="12" fillId="0" borderId="1" xfId="0" applyFont="1" applyFill="1" applyBorder="1" applyAlignment="1" applyProtection="1">
      <alignment vertical="top" wrapText="1"/>
    </xf>
    <xf numFmtId="164" fontId="28" fillId="0" borderId="1" xfId="0" applyNumberFormat="1" applyFont="1" applyFill="1" applyBorder="1" applyAlignment="1" applyProtection="1">
      <alignment horizontal="left" vertical="top" wrapText="1"/>
    </xf>
    <xf numFmtId="165" fontId="28" fillId="0" borderId="1" xfId="0" applyNumberFormat="1" applyFont="1" applyFill="1" applyBorder="1" applyAlignment="1" applyProtection="1">
      <alignment horizontal="left" vertical="top" wrapText="1"/>
    </xf>
    <xf numFmtId="2" fontId="7" fillId="0" borderId="0" xfId="0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vertical="top" wrapText="1"/>
    </xf>
    <xf numFmtId="0" fontId="12" fillId="0" borderId="0" xfId="0" applyFont="1" applyAlignment="1" applyProtection="1">
      <alignment vertical="top" wrapText="1"/>
    </xf>
    <xf numFmtId="0" fontId="16" fillId="0" borderId="0" xfId="0" applyFont="1" applyAlignment="1" applyProtection="1">
      <alignment wrapText="1"/>
    </xf>
    <xf numFmtId="2" fontId="0" fillId="0" borderId="0" xfId="0" applyNumberFormat="1" applyFill="1" applyProtection="1"/>
    <xf numFmtId="0" fontId="29" fillId="0" borderId="0" xfId="0" applyFont="1" applyAlignment="1" applyProtection="1">
      <alignment vertical="top" wrapText="1"/>
    </xf>
    <xf numFmtId="2" fontId="27" fillId="0" borderId="0" xfId="0" applyNumberFormat="1" applyFont="1" applyAlignment="1" applyProtection="1">
      <alignment wrapText="1"/>
    </xf>
    <xf numFmtId="0" fontId="29" fillId="0" borderId="0" xfId="0" applyFont="1" applyFill="1" applyAlignment="1" applyProtection="1">
      <alignment vertical="top" wrapText="1"/>
    </xf>
    <xf numFmtId="0" fontId="27" fillId="0" borderId="0" xfId="0" applyFont="1" applyFill="1" applyAlignment="1" applyProtection="1">
      <alignment wrapText="1"/>
    </xf>
    <xf numFmtId="0" fontId="27" fillId="0" borderId="0" xfId="0" applyFont="1" applyAlignment="1" applyProtection="1">
      <alignment wrapText="1"/>
    </xf>
    <xf numFmtId="0" fontId="12" fillId="0" borderId="17" xfId="0" applyFont="1" applyFill="1" applyBorder="1" applyAlignment="1" applyProtection="1">
      <alignment horizontal="center" vertical="top"/>
    </xf>
    <xf numFmtId="0" fontId="12" fillId="0" borderId="1" xfId="0" applyFont="1" applyBorder="1" applyAlignment="1" applyProtection="1">
      <alignment horizontal="left" wrapText="1"/>
    </xf>
    <xf numFmtId="49" fontId="12" fillId="0" borderId="1" xfId="0" quotePrefix="1" applyNumberFormat="1" applyFont="1" applyBorder="1" applyAlignment="1" applyProtection="1">
      <alignment horizontal="left" vertical="top"/>
    </xf>
    <xf numFmtId="49" fontId="12" fillId="0" borderId="1" xfId="0" applyNumberFormat="1" applyFont="1" applyBorder="1" applyAlignment="1" applyProtection="1">
      <alignment horizontal="left" vertical="top"/>
    </xf>
    <xf numFmtId="2" fontId="27" fillId="0" borderId="0" xfId="0" applyNumberFormat="1" applyFont="1" applyFill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12" fillId="0" borderId="0" xfId="0" applyFont="1" applyFill="1" applyAlignment="1" applyProtection="1">
      <alignment wrapText="1"/>
    </xf>
    <xf numFmtId="2" fontId="16" fillId="0" borderId="0" xfId="0" applyNumberFormat="1" applyFont="1" applyFill="1" applyBorder="1" applyAlignment="1" applyProtection="1">
      <alignment horizontal="right" wrapText="1"/>
    </xf>
    <xf numFmtId="0" fontId="54" fillId="0" borderId="0" xfId="0" applyFont="1" applyFill="1" applyProtection="1"/>
    <xf numFmtId="0" fontId="1" fillId="0" borderId="0" xfId="0" applyFont="1" applyFill="1" applyBorder="1" applyAlignment="1" applyProtection="1">
      <alignment horizontal="left" wrapText="1"/>
    </xf>
    <xf numFmtId="49" fontId="27" fillId="0" borderId="0" xfId="0" applyNumberFormat="1" applyFont="1" applyFill="1" applyAlignment="1" applyProtection="1">
      <alignment vertical="top" wrapText="1"/>
    </xf>
    <xf numFmtId="0" fontId="26" fillId="0" borderId="0" xfId="0" applyFont="1" applyFill="1" applyAlignment="1" applyProtection="1">
      <alignment wrapText="1"/>
    </xf>
    <xf numFmtId="0" fontId="5" fillId="0" borderId="17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 wrapText="1"/>
    </xf>
    <xf numFmtId="49" fontId="6" fillId="0" borderId="1" xfId="0" applyNumberFormat="1" applyFont="1" applyFill="1" applyBorder="1" applyAlignment="1" applyProtection="1">
      <alignment horizontal="right" wrapText="1"/>
    </xf>
    <xf numFmtId="49" fontId="1" fillId="0" borderId="1" xfId="0" applyNumberFormat="1" applyFont="1" applyFill="1" applyBorder="1" applyAlignment="1" applyProtection="1">
      <alignment horizontal="right" wrapText="1"/>
    </xf>
    <xf numFmtId="0" fontId="7" fillId="0" borderId="0" xfId="0" applyFont="1" applyFill="1" applyBorder="1" applyAlignment="1" applyProtection="1">
      <alignment horizontal="left" wrapText="1"/>
    </xf>
    <xf numFmtId="4" fontId="7" fillId="0" borderId="0" xfId="0" applyNumberFormat="1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right" vertical="top" wrapText="1"/>
    </xf>
    <xf numFmtId="3" fontId="1" fillId="0" borderId="18" xfId="0" applyNumberFormat="1" applyFont="1" applyFill="1" applyBorder="1" applyAlignment="1" applyProtection="1">
      <alignment horizontal="right" vertical="top" wrapText="1"/>
    </xf>
    <xf numFmtId="0" fontId="1" fillId="0" borderId="0" xfId="0" applyFont="1" applyFill="1" applyAlignment="1" applyProtection="1">
      <alignment horizontal="right"/>
    </xf>
    <xf numFmtId="166" fontId="1" fillId="0" borderId="0" xfId="0" applyNumberFormat="1" applyFont="1" applyFill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" fillId="0" borderId="17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wrapText="1"/>
    </xf>
    <xf numFmtId="49" fontId="6" fillId="0" borderId="1" xfId="0" applyNumberFormat="1" applyFont="1" applyFill="1" applyBorder="1" applyAlignment="1" applyProtection="1">
      <alignment wrapText="1"/>
    </xf>
    <xf numFmtId="49" fontId="1" fillId="0" borderId="1" xfId="0" applyNumberFormat="1" applyFont="1" applyFill="1" applyBorder="1" applyAlignment="1" applyProtection="1">
      <alignment wrapText="1"/>
    </xf>
    <xf numFmtId="0" fontId="7" fillId="0" borderId="0" xfId="0" applyFont="1" applyFill="1" applyBorder="1" applyAlignment="1" applyProtection="1">
      <alignment vertical="center" wrapText="1"/>
    </xf>
    <xf numFmtId="0" fontId="1" fillId="0" borderId="17" xfId="0" applyFont="1" applyFill="1" applyBorder="1" applyProtection="1"/>
    <xf numFmtId="0" fontId="7" fillId="0" borderId="21" xfId="0" applyFont="1" applyFill="1" applyBorder="1" applyAlignment="1" applyProtection="1">
      <alignment horizontal="left" vertical="top" wrapText="1"/>
    </xf>
    <xf numFmtId="3" fontId="1" fillId="0" borderId="1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4" fontId="7" fillId="0" borderId="0" xfId="0" applyNumberFormat="1" applyFont="1" applyFill="1" applyBorder="1" applyAlignment="1" applyProtection="1">
      <alignment horizontal="right" vertical="top" wrapText="1"/>
    </xf>
    <xf numFmtId="4" fontId="10" fillId="0" borderId="0" xfId="0" applyNumberFormat="1" applyFont="1" applyFill="1" applyBorder="1" applyAlignment="1" applyProtection="1">
      <alignment horizontal="right" vertical="top" wrapText="1"/>
    </xf>
    <xf numFmtId="4" fontId="16" fillId="0" borderId="0" xfId="0" applyNumberFormat="1" applyFont="1" applyFill="1" applyAlignment="1" applyProtection="1">
      <alignment wrapText="1"/>
    </xf>
    <xf numFmtId="2" fontId="10" fillId="0" borderId="20" xfId="0" applyNumberFormat="1" applyFont="1" applyFill="1" applyBorder="1" applyAlignment="1" applyProtection="1">
      <alignment wrapText="1"/>
    </xf>
    <xf numFmtId="2" fontId="7" fillId="0" borderId="0" xfId="0" applyNumberFormat="1" applyFont="1" applyFill="1" applyBorder="1" applyAlignment="1" applyProtection="1">
      <alignment vertical="top" wrapText="1"/>
    </xf>
    <xf numFmtId="2" fontId="1" fillId="0" borderId="18" xfId="0" applyNumberFormat="1" applyFont="1" applyFill="1" applyBorder="1" applyAlignment="1" applyProtection="1">
      <alignment horizontal="center" vertical="top" wrapText="1"/>
    </xf>
    <xf numFmtId="0" fontId="6" fillId="0" borderId="20" xfId="0" applyFont="1" applyFill="1" applyBorder="1" applyAlignment="1" applyProtection="1">
      <alignment horizontal="left" vertical="top" wrapText="1"/>
    </xf>
    <xf numFmtId="0" fontId="1" fillId="0" borderId="20" xfId="0" applyFont="1" applyFill="1" applyBorder="1" applyAlignment="1" applyProtection="1">
      <alignment horizontal="left" vertical="top" wrapText="1"/>
    </xf>
    <xf numFmtId="3" fontId="1" fillId="0" borderId="18" xfId="0" applyNumberFormat="1" applyFont="1" applyFill="1" applyBorder="1" applyAlignment="1" applyProtection="1">
      <alignment vertical="top"/>
    </xf>
    <xf numFmtId="0" fontId="25" fillId="0" borderId="0" xfId="0" applyFont="1" applyFill="1" applyAlignment="1" applyProtection="1">
      <alignment vertical="top" wrapText="1"/>
    </xf>
    <xf numFmtId="0" fontId="1" fillId="0" borderId="19" xfId="0" applyFont="1" applyFill="1" applyBorder="1" applyAlignment="1" applyProtection="1">
      <alignment horizontal="center" vertical="top"/>
    </xf>
    <xf numFmtId="4" fontId="12" fillId="0" borderId="18" xfId="0" applyNumberFormat="1" applyFont="1" applyBorder="1" applyAlignment="1" applyProtection="1">
      <alignment vertical="top"/>
    </xf>
    <xf numFmtId="4" fontId="9" fillId="0" borderId="0" xfId="0" applyNumberFormat="1" applyFont="1" applyFill="1" applyAlignment="1" applyProtection="1">
      <alignment wrapText="1"/>
    </xf>
    <xf numFmtId="49" fontId="5" fillId="0" borderId="1" xfId="0" quotePrefix="1" applyNumberFormat="1" applyFont="1" applyFill="1" applyBorder="1" applyAlignment="1" applyProtection="1">
      <alignment horizontal="left" vertical="top"/>
    </xf>
    <xf numFmtId="0" fontId="5" fillId="0" borderId="0" xfId="0" applyFont="1" applyFill="1" applyAlignment="1" applyProtection="1">
      <alignment vertical="top" wrapText="1"/>
    </xf>
    <xf numFmtId="0" fontId="5" fillId="0" borderId="0" xfId="0" applyFont="1" applyFill="1" applyAlignment="1" applyProtection="1">
      <alignment wrapText="1"/>
    </xf>
    <xf numFmtId="0" fontId="5" fillId="0" borderId="1" xfId="0" applyFont="1" applyFill="1" applyBorder="1" applyAlignment="1" applyProtection="1">
      <alignment horizontal="center" vertical="top"/>
    </xf>
    <xf numFmtId="165" fontId="13" fillId="0" borderId="1" xfId="0" applyNumberFormat="1" applyFont="1" applyFill="1" applyBorder="1" applyAlignment="1" applyProtection="1">
      <alignment horizontal="left" vertical="top" wrapText="1"/>
    </xf>
    <xf numFmtId="0" fontId="16" fillId="0" borderId="0" xfId="0" applyFont="1" applyFill="1" applyAlignment="1" applyProtection="1">
      <alignment horizontal="right" wrapText="1"/>
    </xf>
    <xf numFmtId="0" fontId="13" fillId="0" borderId="0" xfId="0" applyFont="1" applyFill="1" applyAlignment="1" applyProtection="1">
      <alignment vertical="top" wrapText="1"/>
    </xf>
    <xf numFmtId="0" fontId="0" fillId="0" borderId="19" xfId="0" applyFill="1" applyBorder="1" applyProtection="1"/>
    <xf numFmtId="2" fontId="12" fillId="0" borderId="0" xfId="0" applyNumberFormat="1" applyFont="1" applyFill="1" applyAlignment="1" applyProtection="1">
      <alignment horizontal="right" wrapText="1"/>
    </xf>
    <xf numFmtId="0" fontId="53" fillId="0" borderId="0" xfId="0" applyFont="1" applyFill="1" applyAlignment="1" applyProtection="1">
      <alignment vertical="top"/>
    </xf>
    <xf numFmtId="0" fontId="6" fillId="0" borderId="21" xfId="0" applyFont="1" applyBorder="1" applyAlignment="1" applyProtection="1">
      <alignment vertical="top" wrapText="1"/>
    </xf>
    <xf numFmtId="0" fontId="1" fillId="0" borderId="21" xfId="0" applyFont="1" applyBorder="1" applyAlignment="1" applyProtection="1">
      <alignment vertical="top" wrapText="1"/>
    </xf>
    <xf numFmtId="0" fontId="1" fillId="0" borderId="0" xfId="0" applyFont="1" applyBorder="1" applyAlignment="1" applyProtection="1">
      <alignment vertical="top" wrapText="1"/>
    </xf>
    <xf numFmtId="4" fontId="1" fillId="0" borderId="0" xfId="0" applyNumberFormat="1" applyFont="1" applyFill="1" applyAlignment="1" applyProtection="1">
      <alignment wrapText="1"/>
    </xf>
    <xf numFmtId="166" fontId="30" fillId="0" borderId="0" xfId="0" applyNumberFormat="1" applyFont="1" applyFill="1" applyProtection="1"/>
    <xf numFmtId="0" fontId="22" fillId="0" borderId="0" xfId="0" applyFont="1" applyFill="1" applyProtection="1"/>
    <xf numFmtId="0" fontId="1" fillId="0" borderId="19" xfId="0" applyFont="1" applyFill="1" applyBorder="1" applyAlignment="1" applyProtection="1">
      <alignment wrapText="1"/>
    </xf>
    <xf numFmtId="49" fontId="31" fillId="0" borderId="1" xfId="0" applyNumberFormat="1" applyFont="1" applyFill="1" applyBorder="1" applyAlignment="1" applyProtection="1">
      <alignment vertical="top" wrapText="1"/>
    </xf>
    <xf numFmtId="0" fontId="31" fillId="0" borderId="1" xfId="0" applyFont="1" applyFill="1" applyBorder="1" applyAlignment="1" applyProtection="1">
      <alignment vertical="top" wrapText="1"/>
    </xf>
    <xf numFmtId="49" fontId="31" fillId="0" borderId="1" xfId="0" applyNumberFormat="1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2" fontId="9" fillId="0" borderId="0" xfId="0" applyNumberFormat="1" applyFont="1" applyFill="1" applyBorder="1" applyAlignment="1" applyProtection="1">
      <alignment vertical="center" wrapText="1"/>
    </xf>
    <xf numFmtId="2" fontId="9" fillId="0" borderId="0" xfId="0" applyNumberFormat="1" applyFont="1" applyFill="1" applyAlignment="1" applyProtection="1">
      <alignment wrapText="1"/>
    </xf>
    <xf numFmtId="2" fontId="7" fillId="0" borderId="0" xfId="0" applyNumberFormat="1" applyFont="1" applyFill="1" applyBorder="1" applyAlignment="1" applyProtection="1">
      <alignment vertical="center" wrapText="1"/>
    </xf>
    <xf numFmtId="2" fontId="25" fillId="0" borderId="0" xfId="0" applyNumberFormat="1" applyFont="1" applyFill="1" applyBorder="1" applyAlignment="1" applyProtection="1">
      <alignment horizontal="right" wrapText="1"/>
    </xf>
    <xf numFmtId="4" fontId="32" fillId="0" borderId="0" xfId="0" applyNumberFormat="1" applyFont="1" applyFill="1" applyBorder="1" applyAlignment="1" applyProtection="1">
      <alignment vertical="center" wrapText="1"/>
    </xf>
    <xf numFmtId="2" fontId="15" fillId="0" borderId="18" xfId="0" applyNumberFormat="1" applyFont="1" applyFill="1" applyBorder="1" applyAlignment="1" applyProtection="1">
      <alignment vertical="top"/>
    </xf>
    <xf numFmtId="4" fontId="19" fillId="0" borderId="0" xfId="0" applyNumberFormat="1" applyFont="1" applyFill="1" applyAlignment="1" applyProtection="1">
      <alignment wrapText="1"/>
    </xf>
    <xf numFmtId="49" fontId="7" fillId="0" borderId="21" xfId="0" applyNumberFormat="1" applyFont="1" applyFill="1" applyBorder="1" applyAlignment="1" applyProtection="1">
      <alignment wrapText="1"/>
    </xf>
    <xf numFmtId="49" fontId="7" fillId="0" borderId="0" xfId="0" applyNumberFormat="1" applyFont="1" applyFill="1" applyBorder="1" applyAlignment="1" applyProtection="1">
      <alignment wrapText="1"/>
    </xf>
    <xf numFmtId="0" fontId="33" fillId="0" borderId="0" xfId="0" applyFont="1" applyFill="1" applyBorder="1" applyAlignment="1" applyProtection="1">
      <alignment vertical="top" wrapText="1"/>
    </xf>
    <xf numFmtId="0" fontId="34" fillId="0" borderId="0" xfId="0" applyFont="1" applyFill="1" applyBorder="1" applyAlignment="1" applyProtection="1">
      <alignment horizontal="right" wrapText="1"/>
    </xf>
    <xf numFmtId="49" fontId="20" fillId="0" borderId="1" xfId="4" applyNumberFormat="1" applyFont="1" applyFill="1" applyBorder="1" applyAlignment="1" applyProtection="1">
      <alignment vertical="top"/>
    </xf>
    <xf numFmtId="49" fontId="20" fillId="0" borderId="1" xfId="4" applyNumberFormat="1" applyFont="1" applyFill="1" applyBorder="1" applyAlignment="1" applyProtection="1">
      <alignment horizontal="left" vertical="top"/>
    </xf>
    <xf numFmtId="0" fontId="20" fillId="0" borderId="0" xfId="4" applyFont="1" applyFill="1" applyBorder="1" applyAlignment="1" applyProtection="1">
      <alignment vertical="top" wrapText="1"/>
    </xf>
    <xf numFmtId="0" fontId="1" fillId="0" borderId="17" xfId="0" applyFont="1" applyBorder="1" applyProtection="1"/>
    <xf numFmtId="0" fontId="16" fillId="0" borderId="0" xfId="0" applyNumberFormat="1" applyFont="1" applyFill="1" applyAlignment="1" applyProtection="1">
      <alignment vertical="top" wrapText="1"/>
    </xf>
    <xf numFmtId="0" fontId="12" fillId="0" borderId="19" xfId="0" applyFont="1" applyFill="1" applyBorder="1" applyAlignment="1" applyProtection="1">
      <alignment vertical="top"/>
    </xf>
    <xf numFmtId="4" fontId="16" fillId="0" borderId="0" xfId="0" applyNumberFormat="1" applyFont="1" applyFill="1" applyBorder="1" applyAlignment="1" applyProtection="1">
      <alignment vertical="center" wrapText="1"/>
    </xf>
    <xf numFmtId="49" fontId="6" fillId="0" borderId="1" xfId="4" quotePrefix="1" applyNumberFormat="1" applyFont="1" applyBorder="1" applyAlignment="1" applyProtection="1">
      <alignment horizontal="left" vertical="top"/>
    </xf>
    <xf numFmtId="49" fontId="6" fillId="0" borderId="1" xfId="4" applyNumberFormat="1" applyFont="1" applyBorder="1" applyAlignment="1" applyProtection="1">
      <alignment horizontal="left" vertical="top"/>
    </xf>
    <xf numFmtId="0" fontId="6" fillId="0" borderId="0" xfId="4" applyFont="1" applyAlignment="1" applyProtection="1">
      <alignment vertical="top" wrapText="1"/>
    </xf>
    <xf numFmtId="0" fontId="6" fillId="0" borderId="0" xfId="4" applyFont="1" applyAlignment="1" applyProtection="1">
      <alignment wrapText="1"/>
    </xf>
    <xf numFmtId="0" fontId="6" fillId="0" borderId="1" xfId="4" applyFont="1" applyBorder="1" applyAlignment="1" applyProtection="1">
      <alignment horizontal="center" vertical="top"/>
    </xf>
    <xf numFmtId="0" fontId="7" fillId="0" borderId="0" xfId="0" applyFont="1" applyFill="1" applyAlignment="1" applyProtection="1">
      <alignment horizontal="left" vertical="top" wrapText="1"/>
    </xf>
    <xf numFmtId="49" fontId="6" fillId="0" borderId="0" xfId="0" applyNumberFormat="1" applyFont="1" applyFill="1" applyBorder="1" applyAlignment="1" applyProtection="1">
      <alignment horizontal="left" vertical="top"/>
    </xf>
    <xf numFmtId="2" fontId="12" fillId="0" borderId="18" xfId="0" applyNumberFormat="1" applyFont="1" applyFill="1" applyBorder="1" applyAlignment="1" applyProtection="1">
      <alignment vertical="top"/>
    </xf>
    <xf numFmtId="2" fontId="16" fillId="0" borderId="20" xfId="0" applyNumberFormat="1" applyFont="1" applyFill="1" applyBorder="1" applyAlignment="1" applyProtection="1">
      <alignment horizontal="right" wrapText="1"/>
    </xf>
    <xf numFmtId="49" fontId="6" fillId="0" borderId="0" xfId="0" quotePrefix="1" applyNumberFormat="1" applyFont="1" applyBorder="1" applyAlignment="1" applyProtection="1">
      <alignment horizontal="left" vertical="top"/>
    </xf>
    <xf numFmtId="49" fontId="20" fillId="0" borderId="20" xfId="0" applyNumberFormat="1" applyFont="1" applyFill="1" applyBorder="1" applyAlignment="1" applyProtection="1">
      <alignment vertical="top"/>
    </xf>
    <xf numFmtId="49" fontId="20" fillId="0" borderId="0" xfId="0" applyNumberFormat="1" applyFont="1" applyFill="1" applyBorder="1" applyAlignment="1" applyProtection="1">
      <alignment vertical="top"/>
    </xf>
    <xf numFmtId="0" fontId="14" fillId="0" borderId="17" xfId="0" applyFont="1" applyFill="1" applyBorder="1" applyProtection="1"/>
    <xf numFmtId="49" fontId="6" fillId="0" borderId="1" xfId="0" applyNumberFormat="1" applyFont="1" applyFill="1" applyBorder="1" applyAlignment="1" applyProtection="1">
      <alignment horizontal="left" vertical="top" wrapText="1"/>
    </xf>
    <xf numFmtId="4" fontId="1" fillId="0" borderId="22" xfId="0" applyNumberFormat="1" applyFont="1" applyFill="1" applyBorder="1" applyAlignment="1" applyProtection="1">
      <alignment vertical="top"/>
    </xf>
    <xf numFmtId="49" fontId="35" fillId="0" borderId="1" xfId="0" applyNumberFormat="1" applyFont="1" applyFill="1" applyBorder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center" vertical="top"/>
    </xf>
    <xf numFmtId="4" fontId="2" fillId="0" borderId="18" xfId="0" applyNumberFormat="1" applyFont="1" applyFill="1" applyBorder="1" applyAlignment="1" applyProtection="1">
      <alignment vertical="top"/>
    </xf>
    <xf numFmtId="49" fontId="6" fillId="0" borderId="17" xfId="0" applyNumberFormat="1" applyFont="1" applyFill="1" applyBorder="1" applyAlignment="1" applyProtection="1">
      <alignment horizontal="center"/>
    </xf>
    <xf numFmtId="4" fontId="1" fillId="0" borderId="22" xfId="0" applyNumberFormat="1" applyFont="1" applyFill="1" applyBorder="1" applyAlignment="1" applyProtection="1">
      <alignment horizontal="right" vertical="top"/>
    </xf>
    <xf numFmtId="49" fontId="6" fillId="0" borderId="20" xfId="0" applyNumberFormat="1" applyFont="1" applyFill="1" applyBorder="1" applyAlignment="1" applyProtection="1">
      <alignment vertical="top"/>
    </xf>
    <xf numFmtId="2" fontId="7" fillId="0" borderId="0" xfId="0" applyNumberFormat="1" applyFont="1" applyFill="1" applyBorder="1" applyAlignment="1" applyProtection="1">
      <alignment wrapText="1"/>
    </xf>
    <xf numFmtId="4" fontId="2" fillId="0" borderId="22" xfId="0" applyNumberFormat="1" applyFont="1" applyFill="1" applyBorder="1" applyAlignment="1" applyProtection="1">
      <alignment vertical="top"/>
    </xf>
    <xf numFmtId="0" fontId="1" fillId="0" borderId="22" xfId="0" applyFont="1" applyFill="1" applyBorder="1" applyAlignment="1" applyProtection="1">
      <alignment vertical="top"/>
    </xf>
    <xf numFmtId="2" fontId="10" fillId="0" borderId="0" xfId="0" applyNumberFormat="1" applyFont="1" applyFill="1" applyBorder="1" applyAlignment="1" applyProtection="1">
      <alignment wrapText="1"/>
    </xf>
    <xf numFmtId="2" fontId="9" fillId="0" borderId="0" xfId="0" applyNumberFormat="1" applyFont="1" applyFill="1" applyBorder="1" applyAlignment="1" applyProtection="1">
      <alignment wrapText="1"/>
    </xf>
    <xf numFmtId="49" fontId="1" fillId="0" borderId="0" xfId="0" quotePrefix="1" applyNumberFormat="1" applyFont="1" applyFill="1" applyBorder="1" applyAlignment="1" applyProtection="1">
      <alignment horizontal="left" vertical="top"/>
    </xf>
    <xf numFmtId="0" fontId="7" fillId="0" borderId="21" xfId="0" applyFont="1" applyFill="1" applyBorder="1" applyAlignment="1" applyProtection="1">
      <alignment vertical="top" wrapText="1"/>
    </xf>
    <xf numFmtId="2" fontId="1" fillId="0" borderId="22" xfId="0" applyNumberFormat="1" applyFont="1" applyFill="1" applyBorder="1" applyAlignment="1" applyProtection="1">
      <alignment vertical="top"/>
    </xf>
    <xf numFmtId="0" fontId="1" fillId="0" borderId="20" xfId="0" applyFont="1" applyFill="1" applyBorder="1" applyProtection="1"/>
    <xf numFmtId="0" fontId="1" fillId="0" borderId="1" xfId="0" applyFont="1" applyFill="1" applyBorder="1" applyProtection="1"/>
    <xf numFmtId="0" fontId="1" fillId="0" borderId="21" xfId="0" applyFont="1" applyFill="1" applyBorder="1" applyProtection="1"/>
    <xf numFmtId="4" fontId="7" fillId="0" borderId="20" xfId="0" applyNumberFormat="1" applyFont="1" applyFill="1" applyBorder="1" applyProtection="1"/>
    <xf numFmtId="2" fontId="6" fillId="0" borderId="0" xfId="0" applyNumberFormat="1" applyFont="1" applyFill="1" applyProtection="1"/>
    <xf numFmtId="0" fontId="1" fillId="0" borderId="1" xfId="0" applyFont="1" applyFill="1" applyBorder="1" applyAlignment="1" applyProtection="1">
      <alignment vertical="top" wrapText="1"/>
    </xf>
    <xf numFmtId="49" fontId="1" fillId="0" borderId="1" xfId="0" applyNumberFormat="1" applyFont="1" applyFill="1" applyBorder="1" applyAlignment="1" applyProtection="1">
      <alignment horizontal="left" vertical="top" wrapText="1"/>
    </xf>
    <xf numFmtId="49" fontId="7" fillId="0" borderId="0" xfId="0" applyNumberFormat="1" applyFont="1" applyFill="1" applyBorder="1" applyAlignment="1" applyProtection="1">
      <alignment vertical="top" wrapText="1"/>
    </xf>
    <xf numFmtId="2" fontId="7" fillId="0" borderId="0" xfId="0" applyNumberFormat="1" applyFont="1" applyFill="1" applyAlignment="1" applyProtection="1">
      <alignment horizontal="right" vertical="top" wrapText="1"/>
    </xf>
    <xf numFmtId="4" fontId="7" fillId="0" borderId="20" xfId="0" applyNumberFormat="1" applyFont="1" applyFill="1" applyBorder="1" applyAlignment="1" applyProtection="1">
      <alignment horizontal="right" vertical="top" wrapText="1"/>
    </xf>
    <xf numFmtId="49" fontId="6" fillId="0" borderId="20" xfId="0" quotePrefix="1" applyNumberFormat="1" applyFont="1" applyFill="1" applyBorder="1" applyAlignment="1" applyProtection="1">
      <alignment horizontal="left" vertical="top"/>
    </xf>
    <xf numFmtId="2" fontId="7" fillId="0" borderId="20" xfId="0" applyNumberFormat="1" applyFont="1" applyFill="1" applyBorder="1" applyProtection="1"/>
    <xf numFmtId="0" fontId="1" fillId="0" borderId="23" xfId="0" applyFont="1" applyFill="1" applyBorder="1" applyProtection="1"/>
    <xf numFmtId="0" fontId="1" fillId="0" borderId="11" xfId="0" applyFont="1" applyFill="1" applyBorder="1" applyProtection="1"/>
    <xf numFmtId="0" fontId="1" fillId="0" borderId="9" xfId="0" applyFont="1" applyFill="1" applyBorder="1" applyProtection="1"/>
    <xf numFmtId="0" fontId="1" fillId="0" borderId="2" xfId="0" applyFont="1" applyFill="1" applyBorder="1" applyProtection="1"/>
    <xf numFmtId="0" fontId="1" fillId="0" borderId="10" xfId="0" applyFont="1" applyFill="1" applyBorder="1" applyProtection="1"/>
    <xf numFmtId="4" fontId="7" fillId="0" borderId="11" xfId="0" applyNumberFormat="1" applyFont="1" applyFill="1" applyBorder="1" applyProtection="1"/>
    <xf numFmtId="4" fontId="1" fillId="0" borderId="24" xfId="0" applyNumberFormat="1" applyFont="1" applyFill="1" applyBorder="1" applyAlignment="1" applyProtection="1">
      <alignment vertical="top"/>
    </xf>
    <xf numFmtId="4" fontId="7" fillId="0" borderId="0" xfId="0" applyNumberFormat="1" applyFont="1" applyFill="1" applyProtection="1"/>
    <xf numFmtId="3" fontId="49" fillId="0" borderId="0" xfId="0" applyNumberFormat="1" applyFont="1" applyFill="1" applyProtection="1"/>
    <xf numFmtId="0" fontId="36" fillId="0" borderId="26" xfId="6" applyBorder="1"/>
    <xf numFmtId="0" fontId="36" fillId="0" borderId="27" xfId="6" applyBorder="1"/>
    <xf numFmtId="0" fontId="36" fillId="0" borderId="28" xfId="6" applyBorder="1"/>
    <xf numFmtId="0" fontId="36" fillId="4" borderId="25" xfId="8" applyFont="1" applyBorder="1" applyProtection="1"/>
    <xf numFmtId="0" fontId="41" fillId="0" borderId="26" xfId="7" applyFont="1" applyBorder="1" applyAlignment="1" applyProtection="1">
      <alignment horizontal="right"/>
    </xf>
    <xf numFmtId="0" fontId="41" fillId="0" borderId="27" xfId="7" applyFont="1" applyBorder="1" applyAlignment="1" applyProtection="1">
      <alignment horizontal="right"/>
    </xf>
    <xf numFmtId="168" fontId="41" fillId="0" borderId="27" xfId="7" applyNumberFormat="1" applyFont="1" applyBorder="1" applyAlignment="1" applyProtection="1">
      <alignment horizontal="right"/>
    </xf>
    <xf numFmtId="0" fontId="40" fillId="0" borderId="28" xfId="0" applyFont="1" applyBorder="1" applyAlignment="1" applyProtection="1"/>
    <xf numFmtId="0" fontId="1" fillId="0" borderId="3" xfId="0" applyFont="1" applyFill="1" applyBorder="1" applyAlignment="1" applyProtection="1">
      <alignment horizontal="center" vertical="top"/>
    </xf>
    <xf numFmtId="0" fontId="1" fillId="0" borderId="4" xfId="0" applyFont="1" applyFill="1" applyBorder="1" applyAlignment="1" applyProtection="1">
      <alignment horizontal="center" vertical="top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4" xfId="0" quotePrefix="1" applyFont="1" applyFill="1" applyBorder="1" applyAlignment="1" applyProtection="1">
      <alignment horizontal="center" vertical="center"/>
    </xf>
    <xf numFmtId="0" fontId="1" fillId="0" borderId="12" xfId="0" quotePrefix="1" applyFont="1" applyFill="1" applyBorder="1" applyAlignment="1" applyProtection="1">
      <alignment horizontal="center" vertical="center"/>
    </xf>
    <xf numFmtId="4" fontId="1" fillId="0" borderId="7" xfId="0" applyNumberFormat="1" applyFont="1" applyFill="1" applyBorder="1" applyAlignment="1" applyProtection="1">
      <alignment horizontal="center" vertical="center"/>
    </xf>
    <xf numFmtId="4" fontId="1" fillId="0" borderId="13" xfId="0" applyNumberFormat="1" applyFont="1" applyFill="1" applyBorder="1" applyAlignment="1" applyProtection="1">
      <alignment horizontal="center" vertical="center"/>
    </xf>
  </cellXfs>
  <cellStyles count="13">
    <cellStyle name="Background_Yellow" xfId="2"/>
    <cellStyle name="Font_Ariel_Normal" xfId="3"/>
    <cellStyle name="Font_Ariel_Normal_Bold" xfId="6"/>
    <cellStyle name="Font_Ariel_Normal_Bold_BG_Gray" xfId="5"/>
    <cellStyle name="Font_Ariel_Small" xfId="7"/>
    <cellStyle name="Font_Ariel_Small_Bold" xfId="9"/>
    <cellStyle name="Font_Ariel_Small_Bold_BG_Gray" xfId="8"/>
    <cellStyle name="Normálna" xfId="0" builtinId="0"/>
    <cellStyle name="Normálna 3" xfId="10"/>
    <cellStyle name="Normálna 3 2" xfId="11"/>
    <cellStyle name="Normálna 6" xfId="12"/>
    <cellStyle name="Normálna 7" xfId="4"/>
    <cellStyle name="Štýl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9"/>
  <sheetViews>
    <sheetView showGridLines="0" view="pageLayout" zoomScaleNormal="100" workbookViewId="0">
      <selection activeCell="E3" sqref="E3"/>
    </sheetView>
  </sheetViews>
  <sheetFormatPr defaultColWidth="9.1796875" defaultRowHeight="12.5"/>
  <cols>
    <col min="1" max="1" width="2.453125" customWidth="1"/>
    <col min="2" max="2" width="15.26953125" bestFit="1" customWidth="1"/>
    <col min="3" max="3" width="12.7265625" customWidth="1"/>
    <col min="4" max="4" width="34.81640625" customWidth="1"/>
    <col min="5" max="7" width="19.54296875" customWidth="1"/>
    <col min="8" max="8" width="8.7265625" customWidth="1"/>
    <col min="9" max="9" width="9.1796875" style="1"/>
    <col min="10" max="10" width="8.26953125" style="1" customWidth="1"/>
    <col min="11" max="11" width="9.453125" style="1" customWidth="1"/>
    <col min="12" max="16384" width="9.1796875" style="1"/>
  </cols>
  <sheetData>
    <row r="3" spans="1:12" customFormat="1" ht="23">
      <c r="B3" s="12" t="s">
        <v>615</v>
      </c>
      <c r="C3" s="13" t="s">
        <v>616</v>
      </c>
      <c r="D3" s="12" t="s">
        <v>617</v>
      </c>
      <c r="E3" s="14" t="s">
        <v>618</v>
      </c>
      <c r="F3" s="14" t="s">
        <v>619</v>
      </c>
      <c r="G3" s="14" t="s">
        <v>620</v>
      </c>
    </row>
    <row r="4" spans="1:12" customFormat="1">
      <c r="B4" s="15" t="s">
        <v>622</v>
      </c>
      <c r="C4" s="16">
        <v>2141</v>
      </c>
      <c r="D4" s="15" t="s">
        <v>623</v>
      </c>
      <c r="E4" s="17">
        <f>'Časti stavby'!J108</f>
        <v>0</v>
      </c>
      <c r="F4" s="17">
        <f>E4*0.2</f>
        <v>0</v>
      </c>
      <c r="G4" s="17">
        <f>E4+F4</f>
        <v>0</v>
      </c>
    </row>
    <row r="5" spans="1:12" customFormat="1">
      <c r="B5" s="428" t="s">
        <v>621</v>
      </c>
      <c r="C5" s="429"/>
      <c r="D5" s="430"/>
      <c r="E5" s="18">
        <f>SUM(E4:E4)</f>
        <v>0</v>
      </c>
      <c r="F5" s="19">
        <f>SUM(F4:F4)</f>
        <v>0</v>
      </c>
      <c r="G5" s="19">
        <f>SUM(G4:G4)</f>
        <v>0</v>
      </c>
    </row>
    <row r="6" spans="1:12" s="5" customFormat="1">
      <c r="A6"/>
      <c r="B6"/>
      <c r="C6"/>
      <c r="D6"/>
      <c r="E6" s="20"/>
      <c r="F6"/>
      <c r="G6"/>
      <c r="H6"/>
      <c r="I6" s="6"/>
      <c r="J6" s="6"/>
      <c r="K6" s="6"/>
    </row>
    <row r="7" spans="1:12" ht="12.75" customHeight="1"/>
    <row r="8" spans="1:12" s="5" customFormat="1">
      <c r="A8"/>
      <c r="B8"/>
      <c r="C8"/>
      <c r="D8"/>
      <c r="E8"/>
      <c r="F8"/>
      <c r="G8"/>
      <c r="H8"/>
      <c r="I8" s="6"/>
      <c r="J8" s="6"/>
      <c r="K8" s="6"/>
    </row>
    <row r="9" spans="1:12" s="5" customFormat="1">
      <c r="A9"/>
      <c r="B9"/>
      <c r="C9"/>
      <c r="D9"/>
      <c r="E9"/>
      <c r="F9"/>
      <c r="G9"/>
      <c r="H9"/>
      <c r="I9" s="6"/>
      <c r="J9" s="6"/>
      <c r="K9" s="6"/>
    </row>
    <row r="10" spans="1:12" s="5" customFormat="1">
      <c r="A10"/>
      <c r="B10"/>
      <c r="C10"/>
      <c r="D10"/>
      <c r="E10"/>
      <c r="F10"/>
      <c r="G10"/>
      <c r="H10"/>
      <c r="I10" s="6"/>
      <c r="J10" s="6"/>
      <c r="K10" s="6"/>
      <c r="L10" s="21"/>
    </row>
    <row r="11" spans="1:12" s="5" customFormat="1">
      <c r="A11"/>
      <c r="B11"/>
      <c r="C11"/>
      <c r="D11"/>
      <c r="E11"/>
      <c r="F11"/>
      <c r="G11"/>
      <c r="H11"/>
      <c r="I11" s="6"/>
      <c r="J11" s="6"/>
      <c r="K11" s="6"/>
    </row>
    <row r="12" spans="1:12" s="5" customFormat="1">
      <c r="A12"/>
      <c r="B12"/>
      <c r="C12"/>
      <c r="D12"/>
      <c r="E12" s="22"/>
      <c r="F12"/>
      <c r="G12"/>
      <c r="H12"/>
      <c r="I12" s="6"/>
      <c r="J12" s="6"/>
      <c r="K12" s="6"/>
    </row>
    <row r="13" spans="1:12" s="5" customFormat="1">
      <c r="A13"/>
      <c r="B13"/>
      <c r="C13"/>
      <c r="D13"/>
      <c r="E13" s="22"/>
      <c r="F13"/>
      <c r="G13"/>
      <c r="H13"/>
      <c r="I13" s="6"/>
      <c r="J13" s="6"/>
      <c r="K13" s="6"/>
    </row>
    <row r="14" spans="1:12" s="5" customFormat="1">
      <c r="A14"/>
      <c r="B14"/>
      <c r="C14"/>
      <c r="D14"/>
      <c r="E14"/>
      <c r="F14"/>
      <c r="G14"/>
      <c r="H14"/>
      <c r="I14" s="6"/>
      <c r="J14" s="6"/>
      <c r="K14" s="6"/>
    </row>
    <row r="15" spans="1:12" s="5" customFormat="1">
      <c r="A15"/>
      <c r="B15"/>
      <c r="C15"/>
      <c r="D15"/>
      <c r="E15"/>
      <c r="F15"/>
      <c r="G15"/>
      <c r="H15"/>
      <c r="I15" s="6"/>
      <c r="J15" s="6"/>
      <c r="K15" s="6"/>
    </row>
    <row r="16" spans="1:12" s="4" customFormat="1" ht="13">
      <c r="A16"/>
      <c r="B16"/>
      <c r="C16"/>
      <c r="D16"/>
      <c r="E16"/>
      <c r="F16"/>
      <c r="G16"/>
      <c r="H16"/>
    </row>
    <row r="17" spans="1:11" s="4" customFormat="1" ht="13">
      <c r="A17"/>
      <c r="B17"/>
      <c r="C17"/>
      <c r="D17"/>
      <c r="E17"/>
      <c r="F17"/>
      <c r="G17"/>
      <c r="H17"/>
    </row>
    <row r="18" spans="1:11" s="4" customFormat="1" ht="12.75" customHeight="1">
      <c r="A18"/>
      <c r="B18"/>
      <c r="C18"/>
      <c r="D18"/>
      <c r="E18"/>
      <c r="F18"/>
      <c r="G18"/>
      <c r="H18"/>
    </row>
    <row r="19" spans="1:11" s="4" customFormat="1" ht="13">
      <c r="A19"/>
      <c r="B19"/>
      <c r="C19"/>
      <c r="D19"/>
      <c r="E19"/>
      <c r="F19"/>
      <c r="G19"/>
      <c r="H19"/>
    </row>
    <row r="20" spans="1:11" s="4" customFormat="1" ht="13">
      <c r="A20"/>
      <c r="B20"/>
      <c r="C20"/>
      <c r="D20"/>
      <c r="E20"/>
      <c r="F20"/>
      <c r="G20"/>
      <c r="H20"/>
    </row>
    <row r="21" spans="1:11" s="4" customFormat="1" ht="13">
      <c r="A21"/>
      <c r="B21"/>
      <c r="C21"/>
      <c r="D21"/>
      <c r="E21"/>
      <c r="F21"/>
      <c r="G21"/>
      <c r="H21"/>
    </row>
    <row r="22" spans="1:11" s="4" customFormat="1" ht="13">
      <c r="A22"/>
      <c r="B22"/>
      <c r="C22"/>
      <c r="D22"/>
      <c r="E22"/>
      <c r="F22"/>
      <c r="G22"/>
      <c r="H22"/>
    </row>
    <row r="23" spans="1:11" s="5" customFormat="1">
      <c r="A23"/>
      <c r="B23"/>
      <c r="C23"/>
      <c r="D23"/>
      <c r="E23"/>
      <c r="F23"/>
      <c r="G23"/>
      <c r="H23"/>
      <c r="I23" s="6"/>
      <c r="J23" s="6"/>
      <c r="K23" s="6"/>
    </row>
    <row r="24" spans="1:11" s="5" customFormat="1">
      <c r="A24"/>
      <c r="B24"/>
      <c r="C24"/>
      <c r="D24"/>
      <c r="E24"/>
      <c r="F24"/>
      <c r="G24"/>
      <c r="H24"/>
      <c r="I24" s="6"/>
      <c r="J24" s="6"/>
      <c r="K24" s="6"/>
    </row>
    <row r="25" spans="1:11" s="4" customFormat="1" ht="13">
      <c r="A25"/>
      <c r="B25"/>
      <c r="C25"/>
      <c r="D25"/>
      <c r="E25"/>
      <c r="F25"/>
      <c r="G25"/>
      <c r="H25"/>
    </row>
    <row r="26" spans="1:11" s="5" customFormat="1">
      <c r="A26"/>
      <c r="B26"/>
      <c r="C26"/>
      <c r="D26"/>
      <c r="E26"/>
      <c r="F26"/>
      <c r="G26"/>
      <c r="H26"/>
      <c r="I26" s="6"/>
      <c r="J26" s="6"/>
      <c r="K26" s="6"/>
    </row>
    <row r="27" spans="1:11" s="4" customFormat="1" ht="13">
      <c r="A27"/>
      <c r="B27"/>
      <c r="C27"/>
      <c r="D27"/>
      <c r="E27"/>
      <c r="F27"/>
      <c r="G27"/>
      <c r="H27"/>
    </row>
    <row r="28" spans="1:11" s="5" customFormat="1">
      <c r="A28"/>
      <c r="B28"/>
      <c r="C28"/>
      <c r="D28"/>
      <c r="E28"/>
      <c r="F28"/>
      <c r="G28"/>
      <c r="H28"/>
      <c r="I28" s="6"/>
      <c r="J28" s="6"/>
      <c r="K28" s="6"/>
    </row>
    <row r="29" spans="1:11" s="5" customFormat="1" ht="12.75" customHeight="1">
      <c r="A29"/>
      <c r="B29"/>
      <c r="C29"/>
      <c r="D29"/>
      <c r="E29"/>
      <c r="F29"/>
      <c r="G29"/>
      <c r="H29"/>
      <c r="I29" s="6"/>
      <c r="J29" s="6"/>
      <c r="K29" s="6"/>
    </row>
    <row r="30" spans="1:11" s="5" customFormat="1" ht="12.75" customHeight="1">
      <c r="A30"/>
      <c r="B30"/>
      <c r="C30"/>
      <c r="D30"/>
      <c r="E30"/>
      <c r="F30"/>
      <c r="G30"/>
      <c r="H30"/>
      <c r="I30" s="6"/>
      <c r="J30" s="6"/>
      <c r="K30" s="6"/>
    </row>
    <row r="31" spans="1:11" s="6" customFormat="1">
      <c r="A31"/>
      <c r="B31"/>
      <c r="C31"/>
      <c r="D31"/>
      <c r="E31"/>
      <c r="F31"/>
      <c r="G31"/>
      <c r="H31"/>
    </row>
    <row r="32" spans="1:11" s="6" customFormat="1">
      <c r="A32"/>
      <c r="B32"/>
      <c r="C32"/>
      <c r="D32"/>
      <c r="E32"/>
      <c r="F32"/>
      <c r="G32"/>
      <c r="H32"/>
    </row>
    <row r="33" spans="1:8" s="6" customFormat="1">
      <c r="A33"/>
      <c r="B33"/>
      <c r="C33"/>
      <c r="D33"/>
      <c r="E33"/>
      <c r="F33"/>
      <c r="G33"/>
      <c r="H33"/>
    </row>
    <row r="34" spans="1:8" s="6" customFormat="1">
      <c r="A34"/>
      <c r="B34"/>
      <c r="C34"/>
      <c r="D34"/>
      <c r="E34"/>
      <c r="F34"/>
      <c r="G34"/>
      <c r="H34"/>
    </row>
    <row r="35" spans="1:8" s="6" customFormat="1">
      <c r="A35"/>
      <c r="B35"/>
      <c r="C35"/>
      <c r="D35"/>
      <c r="E35"/>
      <c r="F35"/>
      <c r="G35"/>
      <c r="H35"/>
    </row>
    <row r="36" spans="1:8" s="6" customFormat="1">
      <c r="A36"/>
      <c r="B36"/>
      <c r="C36"/>
      <c r="D36"/>
      <c r="E36"/>
      <c r="F36"/>
      <c r="G36"/>
      <c r="H36"/>
    </row>
    <row r="37" spans="1:8" s="6" customFormat="1">
      <c r="A37"/>
      <c r="B37"/>
      <c r="C37"/>
      <c r="D37"/>
      <c r="E37"/>
      <c r="F37"/>
      <c r="G37"/>
      <c r="H37"/>
    </row>
    <row r="38" spans="1:8" s="6" customFormat="1">
      <c r="A38"/>
      <c r="B38"/>
      <c r="C38"/>
      <c r="D38"/>
      <c r="E38"/>
      <c r="F38"/>
      <c r="G38"/>
      <c r="H38"/>
    </row>
    <row r="39" spans="1:8" s="6" customFormat="1">
      <c r="A39"/>
      <c r="B39"/>
      <c r="C39"/>
      <c r="D39"/>
      <c r="E39"/>
      <c r="F39"/>
      <c r="G39"/>
      <c r="H39"/>
    </row>
    <row r="40" spans="1:8" s="6" customFormat="1">
      <c r="A40"/>
      <c r="B40"/>
      <c r="C40"/>
      <c r="D40"/>
      <c r="E40"/>
      <c r="F40"/>
      <c r="G40"/>
      <c r="H40"/>
    </row>
    <row r="41" spans="1:8" s="6" customFormat="1">
      <c r="A41"/>
      <c r="B41"/>
      <c r="C41"/>
      <c r="D41"/>
      <c r="E41"/>
      <c r="F41"/>
      <c r="G41"/>
      <c r="H41"/>
    </row>
    <row r="42" spans="1:8" s="6" customFormat="1">
      <c r="A42"/>
      <c r="B42"/>
      <c r="C42"/>
      <c r="D42"/>
      <c r="E42"/>
      <c r="F42"/>
      <c r="G42"/>
      <c r="H42"/>
    </row>
    <row r="43" spans="1:8" s="4" customFormat="1" ht="13">
      <c r="A43"/>
      <c r="B43"/>
      <c r="C43"/>
      <c r="D43"/>
      <c r="E43"/>
      <c r="F43"/>
      <c r="G43"/>
      <c r="H43"/>
    </row>
    <row r="44" spans="1:8" s="6" customFormat="1">
      <c r="A44"/>
      <c r="B44"/>
      <c r="C44"/>
      <c r="D44"/>
      <c r="E44"/>
      <c r="F44"/>
      <c r="G44"/>
      <c r="H44"/>
    </row>
    <row r="45" spans="1:8" s="6" customFormat="1">
      <c r="A45"/>
      <c r="B45"/>
      <c r="C45"/>
      <c r="D45"/>
      <c r="E45"/>
      <c r="F45"/>
      <c r="G45"/>
      <c r="H45"/>
    </row>
    <row r="46" spans="1:8" s="6" customFormat="1">
      <c r="A46"/>
      <c r="B46"/>
      <c r="C46"/>
      <c r="D46"/>
      <c r="E46"/>
      <c r="F46"/>
      <c r="G46"/>
      <c r="H46"/>
    </row>
    <row r="47" spans="1:8" s="6" customFormat="1">
      <c r="A47"/>
      <c r="B47"/>
      <c r="C47"/>
      <c r="D47"/>
      <c r="E47"/>
      <c r="F47"/>
      <c r="G47"/>
      <c r="H47"/>
    </row>
    <row r="48" spans="1:8" s="6" customFormat="1">
      <c r="A48"/>
      <c r="B48"/>
      <c r="C48"/>
      <c r="D48"/>
      <c r="E48"/>
      <c r="F48"/>
      <c r="G48"/>
      <c r="H48"/>
    </row>
    <row r="49" spans="1:11" s="6" customFormat="1">
      <c r="A49"/>
      <c r="B49"/>
      <c r="C49"/>
      <c r="D49"/>
      <c r="E49"/>
      <c r="F49"/>
      <c r="G49"/>
      <c r="H49"/>
    </row>
    <row r="50" spans="1:11" s="6" customFormat="1">
      <c r="A50"/>
      <c r="B50"/>
      <c r="C50"/>
      <c r="D50"/>
      <c r="E50"/>
      <c r="F50"/>
      <c r="G50"/>
      <c r="H50"/>
    </row>
    <row r="51" spans="1:11" s="6" customFormat="1">
      <c r="A51"/>
      <c r="B51"/>
      <c r="C51"/>
      <c r="D51"/>
      <c r="E51"/>
      <c r="F51"/>
      <c r="G51"/>
      <c r="H51"/>
    </row>
    <row r="52" spans="1:11" s="6" customFormat="1">
      <c r="A52"/>
      <c r="B52"/>
      <c r="C52"/>
      <c r="D52"/>
      <c r="E52"/>
      <c r="F52"/>
      <c r="G52"/>
      <c r="H52"/>
    </row>
    <row r="53" spans="1:11" s="6" customFormat="1">
      <c r="A53"/>
      <c r="B53"/>
      <c r="C53"/>
      <c r="D53"/>
      <c r="E53"/>
      <c r="F53"/>
      <c r="G53"/>
      <c r="H53"/>
    </row>
    <row r="54" spans="1:11" s="5" customFormat="1">
      <c r="A54"/>
      <c r="B54"/>
      <c r="C54"/>
      <c r="D54"/>
      <c r="E54"/>
      <c r="F54"/>
      <c r="G54"/>
      <c r="H54"/>
      <c r="I54" s="6"/>
      <c r="J54" s="6"/>
      <c r="K54" s="6"/>
    </row>
    <row r="55" spans="1:11" s="6" customFormat="1">
      <c r="A55"/>
      <c r="B55"/>
      <c r="C55"/>
      <c r="D55"/>
      <c r="E55"/>
      <c r="F55"/>
      <c r="G55"/>
      <c r="H55"/>
    </row>
    <row r="56" spans="1:11" s="6" customFormat="1">
      <c r="A56"/>
      <c r="B56"/>
      <c r="C56"/>
      <c r="D56"/>
      <c r="E56"/>
      <c r="F56"/>
      <c r="G56"/>
      <c r="H56"/>
    </row>
    <row r="57" spans="1:11" s="6" customFormat="1">
      <c r="A57"/>
      <c r="B57"/>
      <c r="C57"/>
      <c r="D57"/>
      <c r="E57"/>
      <c r="F57"/>
      <c r="G57"/>
      <c r="H57"/>
    </row>
    <row r="58" spans="1:11" s="6" customFormat="1">
      <c r="A58"/>
      <c r="B58"/>
      <c r="C58"/>
      <c r="D58"/>
      <c r="E58"/>
      <c r="F58"/>
      <c r="G58"/>
      <c r="H58"/>
    </row>
    <row r="59" spans="1:11" s="6" customFormat="1">
      <c r="A59"/>
      <c r="B59"/>
      <c r="C59"/>
      <c r="D59"/>
      <c r="E59"/>
      <c r="F59"/>
      <c r="G59"/>
      <c r="H59"/>
    </row>
    <row r="60" spans="1:11" s="6" customFormat="1">
      <c r="A60"/>
      <c r="B60"/>
      <c r="C60"/>
      <c r="D60"/>
      <c r="E60"/>
      <c r="F60"/>
      <c r="G60"/>
      <c r="H60"/>
    </row>
    <row r="61" spans="1:11" s="6" customFormat="1" ht="12.75" customHeight="1">
      <c r="A61"/>
      <c r="B61"/>
      <c r="C61"/>
      <c r="D61"/>
      <c r="E61"/>
      <c r="F61"/>
      <c r="G61"/>
      <c r="H61"/>
    </row>
    <row r="62" spans="1:11" s="6" customFormat="1">
      <c r="A62"/>
      <c r="B62"/>
      <c r="C62"/>
      <c r="D62"/>
      <c r="E62"/>
      <c r="F62"/>
      <c r="G62"/>
      <c r="H62"/>
    </row>
    <row r="63" spans="1:11" s="6" customFormat="1" ht="12.75" customHeight="1">
      <c r="A63"/>
      <c r="B63"/>
      <c r="C63"/>
      <c r="D63"/>
      <c r="E63"/>
      <c r="F63"/>
      <c r="G63"/>
      <c r="H63"/>
    </row>
    <row r="64" spans="1:11" s="6" customFormat="1">
      <c r="A64"/>
      <c r="B64"/>
      <c r="C64"/>
      <c r="D64"/>
      <c r="E64"/>
      <c r="F64"/>
      <c r="G64"/>
      <c r="H64"/>
    </row>
    <row r="65" spans="1:8" s="6" customFormat="1">
      <c r="A65"/>
      <c r="B65"/>
      <c r="C65"/>
      <c r="D65"/>
      <c r="E65"/>
      <c r="F65"/>
      <c r="G65"/>
      <c r="H65"/>
    </row>
    <row r="66" spans="1:8" s="6" customFormat="1">
      <c r="A66"/>
      <c r="B66"/>
      <c r="C66"/>
      <c r="D66"/>
      <c r="E66"/>
      <c r="F66"/>
      <c r="G66"/>
      <c r="H66"/>
    </row>
    <row r="67" spans="1:8" s="6" customFormat="1">
      <c r="A67"/>
      <c r="B67"/>
      <c r="C67"/>
      <c r="D67"/>
      <c r="E67"/>
      <c r="F67"/>
      <c r="G67"/>
      <c r="H67"/>
    </row>
    <row r="68" spans="1:8" ht="12.75" customHeight="1"/>
    <row r="69" spans="1:8" ht="12.75" customHeight="1"/>
    <row r="70" spans="1:8" ht="12.75" customHeight="1"/>
    <row r="71" spans="1:8" ht="12.75" customHeight="1"/>
    <row r="72" spans="1:8" ht="12.75" customHeight="1"/>
    <row r="73" spans="1:8" ht="12.75" customHeight="1"/>
    <row r="74" spans="1:8" ht="12.75" customHeight="1"/>
    <row r="75" spans="1:8" ht="12.75" customHeight="1"/>
    <row r="76" spans="1:8" ht="12.75" customHeight="1"/>
    <row r="77" spans="1:8" ht="12.75" customHeight="1"/>
    <row r="78" spans="1:8" ht="12.75" customHeight="1"/>
    <row r="79" spans="1:8" ht="12.75" customHeight="1"/>
    <row r="80" spans="1:8" ht="12.75" customHeight="1"/>
    <row r="81" spans="1:13" ht="12.75" customHeight="1"/>
    <row r="82" spans="1:13" ht="12.75" customHeight="1"/>
    <row r="83" spans="1:13" s="4" customFormat="1" ht="13">
      <c r="A83"/>
      <c r="B83"/>
      <c r="C83"/>
      <c r="D83"/>
      <c r="E83"/>
      <c r="F83"/>
      <c r="G83"/>
      <c r="H83"/>
    </row>
    <row r="84" spans="1:13" s="4" customFormat="1" ht="13">
      <c r="A84"/>
      <c r="B84"/>
      <c r="C84"/>
      <c r="D84"/>
      <c r="E84"/>
      <c r="F84"/>
      <c r="G84"/>
      <c r="H84"/>
    </row>
    <row r="85" spans="1:13" ht="12.75" customHeight="1"/>
    <row r="86" spans="1:13" ht="12.75" customHeight="1"/>
    <row r="87" spans="1:13" s="3" customFormat="1">
      <c r="A87"/>
      <c r="B87"/>
      <c r="C87"/>
      <c r="D87"/>
      <c r="E87"/>
      <c r="F87"/>
      <c r="G87"/>
      <c r="H87"/>
      <c r="I87" s="1"/>
      <c r="J87" s="1"/>
      <c r="K87" s="1"/>
      <c r="L87" s="1"/>
      <c r="M87" s="1"/>
    </row>
    <row r="90" spans="1:13" s="4" customFormat="1" ht="13">
      <c r="A90"/>
      <c r="B90"/>
      <c r="C90"/>
      <c r="D90"/>
      <c r="E90"/>
      <c r="F90"/>
      <c r="G90"/>
      <c r="H90"/>
    </row>
    <row r="91" spans="1:13" s="4" customFormat="1" ht="13">
      <c r="A91"/>
      <c r="B91"/>
      <c r="C91"/>
      <c r="D91"/>
      <c r="E91"/>
      <c r="F91"/>
      <c r="G91"/>
      <c r="H91"/>
    </row>
    <row r="92" spans="1:13" s="4" customFormat="1" ht="13">
      <c r="A92"/>
      <c r="B92"/>
      <c r="C92"/>
      <c r="D92"/>
      <c r="E92"/>
      <c r="F92"/>
      <c r="G92"/>
      <c r="H92"/>
    </row>
    <row r="93" spans="1:13" s="4" customFormat="1" ht="13">
      <c r="A93"/>
      <c r="B93"/>
      <c r="C93"/>
      <c r="D93"/>
      <c r="E93"/>
      <c r="F93"/>
      <c r="G93"/>
      <c r="H93"/>
    </row>
    <row r="94" spans="1:13">
      <c r="J94" s="23"/>
    </row>
    <row r="95" spans="1:13">
      <c r="J95" s="23"/>
    </row>
    <row r="99" spans="1:8" s="4" customFormat="1" ht="13">
      <c r="A99"/>
      <c r="B99"/>
      <c r="C99"/>
      <c r="D99"/>
      <c r="E99"/>
      <c r="F99"/>
      <c r="G99"/>
      <c r="H99"/>
    </row>
    <row r="100" spans="1:8" ht="12.75" customHeight="1"/>
    <row r="103" spans="1:8" ht="12.75" customHeight="1"/>
    <row r="104" spans="1:8" ht="12.75" customHeight="1"/>
    <row r="115" spans="1:10" s="6" customFormat="1">
      <c r="A115"/>
      <c r="B115"/>
      <c r="C115"/>
      <c r="D115"/>
      <c r="E115"/>
      <c r="F115"/>
      <c r="G115"/>
      <c r="H115"/>
    </row>
    <row r="116" spans="1:10" s="6" customFormat="1">
      <c r="A116"/>
      <c r="B116"/>
      <c r="C116"/>
      <c r="D116"/>
      <c r="E116"/>
      <c r="F116"/>
      <c r="G116"/>
      <c r="H116"/>
    </row>
    <row r="117" spans="1:10" ht="12.75" customHeight="1"/>
    <row r="125" spans="1:10" s="4" customFormat="1" ht="13">
      <c r="A125"/>
      <c r="B125"/>
      <c r="C125"/>
      <c r="D125"/>
      <c r="E125"/>
      <c r="F125"/>
      <c r="G125"/>
      <c r="H125"/>
    </row>
    <row r="126" spans="1:10" s="4" customFormat="1" ht="13">
      <c r="A126"/>
      <c r="B126"/>
      <c r="C126"/>
      <c r="D126"/>
      <c r="E126"/>
      <c r="F126"/>
      <c r="G126"/>
      <c r="H126"/>
    </row>
    <row r="128" spans="1:10">
      <c r="J128" s="3"/>
    </row>
    <row r="129" spans="1:11">
      <c r="J129" s="3"/>
    </row>
    <row r="130" spans="1:11">
      <c r="J130" s="3"/>
    </row>
    <row r="131" spans="1:11">
      <c r="J131" s="3"/>
    </row>
    <row r="132" spans="1:11">
      <c r="J132" s="3"/>
    </row>
    <row r="133" spans="1:11">
      <c r="J133" s="3"/>
    </row>
    <row r="134" spans="1:11">
      <c r="J134" s="3"/>
    </row>
    <row r="135" spans="1:11" s="4" customFormat="1" ht="13">
      <c r="A135"/>
      <c r="B135"/>
      <c r="C135"/>
      <c r="D135"/>
      <c r="E135"/>
      <c r="F135"/>
      <c r="G135"/>
      <c r="H135"/>
    </row>
    <row r="136" spans="1:11" s="4" customFormat="1" ht="13">
      <c r="A136"/>
      <c r="B136"/>
      <c r="C136"/>
      <c r="D136"/>
      <c r="E136"/>
      <c r="F136"/>
      <c r="G136"/>
      <c r="H136"/>
    </row>
    <row r="137" spans="1:11">
      <c r="J137" s="3"/>
    </row>
    <row r="138" spans="1:11">
      <c r="J138" s="3"/>
    </row>
    <row r="139" spans="1:11" s="6" customFormat="1" ht="12.75" customHeight="1">
      <c r="A139"/>
      <c r="B139"/>
      <c r="C139"/>
      <c r="D139"/>
      <c r="E139"/>
      <c r="F139"/>
      <c r="G139"/>
      <c r="H139"/>
      <c r="I139" s="4"/>
      <c r="J139" s="4"/>
      <c r="K139" s="4"/>
    </row>
    <row r="140" spans="1:11" s="6" customFormat="1" ht="12.75" customHeight="1">
      <c r="A140"/>
      <c r="B140"/>
      <c r="C140"/>
      <c r="D140"/>
      <c r="E140"/>
      <c r="F140"/>
      <c r="G140"/>
      <c r="H140"/>
      <c r="I140" s="4"/>
      <c r="J140" s="4"/>
      <c r="K140" s="4"/>
    </row>
    <row r="141" spans="1:11" s="4" customFormat="1" ht="13">
      <c r="A141"/>
      <c r="B141"/>
      <c r="C141"/>
      <c r="D141"/>
      <c r="E141"/>
      <c r="F141"/>
      <c r="G141"/>
      <c r="H141"/>
    </row>
    <row r="142" spans="1:11" s="4" customFormat="1" ht="13">
      <c r="A142"/>
      <c r="B142"/>
      <c r="C142"/>
      <c r="D142"/>
      <c r="E142"/>
      <c r="F142"/>
      <c r="G142"/>
      <c r="H142"/>
    </row>
    <row r="143" spans="1:11" s="6" customFormat="1" ht="12.75" customHeight="1">
      <c r="A143"/>
      <c r="B143"/>
      <c r="C143"/>
      <c r="D143"/>
      <c r="E143"/>
      <c r="F143"/>
      <c r="G143"/>
      <c r="H143"/>
      <c r="I143" s="4"/>
      <c r="J143" s="4"/>
      <c r="K143" s="4"/>
    </row>
    <row r="144" spans="1:11" s="6" customFormat="1" ht="12.75" customHeight="1">
      <c r="A144"/>
      <c r="B144"/>
      <c r="C144"/>
      <c r="D144"/>
      <c r="E144"/>
      <c r="F144"/>
      <c r="G144"/>
      <c r="H144"/>
      <c r="I144" s="4"/>
      <c r="J144" s="4"/>
      <c r="K144" s="4"/>
    </row>
    <row r="145" spans="1:13" s="6" customFormat="1" ht="12.75" customHeight="1">
      <c r="A145"/>
      <c r="B145"/>
      <c r="C145"/>
      <c r="D145"/>
      <c r="E145"/>
      <c r="F145"/>
      <c r="G145"/>
      <c r="H145"/>
      <c r="I145" s="4"/>
      <c r="J145" s="4"/>
      <c r="K145" s="4"/>
    </row>
    <row r="146" spans="1:13" s="3" customFormat="1">
      <c r="A146"/>
      <c r="B146"/>
      <c r="C146"/>
      <c r="D146"/>
      <c r="E146"/>
      <c r="F146"/>
      <c r="G146"/>
      <c r="H146"/>
      <c r="I146" s="1"/>
      <c r="J146" s="1"/>
      <c r="K146" s="1"/>
      <c r="L146" s="1"/>
      <c r="M146" s="1"/>
    </row>
    <row r="148" spans="1:13" s="4" customFormat="1" ht="13">
      <c r="A148"/>
      <c r="B148"/>
      <c r="C148"/>
      <c r="D148"/>
      <c r="E148"/>
      <c r="F148"/>
      <c r="G148"/>
      <c r="H148"/>
    </row>
    <row r="149" spans="1:13" s="4" customFormat="1" ht="13">
      <c r="A149"/>
      <c r="B149"/>
      <c r="C149"/>
      <c r="D149"/>
      <c r="E149"/>
      <c r="F149"/>
      <c r="G149"/>
      <c r="H149"/>
    </row>
    <row r="152" spans="1:13" s="2" customFormat="1">
      <c r="A152"/>
      <c r="B152"/>
      <c r="C152"/>
      <c r="D152"/>
      <c r="E152"/>
      <c r="F152"/>
      <c r="G152"/>
      <c r="H152"/>
      <c r="I152" s="1"/>
      <c r="J152" s="1"/>
      <c r="K152" s="1"/>
      <c r="L152" s="1"/>
      <c r="M152" s="1"/>
    </row>
    <row r="153" spans="1:13" s="2" customFormat="1">
      <c r="A153"/>
      <c r="B153"/>
      <c r="C153"/>
      <c r="D153"/>
      <c r="E153"/>
      <c r="F153"/>
      <c r="G153"/>
      <c r="H153"/>
      <c r="I153" s="1"/>
      <c r="J153" s="1"/>
      <c r="K153" s="1"/>
      <c r="L153" s="1"/>
      <c r="M153" s="1"/>
    </row>
    <row r="161" spans="1:10" s="4" customFormat="1" ht="13">
      <c r="A161"/>
      <c r="B161"/>
      <c r="C161"/>
      <c r="D161"/>
      <c r="E161"/>
      <c r="F161"/>
      <c r="G161"/>
      <c r="H161"/>
    </row>
    <row r="162" spans="1:10" s="4" customFormat="1" ht="13">
      <c r="A162"/>
      <c r="B162"/>
      <c r="C162"/>
      <c r="D162"/>
      <c r="E162"/>
      <c r="F162"/>
      <c r="G162"/>
      <c r="H162"/>
    </row>
    <row r="176" spans="1:10">
      <c r="J176" s="3"/>
    </row>
    <row r="185" spans="1:8" s="6" customFormat="1" ht="25.5" customHeight="1">
      <c r="A185"/>
      <c r="B185"/>
      <c r="C185"/>
      <c r="D185"/>
      <c r="E185"/>
      <c r="F185"/>
      <c r="G185"/>
      <c r="H185"/>
    </row>
    <row r="186" spans="1:8" s="6" customFormat="1" ht="12.75" customHeight="1">
      <c r="A186"/>
      <c r="B186"/>
      <c r="C186"/>
      <c r="D186"/>
      <c r="E186"/>
      <c r="F186"/>
      <c r="G186"/>
      <c r="H186"/>
    </row>
    <row r="187" spans="1:8" s="6" customFormat="1">
      <c r="A187"/>
      <c r="B187"/>
      <c r="C187"/>
      <c r="D187"/>
      <c r="E187"/>
      <c r="F187"/>
      <c r="G187"/>
      <c r="H187"/>
    </row>
    <row r="188" spans="1:8" s="6" customFormat="1">
      <c r="A188"/>
      <c r="B188"/>
      <c r="C188"/>
      <c r="D188"/>
      <c r="E188"/>
      <c r="F188"/>
      <c r="G188"/>
      <c r="H188"/>
    </row>
    <row r="189" spans="1:8" s="6" customFormat="1">
      <c r="A189"/>
      <c r="B189"/>
      <c r="C189"/>
      <c r="D189"/>
      <c r="E189"/>
      <c r="F189"/>
      <c r="G189"/>
      <c r="H189"/>
    </row>
    <row r="190" spans="1:8" s="6" customFormat="1">
      <c r="A190"/>
      <c r="B190"/>
      <c r="C190"/>
      <c r="D190"/>
      <c r="E190"/>
      <c r="F190"/>
      <c r="G190"/>
      <c r="H190"/>
    </row>
    <row r="191" spans="1:8" s="4" customFormat="1" ht="13">
      <c r="A191"/>
      <c r="B191"/>
      <c r="C191"/>
      <c r="D191"/>
      <c r="E191"/>
      <c r="F191"/>
      <c r="G191"/>
      <c r="H191"/>
    </row>
    <row r="192" spans="1:8" s="4" customFormat="1" ht="13">
      <c r="A192"/>
      <c r="B192"/>
      <c r="C192"/>
      <c r="D192"/>
      <c r="E192"/>
      <c r="F192"/>
      <c r="G192"/>
      <c r="H192"/>
    </row>
    <row r="193" spans="1:11" s="4" customFormat="1" ht="13">
      <c r="A193"/>
      <c r="B193"/>
      <c r="C193"/>
      <c r="D193"/>
      <c r="E193"/>
      <c r="F193"/>
      <c r="G193"/>
      <c r="H193"/>
    </row>
    <row r="194" spans="1:11" s="4" customFormat="1" ht="13">
      <c r="A194"/>
      <c r="B194"/>
      <c r="C194"/>
      <c r="D194"/>
      <c r="E194"/>
      <c r="F194"/>
      <c r="G194"/>
      <c r="H194"/>
    </row>
    <row r="196" spans="1:11" ht="12.75" customHeight="1"/>
    <row r="197" spans="1:11" ht="12.75" customHeight="1"/>
    <row r="198" spans="1:11" s="5" customFormat="1">
      <c r="A198"/>
      <c r="B198"/>
      <c r="C198"/>
      <c r="D198"/>
      <c r="E198"/>
      <c r="F198"/>
      <c r="G198"/>
      <c r="H198"/>
      <c r="I198" s="6"/>
      <c r="J198" s="6"/>
      <c r="K198" s="6"/>
    </row>
    <row r="199" spans="1:11" s="5" customFormat="1">
      <c r="A199"/>
      <c r="B199"/>
      <c r="C199"/>
      <c r="D199"/>
      <c r="E199"/>
      <c r="F199"/>
      <c r="G199"/>
      <c r="H199"/>
      <c r="I199" s="6"/>
      <c r="J199" s="6"/>
      <c r="K199" s="6"/>
    </row>
    <row r="200" spans="1:11" s="4" customFormat="1" ht="13">
      <c r="A200"/>
      <c r="B200"/>
      <c r="C200"/>
      <c r="D200"/>
      <c r="E200"/>
      <c r="F200"/>
      <c r="G200"/>
      <c r="H200"/>
    </row>
    <row r="201" spans="1:11" s="4" customFormat="1" ht="13">
      <c r="A201"/>
      <c r="B201"/>
      <c r="C201"/>
      <c r="D201"/>
      <c r="E201"/>
      <c r="F201"/>
      <c r="G201"/>
      <c r="H201"/>
    </row>
    <row r="202" spans="1:11" s="4" customFormat="1" ht="13">
      <c r="A202"/>
      <c r="B202"/>
      <c r="C202"/>
      <c r="D202"/>
      <c r="E202"/>
      <c r="F202"/>
      <c r="G202"/>
      <c r="H202"/>
    </row>
    <row r="203" spans="1:11" s="6" customFormat="1">
      <c r="A203"/>
      <c r="B203"/>
      <c r="C203"/>
      <c r="D203"/>
      <c r="E203"/>
      <c r="F203"/>
      <c r="G203"/>
      <c r="H203"/>
    </row>
    <row r="204" spans="1:11" s="5" customFormat="1">
      <c r="A204"/>
      <c r="B204"/>
      <c r="C204"/>
      <c r="D204"/>
      <c r="E204"/>
      <c r="F204"/>
      <c r="G204"/>
      <c r="H204"/>
      <c r="I204" s="6"/>
      <c r="J204" s="6"/>
      <c r="K204" s="6"/>
    </row>
    <row r="205" spans="1:11" s="24" customFormat="1">
      <c r="A205"/>
      <c r="B205"/>
      <c r="C205"/>
      <c r="D205"/>
      <c r="E205"/>
      <c r="F205"/>
      <c r="G205"/>
      <c r="H205"/>
    </row>
    <row r="206" spans="1:11" s="6" customFormat="1" ht="13">
      <c r="A206"/>
      <c r="B206"/>
      <c r="C206"/>
      <c r="D206"/>
      <c r="E206"/>
      <c r="F206"/>
      <c r="G206"/>
      <c r="H206"/>
      <c r="I206" s="4"/>
      <c r="J206" s="4"/>
      <c r="K206" s="4"/>
    </row>
    <row r="207" spans="1:11" s="6" customFormat="1" ht="13">
      <c r="A207"/>
      <c r="B207"/>
      <c r="C207"/>
      <c r="D207"/>
      <c r="E207"/>
      <c r="F207"/>
      <c r="G207"/>
      <c r="H207"/>
      <c r="I207" s="4"/>
      <c r="J207" s="4"/>
      <c r="K207" s="4"/>
    </row>
    <row r="208" spans="1:11" s="4" customFormat="1" ht="13">
      <c r="A208"/>
      <c r="B208"/>
      <c r="C208"/>
      <c r="D208"/>
      <c r="E208"/>
      <c r="F208"/>
      <c r="G208"/>
      <c r="H208"/>
    </row>
    <row r="209" spans="1:13" s="6" customFormat="1" ht="13">
      <c r="A209"/>
      <c r="B209"/>
      <c r="C209"/>
      <c r="D209"/>
      <c r="E209"/>
      <c r="F209"/>
      <c r="G209"/>
      <c r="H209"/>
      <c r="I209" s="4"/>
      <c r="J209" s="4"/>
      <c r="K209" s="4"/>
    </row>
    <row r="210" spans="1:13" s="6" customFormat="1" ht="13">
      <c r="A210"/>
      <c r="B210"/>
      <c r="C210"/>
      <c r="D210"/>
      <c r="E210"/>
      <c r="F210"/>
      <c r="G210"/>
      <c r="H210"/>
      <c r="I210" s="4"/>
      <c r="J210" s="4"/>
      <c r="K210" s="4"/>
    </row>
    <row r="211" spans="1:13" s="6" customFormat="1" ht="13">
      <c r="A211"/>
      <c r="B211"/>
      <c r="C211"/>
      <c r="D211"/>
      <c r="E211"/>
      <c r="F211"/>
      <c r="G211"/>
      <c r="H211"/>
      <c r="I211" s="4"/>
      <c r="J211" s="4"/>
      <c r="K211" s="4"/>
    </row>
    <row r="212" spans="1:13" s="6" customFormat="1" ht="13">
      <c r="A212"/>
      <c r="B212"/>
      <c r="C212"/>
      <c r="D212"/>
      <c r="E212"/>
      <c r="F212"/>
      <c r="G212"/>
      <c r="H212"/>
      <c r="I212" s="4"/>
      <c r="J212" s="4"/>
      <c r="K212" s="4"/>
    </row>
    <row r="213" spans="1:13" s="3" customFormat="1">
      <c r="A213"/>
      <c r="B213"/>
      <c r="C213"/>
      <c r="D213"/>
      <c r="E213"/>
      <c r="F213"/>
      <c r="G213"/>
      <c r="H213"/>
      <c r="I213" s="1"/>
      <c r="J213" s="1"/>
      <c r="K213" s="1"/>
      <c r="L213" s="1"/>
      <c r="M213" s="1"/>
    </row>
    <row r="215" spans="1:13" s="3" customFormat="1">
      <c r="A215"/>
      <c r="B215"/>
      <c r="C215"/>
      <c r="D215"/>
      <c r="E215"/>
      <c r="F215"/>
      <c r="G215"/>
      <c r="H215"/>
    </row>
    <row r="216" spans="1:13" s="3" customFormat="1" ht="12.75" customHeight="1">
      <c r="A216"/>
      <c r="B216"/>
      <c r="C216"/>
      <c r="D216"/>
      <c r="E216"/>
      <c r="F216"/>
      <c r="G216"/>
      <c r="H216"/>
    </row>
    <row r="217" spans="1:13" s="3" customFormat="1" ht="12.75" customHeight="1">
      <c r="A217"/>
      <c r="B217"/>
      <c r="C217"/>
      <c r="D217"/>
      <c r="E217"/>
      <c r="F217"/>
      <c r="G217"/>
      <c r="H217"/>
    </row>
    <row r="220" spans="1:13" s="4" customFormat="1" ht="13">
      <c r="A220"/>
      <c r="B220"/>
      <c r="C220"/>
      <c r="D220"/>
      <c r="E220"/>
      <c r="F220"/>
      <c r="G220"/>
      <c r="H220"/>
    </row>
    <row r="221" spans="1:13" s="3" customFormat="1" ht="12.75" customHeight="1">
      <c r="A221"/>
      <c r="B221"/>
      <c r="C221"/>
      <c r="D221"/>
      <c r="E221"/>
      <c r="F221"/>
      <c r="G221"/>
      <c r="H221"/>
    </row>
    <row r="225" spans="1:11" ht="12.75" customHeight="1"/>
    <row r="226" spans="1:11" s="5" customFormat="1" ht="13">
      <c r="A226"/>
      <c r="B226"/>
      <c r="C226"/>
      <c r="D226"/>
      <c r="E226"/>
      <c r="F226"/>
      <c r="G226"/>
      <c r="H226"/>
      <c r="I226" s="4"/>
      <c r="J226" s="4"/>
      <c r="K226" s="4"/>
    </row>
    <row r="227" spans="1:11" ht="12.75" customHeight="1"/>
    <row r="228" spans="1:11" s="4" customFormat="1" ht="13">
      <c r="A228"/>
      <c r="B228"/>
      <c r="C228"/>
      <c r="D228"/>
      <c r="E228"/>
      <c r="F228"/>
      <c r="G228"/>
      <c r="H228"/>
    </row>
    <row r="229" spans="1:11" s="4" customFormat="1" ht="13">
      <c r="A229"/>
      <c r="B229"/>
      <c r="C229"/>
      <c r="D229"/>
      <c r="E229"/>
      <c r="F229"/>
      <c r="G229"/>
      <c r="H229"/>
    </row>
    <row r="231" spans="1:11" s="6" customFormat="1">
      <c r="A231"/>
      <c r="B231"/>
      <c r="C231"/>
      <c r="D231"/>
      <c r="E231"/>
      <c r="F231"/>
      <c r="G231"/>
      <c r="H231"/>
    </row>
    <row r="232" spans="1:11" s="6" customFormat="1">
      <c r="A232"/>
      <c r="B232"/>
      <c r="C232"/>
      <c r="D232"/>
      <c r="E232"/>
      <c r="F232"/>
      <c r="G232"/>
      <c r="H232"/>
    </row>
    <row r="235" spans="1:11" ht="12.75" customHeight="1"/>
    <row r="238" spans="1:11" ht="12.75" customHeight="1"/>
    <row r="239" spans="1:11" ht="12.75" customHeight="1"/>
  </sheetData>
  <sheetProtection algorithmName="SHA-512" hashValue="RQLHn+ObR7iAOybIdkGCjD/y/5BwMjpYgWQetO43yi8u9I7iky3DYPvPeuBM5DqNhd7SbO9NIt6n9B6LimHzpA==" saltValue="kAdqZgMtXeCeSl/E1A4QYg==" spinCount="100000" sheet="1" objects="1" scenarios="1"/>
  <mergeCells count="1">
    <mergeCell ref="B5:D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&amp;LOPRAVA DIAĽNIČNÉHO MOSTA EV. Č. D1-073 HLOHOVEC, PRAVÝ MOST
&amp;RPríloha  č. 1 k časti B.2  (zároveň Príloha č.2 k zmluve)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0"/>
  <sheetViews>
    <sheetView showGridLines="0" tabSelected="1" topLeftCell="C4" zoomScaleNormal="100" workbookViewId="0">
      <selection activeCell="L11" sqref="L11"/>
    </sheetView>
  </sheetViews>
  <sheetFormatPr defaultColWidth="9.1796875" defaultRowHeight="11.5"/>
  <cols>
    <col min="1" max="1" width="2.54296875" style="27" customWidth="1"/>
    <col min="2" max="2" width="35" style="27" customWidth="1"/>
    <col min="3" max="3" width="8.26953125" style="27" customWidth="1"/>
    <col min="4" max="4" width="10.81640625" style="27" customWidth="1"/>
    <col min="5" max="5" width="57.81640625" style="27" customWidth="1"/>
    <col min="6" max="6" width="7.7265625" style="27" customWidth="1"/>
    <col min="7" max="7" width="9.1796875" style="38"/>
    <col min="8" max="8" width="1.26953125" style="27" customWidth="1"/>
    <col min="9" max="9" width="16.453125" style="38" customWidth="1"/>
    <col min="10" max="10" width="16.1796875" style="38" customWidth="1"/>
    <col min="11" max="16384" width="9.1796875" style="27"/>
  </cols>
  <sheetData>
    <row r="3" spans="2:10" ht="30.5" customHeight="1">
      <c r="B3" s="49" t="s">
        <v>624</v>
      </c>
      <c r="C3" s="431" t="s">
        <v>625</v>
      </c>
      <c r="D3" s="431"/>
      <c r="E3" s="25" t="s">
        <v>626</v>
      </c>
      <c r="F3" s="49" t="s">
        <v>627</v>
      </c>
      <c r="G3" s="26" t="s">
        <v>628</v>
      </c>
      <c r="I3" s="50" t="s">
        <v>739</v>
      </c>
      <c r="J3" s="28" t="s">
        <v>618</v>
      </c>
    </row>
    <row r="4" spans="2:10" s="30" customFormat="1" ht="23">
      <c r="B4" s="29" t="s">
        <v>630</v>
      </c>
      <c r="C4" s="51" t="s">
        <v>0</v>
      </c>
      <c r="D4" s="52" t="s">
        <v>28</v>
      </c>
      <c r="E4" s="51" t="s">
        <v>29</v>
      </c>
      <c r="F4" s="53" t="s">
        <v>654</v>
      </c>
      <c r="G4" s="54">
        <v>1613.87</v>
      </c>
      <c r="I4" s="31"/>
      <c r="J4" s="32">
        <f>ROUND(ROUND(I4,2)*G4,2)</f>
        <v>0</v>
      </c>
    </row>
    <row r="5" spans="2:10" s="30" customFormat="1">
      <c r="B5" s="33"/>
      <c r="C5" s="51" t="s">
        <v>0</v>
      </c>
      <c r="D5" s="52" t="s">
        <v>100</v>
      </c>
      <c r="E5" s="51" t="s">
        <v>101</v>
      </c>
      <c r="F5" s="53" t="s">
        <v>655</v>
      </c>
      <c r="G5" s="54">
        <v>389.18</v>
      </c>
      <c r="I5" s="31"/>
      <c r="J5" s="32">
        <f t="shared" ref="J5:J68" si="0">ROUND(ROUND(I5,2)*G5,2)</f>
        <v>0</v>
      </c>
    </row>
    <row r="6" spans="2:10" s="30" customFormat="1" ht="23">
      <c r="B6" s="33"/>
      <c r="C6" s="51" t="s">
        <v>0</v>
      </c>
      <c r="D6" s="52" t="s">
        <v>102</v>
      </c>
      <c r="E6" s="51" t="s">
        <v>103</v>
      </c>
      <c r="F6" s="53" t="s">
        <v>655</v>
      </c>
      <c r="G6" s="54">
        <v>263.62</v>
      </c>
      <c r="I6" s="31"/>
      <c r="J6" s="32">
        <f t="shared" si="0"/>
        <v>0</v>
      </c>
    </row>
    <row r="7" spans="2:10" s="30" customFormat="1" ht="23">
      <c r="B7" s="33"/>
      <c r="C7" s="51" t="s">
        <v>0</v>
      </c>
      <c r="D7" s="52" t="s">
        <v>63</v>
      </c>
      <c r="E7" s="51" t="s">
        <v>104</v>
      </c>
      <c r="F7" s="53" t="s">
        <v>31</v>
      </c>
      <c r="G7" s="54">
        <v>4</v>
      </c>
      <c r="I7" s="31"/>
      <c r="J7" s="32">
        <f t="shared" si="0"/>
        <v>0</v>
      </c>
    </row>
    <row r="8" spans="2:10" s="30" customFormat="1">
      <c r="B8" s="33"/>
      <c r="C8" s="51" t="s">
        <v>0</v>
      </c>
      <c r="D8" s="52" t="s">
        <v>109</v>
      </c>
      <c r="E8" s="51" t="s">
        <v>110</v>
      </c>
      <c r="F8" s="53" t="s">
        <v>31</v>
      </c>
      <c r="G8" s="54">
        <v>1</v>
      </c>
      <c r="I8" s="31"/>
      <c r="J8" s="32">
        <f t="shared" si="0"/>
        <v>0</v>
      </c>
    </row>
    <row r="9" spans="2:10" s="30" customFormat="1" ht="23">
      <c r="B9" s="33"/>
      <c r="C9" s="51" t="s">
        <v>0</v>
      </c>
      <c r="D9" s="52" t="s">
        <v>30</v>
      </c>
      <c r="E9" s="51" t="s">
        <v>111</v>
      </c>
      <c r="F9" s="53" t="s">
        <v>31</v>
      </c>
      <c r="G9" s="54">
        <v>1</v>
      </c>
      <c r="I9" s="31"/>
      <c r="J9" s="32">
        <f t="shared" si="0"/>
        <v>0</v>
      </c>
    </row>
    <row r="10" spans="2:10" s="30" customFormat="1" ht="34.5">
      <c r="B10" s="33"/>
      <c r="C10" s="51" t="s">
        <v>0</v>
      </c>
      <c r="D10" s="52" t="s">
        <v>27</v>
      </c>
      <c r="E10" s="51" t="s">
        <v>41</v>
      </c>
      <c r="F10" s="53" t="s">
        <v>31</v>
      </c>
      <c r="G10" s="54">
        <v>1</v>
      </c>
      <c r="I10" s="31"/>
      <c r="J10" s="32">
        <f t="shared" si="0"/>
        <v>0</v>
      </c>
    </row>
    <row r="11" spans="2:10" s="30" customFormat="1" ht="34.5">
      <c r="B11" s="33"/>
      <c r="C11" s="51" t="s">
        <v>0</v>
      </c>
      <c r="D11" s="52" t="s">
        <v>113</v>
      </c>
      <c r="E11" s="51" t="s">
        <v>72</v>
      </c>
      <c r="F11" s="53" t="s">
        <v>31</v>
      </c>
      <c r="G11" s="54">
        <v>1</v>
      </c>
      <c r="I11" s="31"/>
      <c r="J11" s="32">
        <f t="shared" si="0"/>
        <v>0</v>
      </c>
    </row>
    <row r="12" spans="2:10" s="30" customFormat="1" ht="23">
      <c r="B12" s="33"/>
      <c r="C12" s="51" t="s">
        <v>0</v>
      </c>
      <c r="D12" s="52" t="s">
        <v>114</v>
      </c>
      <c r="E12" s="51" t="s">
        <v>97</v>
      </c>
      <c r="F12" s="53" t="s">
        <v>31</v>
      </c>
      <c r="G12" s="54">
        <v>1</v>
      </c>
      <c r="I12" s="31"/>
      <c r="J12" s="32">
        <f t="shared" si="0"/>
        <v>0</v>
      </c>
    </row>
    <row r="13" spans="2:10" s="30" customFormat="1">
      <c r="B13" s="33"/>
      <c r="C13" s="51"/>
      <c r="D13" s="52"/>
      <c r="E13" s="51"/>
      <c r="F13" s="53"/>
      <c r="G13" s="54"/>
      <c r="I13" s="31"/>
      <c r="J13" s="32">
        <f t="shared" si="0"/>
        <v>0</v>
      </c>
    </row>
    <row r="14" spans="2:10">
      <c r="B14" s="34" t="s">
        <v>631</v>
      </c>
      <c r="C14" s="51" t="s">
        <v>13</v>
      </c>
      <c r="D14" s="52" t="s">
        <v>115</v>
      </c>
      <c r="E14" s="51" t="s">
        <v>116</v>
      </c>
      <c r="F14" s="53" t="s">
        <v>656</v>
      </c>
      <c r="G14" s="54">
        <v>140.1</v>
      </c>
      <c r="I14" s="31"/>
      <c r="J14" s="32">
        <f t="shared" si="0"/>
        <v>0</v>
      </c>
    </row>
    <row r="15" spans="2:10">
      <c r="B15" s="35"/>
      <c r="C15" s="51" t="s">
        <v>13</v>
      </c>
      <c r="D15" s="52" t="s">
        <v>118</v>
      </c>
      <c r="E15" s="51" t="s">
        <v>119</v>
      </c>
      <c r="F15" s="53" t="s">
        <v>655</v>
      </c>
      <c r="G15" s="54">
        <v>15.8</v>
      </c>
      <c r="I15" s="31"/>
      <c r="J15" s="32">
        <f t="shared" si="0"/>
        <v>0</v>
      </c>
    </row>
    <row r="16" spans="2:10" ht="23">
      <c r="B16" s="33"/>
      <c r="C16" s="51" t="s">
        <v>13</v>
      </c>
      <c r="D16" s="52" t="s">
        <v>45</v>
      </c>
      <c r="E16" s="51" t="s">
        <v>46</v>
      </c>
      <c r="F16" s="53" t="s">
        <v>655</v>
      </c>
      <c r="G16" s="54">
        <v>139.58000000000001</v>
      </c>
      <c r="I16" s="31"/>
      <c r="J16" s="32">
        <f t="shared" si="0"/>
        <v>0</v>
      </c>
    </row>
    <row r="17" spans="2:10">
      <c r="B17" s="33"/>
      <c r="C17" s="51" t="s">
        <v>13</v>
      </c>
      <c r="D17" s="52" t="s">
        <v>127</v>
      </c>
      <c r="E17" s="51" t="s">
        <v>128</v>
      </c>
      <c r="F17" s="53" t="s">
        <v>12</v>
      </c>
      <c r="G17" s="54">
        <v>2</v>
      </c>
      <c r="I17" s="31"/>
      <c r="J17" s="32">
        <f t="shared" si="0"/>
        <v>0</v>
      </c>
    </row>
    <row r="18" spans="2:10" ht="23">
      <c r="B18" s="33"/>
      <c r="C18" s="51" t="s">
        <v>13</v>
      </c>
      <c r="D18" s="52" t="s">
        <v>70</v>
      </c>
      <c r="E18" s="51" t="s">
        <v>130</v>
      </c>
      <c r="F18" s="53" t="s">
        <v>656</v>
      </c>
      <c r="G18" s="54">
        <v>2183.4499999999998</v>
      </c>
      <c r="I18" s="31"/>
      <c r="J18" s="32">
        <f t="shared" si="0"/>
        <v>0</v>
      </c>
    </row>
    <row r="19" spans="2:10" ht="23">
      <c r="B19" s="33"/>
      <c r="C19" s="51" t="s">
        <v>13</v>
      </c>
      <c r="D19" s="52" t="s">
        <v>138</v>
      </c>
      <c r="E19" s="51" t="s">
        <v>139</v>
      </c>
      <c r="F19" s="53" t="s">
        <v>656</v>
      </c>
      <c r="G19" s="54">
        <v>274.04000000000002</v>
      </c>
      <c r="I19" s="31"/>
      <c r="J19" s="32">
        <f t="shared" si="0"/>
        <v>0</v>
      </c>
    </row>
    <row r="20" spans="2:10" ht="23">
      <c r="B20" s="33"/>
      <c r="C20" s="51" t="s">
        <v>13</v>
      </c>
      <c r="D20" s="52" t="s">
        <v>143</v>
      </c>
      <c r="E20" s="51" t="s">
        <v>144</v>
      </c>
      <c r="F20" s="53" t="s">
        <v>656</v>
      </c>
      <c r="G20" s="54">
        <v>274.04000000000002</v>
      </c>
      <c r="I20" s="31"/>
      <c r="J20" s="32">
        <f t="shared" si="0"/>
        <v>0</v>
      </c>
    </row>
    <row r="21" spans="2:10" ht="23">
      <c r="B21" s="33"/>
      <c r="C21" s="51" t="s">
        <v>13</v>
      </c>
      <c r="D21" s="52" t="s">
        <v>15</v>
      </c>
      <c r="E21" s="51" t="s">
        <v>148</v>
      </c>
      <c r="F21" s="53" t="s">
        <v>657</v>
      </c>
      <c r="G21" s="54">
        <v>409.5</v>
      </c>
      <c r="I21" s="31"/>
      <c r="J21" s="32">
        <f t="shared" si="0"/>
        <v>0</v>
      </c>
    </row>
    <row r="22" spans="2:10" ht="23">
      <c r="B22" s="33"/>
      <c r="C22" s="51" t="s">
        <v>13</v>
      </c>
      <c r="D22" s="52" t="s">
        <v>155</v>
      </c>
      <c r="E22" s="51" t="s">
        <v>47</v>
      </c>
      <c r="F22" s="53" t="s">
        <v>12</v>
      </c>
      <c r="G22" s="54">
        <v>7</v>
      </c>
      <c r="I22" s="31"/>
      <c r="J22" s="32">
        <f t="shared" si="0"/>
        <v>0</v>
      </c>
    </row>
    <row r="23" spans="2:10">
      <c r="B23" s="33"/>
      <c r="C23" s="51" t="s">
        <v>13</v>
      </c>
      <c r="D23" s="52" t="s">
        <v>17</v>
      </c>
      <c r="E23" s="51" t="s">
        <v>1</v>
      </c>
      <c r="F23" s="53" t="s">
        <v>654</v>
      </c>
      <c r="G23" s="54">
        <v>1638.47</v>
      </c>
      <c r="I23" s="31"/>
      <c r="J23" s="32">
        <f t="shared" si="0"/>
        <v>0</v>
      </c>
    </row>
    <row r="24" spans="2:10" ht="23">
      <c r="B24" s="33"/>
      <c r="C24" s="51" t="s">
        <v>13</v>
      </c>
      <c r="D24" s="52" t="s">
        <v>68</v>
      </c>
      <c r="E24" s="51" t="s">
        <v>69</v>
      </c>
      <c r="F24" s="53" t="s">
        <v>164</v>
      </c>
      <c r="G24" s="54">
        <v>96.06</v>
      </c>
      <c r="I24" s="31"/>
      <c r="J24" s="32">
        <f t="shared" si="0"/>
        <v>0</v>
      </c>
    </row>
    <row r="25" spans="2:10">
      <c r="B25" s="33"/>
      <c r="C25" s="51" t="s">
        <v>13</v>
      </c>
      <c r="D25" s="52" t="s">
        <v>32</v>
      </c>
      <c r="E25" s="51" t="s">
        <v>33</v>
      </c>
      <c r="F25" s="53" t="s">
        <v>657</v>
      </c>
      <c r="G25" s="54">
        <v>712.98</v>
      </c>
      <c r="I25" s="31"/>
      <c r="J25" s="32">
        <f t="shared" si="0"/>
        <v>0</v>
      </c>
    </row>
    <row r="26" spans="2:10">
      <c r="B26" s="33"/>
      <c r="C26" s="51" t="s">
        <v>13</v>
      </c>
      <c r="D26" s="52" t="s">
        <v>48</v>
      </c>
      <c r="E26" s="51" t="s">
        <v>49</v>
      </c>
      <c r="F26" s="53" t="s">
        <v>12</v>
      </c>
      <c r="G26" s="54">
        <v>65</v>
      </c>
      <c r="I26" s="31"/>
      <c r="J26" s="32">
        <f t="shared" si="0"/>
        <v>0</v>
      </c>
    </row>
    <row r="27" spans="2:10">
      <c r="B27" s="33"/>
      <c r="C27" s="51" t="s">
        <v>13</v>
      </c>
      <c r="D27" s="52" t="s">
        <v>22</v>
      </c>
      <c r="E27" s="51" t="s">
        <v>23</v>
      </c>
      <c r="F27" s="53" t="s">
        <v>656</v>
      </c>
      <c r="G27" s="54">
        <v>3529.94</v>
      </c>
      <c r="I27" s="31"/>
      <c r="J27" s="32">
        <f t="shared" si="0"/>
        <v>0</v>
      </c>
    </row>
    <row r="28" spans="2:10" ht="23">
      <c r="B28" s="34" t="s">
        <v>643</v>
      </c>
      <c r="C28" s="51" t="s">
        <v>640</v>
      </c>
      <c r="D28" s="52" t="s">
        <v>192</v>
      </c>
      <c r="E28" s="51" t="s">
        <v>193</v>
      </c>
      <c r="F28" s="53" t="s">
        <v>656</v>
      </c>
      <c r="G28" s="54">
        <v>1548.69</v>
      </c>
      <c r="I28" s="31"/>
      <c r="J28" s="32">
        <f t="shared" si="0"/>
        <v>0</v>
      </c>
    </row>
    <row r="29" spans="2:10">
      <c r="B29" s="33"/>
      <c r="C29" s="51" t="s">
        <v>640</v>
      </c>
      <c r="D29" s="52" t="s">
        <v>197</v>
      </c>
      <c r="E29" s="51" t="s">
        <v>198</v>
      </c>
      <c r="F29" s="53" t="s">
        <v>656</v>
      </c>
      <c r="G29" s="54">
        <v>217.5</v>
      </c>
      <c r="I29" s="31"/>
      <c r="J29" s="32">
        <f t="shared" si="0"/>
        <v>0</v>
      </c>
    </row>
    <row r="30" spans="2:10">
      <c r="B30" s="33"/>
      <c r="C30" s="51" t="s">
        <v>640</v>
      </c>
      <c r="D30" s="52" t="s">
        <v>202</v>
      </c>
      <c r="E30" s="51" t="s">
        <v>203</v>
      </c>
      <c r="F30" s="53" t="s">
        <v>655</v>
      </c>
      <c r="G30" s="54">
        <v>263.62</v>
      </c>
      <c r="I30" s="31"/>
      <c r="J30" s="32">
        <f t="shared" si="0"/>
        <v>0</v>
      </c>
    </row>
    <row r="31" spans="2:10">
      <c r="B31" s="34" t="s">
        <v>645</v>
      </c>
      <c r="C31" s="51" t="s">
        <v>641</v>
      </c>
      <c r="D31" s="52" t="s">
        <v>211</v>
      </c>
      <c r="E31" s="51" t="s">
        <v>212</v>
      </c>
      <c r="F31" s="53" t="s">
        <v>655</v>
      </c>
      <c r="G31" s="54">
        <v>17.440000000000001</v>
      </c>
      <c r="I31" s="31"/>
      <c r="J31" s="32">
        <f t="shared" si="0"/>
        <v>0</v>
      </c>
    </row>
    <row r="32" spans="2:10">
      <c r="B32" s="33"/>
      <c r="C32" s="51" t="s">
        <v>641</v>
      </c>
      <c r="D32" s="52" t="s">
        <v>215</v>
      </c>
      <c r="E32" s="51" t="s">
        <v>216</v>
      </c>
      <c r="F32" s="53" t="s">
        <v>655</v>
      </c>
      <c r="G32" s="54">
        <v>382.91</v>
      </c>
      <c r="I32" s="31"/>
      <c r="J32" s="32">
        <f t="shared" si="0"/>
        <v>0</v>
      </c>
    </row>
    <row r="33" spans="2:10">
      <c r="B33" s="33"/>
      <c r="C33" s="51" t="s">
        <v>641</v>
      </c>
      <c r="D33" s="52" t="s">
        <v>224</v>
      </c>
      <c r="E33" s="51" t="s">
        <v>225</v>
      </c>
      <c r="F33" s="53" t="s">
        <v>655</v>
      </c>
      <c r="G33" s="54">
        <v>14.49</v>
      </c>
      <c r="I33" s="31"/>
      <c r="J33" s="32">
        <f t="shared" si="0"/>
        <v>0</v>
      </c>
    </row>
    <row r="34" spans="2:10">
      <c r="B34" s="33"/>
      <c r="C34" s="51" t="s">
        <v>641</v>
      </c>
      <c r="D34" s="52" t="s">
        <v>228</v>
      </c>
      <c r="E34" s="51" t="s">
        <v>229</v>
      </c>
      <c r="F34" s="53" t="s">
        <v>655</v>
      </c>
      <c r="G34" s="54">
        <v>188.87</v>
      </c>
      <c r="I34" s="31"/>
      <c r="J34" s="32">
        <f t="shared" si="0"/>
        <v>0</v>
      </c>
    </row>
    <row r="35" spans="2:10">
      <c r="B35" s="34" t="s">
        <v>644</v>
      </c>
      <c r="C35" s="51" t="s">
        <v>238</v>
      </c>
      <c r="D35" s="52" t="s">
        <v>240</v>
      </c>
      <c r="E35" s="51" t="s">
        <v>241</v>
      </c>
      <c r="F35" s="53" t="s">
        <v>655</v>
      </c>
      <c r="G35" s="54">
        <v>389.18</v>
      </c>
      <c r="I35" s="31"/>
      <c r="J35" s="32">
        <f t="shared" si="0"/>
        <v>0</v>
      </c>
    </row>
    <row r="36" spans="2:10">
      <c r="B36" s="33"/>
      <c r="C36" s="51" t="s">
        <v>238</v>
      </c>
      <c r="D36" s="52" t="s">
        <v>245</v>
      </c>
      <c r="E36" s="51" t="s">
        <v>246</v>
      </c>
      <c r="F36" s="53" t="s">
        <v>655</v>
      </c>
      <c r="G36" s="54">
        <v>22.33</v>
      </c>
      <c r="I36" s="31"/>
      <c r="J36" s="32">
        <f t="shared" si="0"/>
        <v>0</v>
      </c>
    </row>
    <row r="37" spans="2:10">
      <c r="B37" s="33"/>
      <c r="C37" s="51" t="s">
        <v>238</v>
      </c>
      <c r="D37" s="52" t="s">
        <v>202</v>
      </c>
      <c r="E37" s="51" t="s">
        <v>203</v>
      </c>
      <c r="F37" s="53" t="s">
        <v>655</v>
      </c>
      <c r="G37" s="54">
        <v>389.18</v>
      </c>
      <c r="I37" s="31"/>
      <c r="J37" s="32">
        <f t="shared" si="0"/>
        <v>0</v>
      </c>
    </row>
    <row r="38" spans="2:10">
      <c r="B38" s="33"/>
      <c r="C38" s="51" t="s">
        <v>238</v>
      </c>
      <c r="D38" s="52" t="s">
        <v>255</v>
      </c>
      <c r="E38" s="51" t="s">
        <v>256</v>
      </c>
      <c r="F38" s="53" t="s">
        <v>655</v>
      </c>
      <c r="G38" s="54">
        <v>11.16</v>
      </c>
      <c r="I38" s="31"/>
      <c r="J38" s="32">
        <f t="shared" si="0"/>
        <v>0</v>
      </c>
    </row>
    <row r="39" spans="2:10">
      <c r="B39" s="29" t="s">
        <v>632</v>
      </c>
      <c r="C39" s="51" t="s">
        <v>81</v>
      </c>
      <c r="D39" s="52" t="s">
        <v>259</v>
      </c>
      <c r="E39" s="51" t="s">
        <v>260</v>
      </c>
      <c r="F39" s="53" t="s">
        <v>655</v>
      </c>
      <c r="G39" s="54">
        <v>25.33</v>
      </c>
      <c r="I39" s="31"/>
      <c r="J39" s="32">
        <f t="shared" si="0"/>
        <v>0</v>
      </c>
    </row>
    <row r="40" spans="2:10">
      <c r="B40" s="33"/>
      <c r="C40" s="51" t="s">
        <v>81</v>
      </c>
      <c r="D40" s="52" t="s">
        <v>267</v>
      </c>
      <c r="E40" s="51" t="s">
        <v>268</v>
      </c>
      <c r="F40" s="53" t="s">
        <v>655</v>
      </c>
      <c r="G40" s="54">
        <v>3.28</v>
      </c>
      <c r="I40" s="31"/>
      <c r="J40" s="32">
        <f t="shared" si="0"/>
        <v>0</v>
      </c>
    </row>
    <row r="41" spans="2:10">
      <c r="B41" s="33"/>
      <c r="C41" s="51" t="s">
        <v>81</v>
      </c>
      <c r="D41" s="52" t="s">
        <v>272</v>
      </c>
      <c r="E41" s="51" t="s">
        <v>273</v>
      </c>
      <c r="F41" s="53" t="s">
        <v>655</v>
      </c>
      <c r="G41" s="54">
        <v>15.82</v>
      </c>
      <c r="I41" s="31"/>
      <c r="J41" s="32">
        <f t="shared" si="0"/>
        <v>0</v>
      </c>
    </row>
    <row r="42" spans="2:10">
      <c r="B42" s="33"/>
      <c r="C42" s="51" t="s">
        <v>81</v>
      </c>
      <c r="D42" s="52" t="s">
        <v>281</v>
      </c>
      <c r="E42" s="51" t="s">
        <v>282</v>
      </c>
      <c r="F42" s="53" t="s">
        <v>656</v>
      </c>
      <c r="G42" s="54">
        <v>83</v>
      </c>
      <c r="I42" s="31"/>
      <c r="J42" s="32">
        <f t="shared" si="0"/>
        <v>0</v>
      </c>
    </row>
    <row r="43" spans="2:10">
      <c r="B43" s="33"/>
      <c r="C43" s="51" t="s">
        <v>81</v>
      </c>
      <c r="D43" s="52" t="s">
        <v>288</v>
      </c>
      <c r="E43" s="51" t="s">
        <v>289</v>
      </c>
      <c r="F43" s="53" t="s">
        <v>654</v>
      </c>
      <c r="G43" s="54">
        <v>2.39</v>
      </c>
      <c r="I43" s="31"/>
      <c r="J43" s="32">
        <f t="shared" si="0"/>
        <v>0</v>
      </c>
    </row>
    <row r="44" spans="2:10">
      <c r="B44" s="33"/>
      <c r="C44" s="51" t="s">
        <v>81</v>
      </c>
      <c r="D44" s="52" t="s">
        <v>50</v>
      </c>
      <c r="E44" s="51" t="s">
        <v>51</v>
      </c>
      <c r="F44" s="53" t="s">
        <v>655</v>
      </c>
      <c r="G44" s="54">
        <v>41.81</v>
      </c>
      <c r="I44" s="31"/>
      <c r="J44" s="32">
        <f t="shared" si="0"/>
        <v>0</v>
      </c>
    </row>
    <row r="45" spans="2:10">
      <c r="B45" s="33"/>
      <c r="C45" s="51" t="s">
        <v>81</v>
      </c>
      <c r="D45" s="52" t="s">
        <v>34</v>
      </c>
      <c r="E45" s="51" t="s">
        <v>35</v>
      </c>
      <c r="F45" s="53" t="s">
        <v>656</v>
      </c>
      <c r="G45" s="54">
        <v>33.020000000000003</v>
      </c>
      <c r="I45" s="31"/>
      <c r="J45" s="32">
        <f t="shared" si="0"/>
        <v>0</v>
      </c>
    </row>
    <row r="46" spans="2:10">
      <c r="B46" s="33"/>
      <c r="C46" s="51" t="s">
        <v>81</v>
      </c>
      <c r="D46" s="52" t="s">
        <v>52</v>
      </c>
      <c r="E46" s="51" t="s">
        <v>53</v>
      </c>
      <c r="F46" s="53" t="s">
        <v>654</v>
      </c>
      <c r="G46" s="54">
        <v>6.4</v>
      </c>
      <c r="I46" s="31"/>
      <c r="J46" s="32">
        <f t="shared" si="0"/>
        <v>0</v>
      </c>
    </row>
    <row r="47" spans="2:10" ht="23">
      <c r="B47" s="33"/>
      <c r="C47" s="51" t="s">
        <v>81</v>
      </c>
      <c r="D47" s="52" t="s">
        <v>309</v>
      </c>
      <c r="E47" s="51" t="s">
        <v>642</v>
      </c>
      <c r="F47" s="53" t="s">
        <v>655</v>
      </c>
      <c r="G47" s="54">
        <v>57.92</v>
      </c>
      <c r="I47" s="31"/>
      <c r="J47" s="32">
        <f t="shared" si="0"/>
        <v>0</v>
      </c>
    </row>
    <row r="48" spans="2:10" ht="23">
      <c r="B48" s="33"/>
      <c r="C48" s="51" t="s">
        <v>81</v>
      </c>
      <c r="D48" s="52" t="s">
        <v>313</v>
      </c>
      <c r="E48" s="51" t="s">
        <v>314</v>
      </c>
      <c r="F48" s="53" t="s">
        <v>656</v>
      </c>
      <c r="G48" s="54">
        <v>24.84</v>
      </c>
      <c r="I48" s="31"/>
      <c r="J48" s="32">
        <f t="shared" si="0"/>
        <v>0</v>
      </c>
    </row>
    <row r="49" spans="2:10" ht="23">
      <c r="B49" s="33"/>
      <c r="C49" s="51" t="s">
        <v>81</v>
      </c>
      <c r="D49" s="52" t="s">
        <v>317</v>
      </c>
      <c r="E49" s="51" t="s">
        <v>318</v>
      </c>
      <c r="F49" s="53" t="s">
        <v>654</v>
      </c>
      <c r="G49" s="54">
        <v>11.57</v>
      </c>
      <c r="I49" s="31"/>
      <c r="J49" s="32">
        <f t="shared" si="0"/>
        <v>0</v>
      </c>
    </row>
    <row r="50" spans="2:10" ht="23">
      <c r="B50" s="33"/>
      <c r="C50" s="51" t="s">
        <v>81</v>
      </c>
      <c r="D50" s="52" t="s">
        <v>321</v>
      </c>
      <c r="E50" s="51" t="s">
        <v>322</v>
      </c>
      <c r="F50" s="53" t="s">
        <v>655</v>
      </c>
      <c r="G50" s="54">
        <v>149.12</v>
      </c>
      <c r="I50" s="31"/>
      <c r="J50" s="32">
        <f t="shared" si="0"/>
        <v>0</v>
      </c>
    </row>
    <row r="51" spans="2:10" ht="23">
      <c r="B51" s="33"/>
      <c r="C51" s="51" t="s">
        <v>81</v>
      </c>
      <c r="D51" s="52" t="s">
        <v>334</v>
      </c>
      <c r="E51" s="51" t="s">
        <v>335</v>
      </c>
      <c r="F51" s="53" t="s">
        <v>656</v>
      </c>
      <c r="G51" s="54">
        <v>33.71</v>
      </c>
      <c r="I51" s="31"/>
      <c r="J51" s="32">
        <f t="shared" si="0"/>
        <v>0</v>
      </c>
    </row>
    <row r="52" spans="2:10" ht="23">
      <c r="B52" s="33"/>
      <c r="C52" s="51" t="s">
        <v>81</v>
      </c>
      <c r="D52" s="52" t="s">
        <v>341</v>
      </c>
      <c r="E52" s="51" t="s">
        <v>342</v>
      </c>
      <c r="F52" s="53" t="s">
        <v>656</v>
      </c>
      <c r="G52" s="54">
        <v>2.8</v>
      </c>
      <c r="I52" s="31"/>
      <c r="J52" s="32">
        <f t="shared" si="0"/>
        <v>0</v>
      </c>
    </row>
    <row r="53" spans="2:10" ht="23">
      <c r="B53" s="33"/>
      <c r="C53" s="51" t="s">
        <v>81</v>
      </c>
      <c r="D53" s="52" t="s">
        <v>346</v>
      </c>
      <c r="E53" s="51" t="s">
        <v>347</v>
      </c>
      <c r="F53" s="53" t="s">
        <v>654</v>
      </c>
      <c r="G53" s="54">
        <v>13.02</v>
      </c>
      <c r="I53" s="31"/>
      <c r="J53" s="32">
        <f t="shared" si="0"/>
        <v>0</v>
      </c>
    </row>
    <row r="54" spans="2:10">
      <c r="B54" s="33"/>
      <c r="C54" s="51" t="s">
        <v>81</v>
      </c>
      <c r="D54" s="52" t="s">
        <v>358</v>
      </c>
      <c r="E54" s="51" t="s">
        <v>359</v>
      </c>
      <c r="F54" s="53" t="s">
        <v>655</v>
      </c>
      <c r="G54" s="54">
        <v>32.159999999999997</v>
      </c>
      <c r="I54" s="31"/>
      <c r="J54" s="32">
        <f t="shared" si="0"/>
        <v>0</v>
      </c>
    </row>
    <row r="55" spans="2:10">
      <c r="B55" s="33"/>
      <c r="C55" s="51" t="s">
        <v>81</v>
      </c>
      <c r="D55" s="52" t="s">
        <v>363</v>
      </c>
      <c r="E55" s="51" t="s">
        <v>20</v>
      </c>
      <c r="F55" s="53" t="s">
        <v>657</v>
      </c>
      <c r="G55" s="54">
        <v>171</v>
      </c>
      <c r="I55" s="31"/>
      <c r="J55" s="32">
        <f t="shared" si="0"/>
        <v>0</v>
      </c>
    </row>
    <row r="56" spans="2:10">
      <c r="B56" s="33"/>
      <c r="C56" s="51" t="s">
        <v>81</v>
      </c>
      <c r="D56" s="52" t="s">
        <v>374</v>
      </c>
      <c r="E56" s="51" t="s">
        <v>375</v>
      </c>
      <c r="F56" s="53" t="s">
        <v>657</v>
      </c>
      <c r="G56" s="54">
        <v>126.13</v>
      </c>
      <c r="I56" s="31"/>
      <c r="J56" s="32">
        <f t="shared" si="0"/>
        <v>0</v>
      </c>
    </row>
    <row r="57" spans="2:10">
      <c r="B57" s="33"/>
      <c r="C57" s="51" t="s">
        <v>81</v>
      </c>
      <c r="D57" s="52" t="s">
        <v>383</v>
      </c>
      <c r="E57" s="51" t="s">
        <v>384</v>
      </c>
      <c r="F57" s="53" t="s">
        <v>12</v>
      </c>
      <c r="G57" s="54">
        <v>17</v>
      </c>
      <c r="I57" s="31"/>
      <c r="J57" s="32">
        <f t="shared" si="0"/>
        <v>0</v>
      </c>
    </row>
    <row r="58" spans="2:10">
      <c r="B58" s="33"/>
      <c r="C58" s="51" t="s">
        <v>81</v>
      </c>
      <c r="D58" s="52" t="s">
        <v>386</v>
      </c>
      <c r="E58" s="51" t="s">
        <v>387</v>
      </c>
      <c r="F58" s="53" t="s">
        <v>657</v>
      </c>
      <c r="G58" s="54">
        <v>63.3</v>
      </c>
      <c r="I58" s="31"/>
      <c r="J58" s="32">
        <f t="shared" si="0"/>
        <v>0</v>
      </c>
    </row>
    <row r="59" spans="2:10" ht="23">
      <c r="B59" s="33"/>
      <c r="C59" s="51" t="s">
        <v>81</v>
      </c>
      <c r="D59" s="52" t="s">
        <v>36</v>
      </c>
      <c r="E59" s="51" t="s">
        <v>392</v>
      </c>
      <c r="F59" s="53" t="s">
        <v>657</v>
      </c>
      <c r="G59" s="54">
        <v>32.200000000000003</v>
      </c>
      <c r="I59" s="31"/>
      <c r="J59" s="32">
        <f t="shared" si="0"/>
        <v>0</v>
      </c>
    </row>
    <row r="60" spans="2:10">
      <c r="B60" s="33"/>
      <c r="C60" s="51" t="s">
        <v>81</v>
      </c>
      <c r="D60" s="52" t="s">
        <v>66</v>
      </c>
      <c r="E60" s="51" t="s">
        <v>67</v>
      </c>
      <c r="F60" s="53" t="s">
        <v>656</v>
      </c>
      <c r="G60" s="54">
        <v>42.45</v>
      </c>
      <c r="I60" s="31"/>
      <c r="J60" s="32">
        <f t="shared" si="0"/>
        <v>0</v>
      </c>
    </row>
    <row r="61" spans="2:10">
      <c r="B61" s="33"/>
      <c r="C61" s="51" t="s">
        <v>81</v>
      </c>
      <c r="D61" s="52" t="s">
        <v>402</v>
      </c>
      <c r="E61" s="51" t="s">
        <v>403</v>
      </c>
      <c r="F61" s="53" t="s">
        <v>656</v>
      </c>
      <c r="G61" s="54">
        <v>128.25</v>
      </c>
      <c r="I61" s="31"/>
      <c r="J61" s="32">
        <f t="shared" si="0"/>
        <v>0</v>
      </c>
    </row>
    <row r="62" spans="2:10">
      <c r="B62" s="33"/>
      <c r="C62" s="51" t="s">
        <v>81</v>
      </c>
      <c r="D62" s="52" t="s">
        <v>407</v>
      </c>
      <c r="E62" s="51" t="s">
        <v>408</v>
      </c>
      <c r="F62" s="53" t="s">
        <v>12</v>
      </c>
      <c r="G62" s="54">
        <v>6</v>
      </c>
      <c r="I62" s="31"/>
      <c r="J62" s="32">
        <f t="shared" si="0"/>
        <v>0</v>
      </c>
    </row>
    <row r="63" spans="2:10">
      <c r="B63" s="33"/>
      <c r="C63" s="51" t="s">
        <v>81</v>
      </c>
      <c r="D63" s="52" t="s">
        <v>414</v>
      </c>
      <c r="E63" s="51" t="s">
        <v>415</v>
      </c>
      <c r="F63" s="53" t="s">
        <v>655</v>
      </c>
      <c r="G63" s="54">
        <v>5019.42</v>
      </c>
      <c r="I63" s="31"/>
      <c r="J63" s="32">
        <f t="shared" si="0"/>
        <v>0</v>
      </c>
    </row>
    <row r="64" spans="2:10">
      <c r="B64" s="33"/>
      <c r="C64" s="51" t="s">
        <v>81</v>
      </c>
      <c r="D64" s="52" t="s">
        <v>37</v>
      </c>
      <c r="E64" s="51" t="s">
        <v>38</v>
      </c>
      <c r="F64" s="53" t="s">
        <v>656</v>
      </c>
      <c r="G64" s="54">
        <v>79.78</v>
      </c>
      <c r="I64" s="31"/>
      <c r="J64" s="32">
        <f t="shared" si="0"/>
        <v>0</v>
      </c>
    </row>
    <row r="65" spans="2:10" ht="23">
      <c r="B65" s="29" t="s">
        <v>646</v>
      </c>
      <c r="C65" s="51" t="s">
        <v>421</v>
      </c>
      <c r="D65" s="52" t="s">
        <v>423</v>
      </c>
      <c r="E65" s="51" t="s">
        <v>424</v>
      </c>
      <c r="F65" s="53" t="s">
        <v>655</v>
      </c>
      <c r="G65" s="54">
        <v>0.83</v>
      </c>
      <c r="I65" s="31"/>
      <c r="J65" s="32">
        <f t="shared" si="0"/>
        <v>0</v>
      </c>
    </row>
    <row r="66" spans="2:10" ht="23">
      <c r="B66" s="29" t="s">
        <v>647</v>
      </c>
      <c r="C66" s="51" t="s">
        <v>425</v>
      </c>
      <c r="D66" s="52" t="s">
        <v>427</v>
      </c>
      <c r="E66" s="51" t="s">
        <v>428</v>
      </c>
      <c r="F66" s="53" t="s">
        <v>12</v>
      </c>
      <c r="G66" s="54">
        <v>4</v>
      </c>
      <c r="I66" s="31"/>
      <c r="J66" s="32">
        <f t="shared" si="0"/>
        <v>0</v>
      </c>
    </row>
    <row r="67" spans="2:10">
      <c r="B67" s="33"/>
      <c r="C67" s="51" t="s">
        <v>425</v>
      </c>
      <c r="D67" s="52" t="s">
        <v>431</v>
      </c>
      <c r="E67" s="51" t="s">
        <v>432</v>
      </c>
      <c r="F67" s="53" t="s">
        <v>12</v>
      </c>
      <c r="G67" s="54">
        <v>2</v>
      </c>
      <c r="I67" s="31"/>
      <c r="J67" s="32">
        <f t="shared" si="0"/>
        <v>0</v>
      </c>
    </row>
    <row r="68" spans="2:10">
      <c r="B68" s="36"/>
      <c r="C68" s="51" t="s">
        <v>425</v>
      </c>
      <c r="D68" s="52" t="s">
        <v>436</v>
      </c>
      <c r="E68" s="51" t="s">
        <v>437</v>
      </c>
      <c r="F68" s="53" t="s">
        <v>12</v>
      </c>
      <c r="G68" s="54">
        <v>2</v>
      </c>
      <c r="I68" s="31"/>
      <c r="J68" s="32">
        <f t="shared" si="0"/>
        <v>0</v>
      </c>
    </row>
    <row r="69" spans="2:10" ht="23">
      <c r="B69" s="29" t="s">
        <v>633</v>
      </c>
      <c r="C69" s="51" t="s">
        <v>84</v>
      </c>
      <c r="D69" s="52" t="s">
        <v>21</v>
      </c>
      <c r="E69" s="51" t="s">
        <v>78</v>
      </c>
      <c r="F69" s="53" t="s">
        <v>656</v>
      </c>
      <c r="G69" s="54">
        <v>3292.67</v>
      </c>
      <c r="I69" s="31"/>
      <c r="J69" s="32">
        <f t="shared" ref="J69:J105" si="1">ROUND(ROUND(I69,2)*G69,2)</f>
        <v>0</v>
      </c>
    </row>
    <row r="70" spans="2:10" ht="23">
      <c r="B70" s="33"/>
      <c r="C70" s="51" t="s">
        <v>84</v>
      </c>
      <c r="D70" s="52" t="s">
        <v>42</v>
      </c>
      <c r="E70" s="51" t="s">
        <v>444</v>
      </c>
      <c r="F70" s="53" t="s">
        <v>656</v>
      </c>
      <c r="G70" s="54">
        <v>3239.9</v>
      </c>
      <c r="I70" s="31"/>
      <c r="J70" s="32">
        <f t="shared" si="1"/>
        <v>0</v>
      </c>
    </row>
    <row r="71" spans="2:10" ht="23">
      <c r="B71" s="33"/>
      <c r="C71" s="51" t="s">
        <v>84</v>
      </c>
      <c r="D71" s="52" t="s">
        <v>25</v>
      </c>
      <c r="E71" s="51" t="s">
        <v>26</v>
      </c>
      <c r="F71" s="53" t="s">
        <v>655</v>
      </c>
      <c r="G71" s="54">
        <v>16.440000000000001</v>
      </c>
      <c r="I71" s="31"/>
      <c r="J71" s="32">
        <f t="shared" si="1"/>
        <v>0</v>
      </c>
    </row>
    <row r="72" spans="2:10" ht="23">
      <c r="B72" s="33"/>
      <c r="C72" s="51" t="s">
        <v>84</v>
      </c>
      <c r="D72" s="52" t="s">
        <v>451</v>
      </c>
      <c r="E72" s="51" t="s">
        <v>452</v>
      </c>
      <c r="F72" s="53" t="s">
        <v>655</v>
      </c>
      <c r="G72" s="54">
        <v>421.67</v>
      </c>
      <c r="I72" s="31"/>
      <c r="J72" s="32">
        <f t="shared" si="1"/>
        <v>0</v>
      </c>
    </row>
    <row r="73" spans="2:10" ht="23">
      <c r="B73" s="33"/>
      <c r="C73" s="51" t="s">
        <v>84</v>
      </c>
      <c r="D73" s="52" t="s">
        <v>39</v>
      </c>
      <c r="E73" s="51" t="s">
        <v>40</v>
      </c>
      <c r="F73" s="53" t="s">
        <v>655</v>
      </c>
      <c r="G73" s="54">
        <v>0.94</v>
      </c>
      <c r="I73" s="31"/>
      <c r="J73" s="32">
        <f t="shared" si="1"/>
        <v>0</v>
      </c>
    </row>
    <row r="74" spans="2:10">
      <c r="B74" s="33"/>
      <c r="C74" s="51" t="s">
        <v>84</v>
      </c>
      <c r="D74" s="52" t="s">
        <v>460</v>
      </c>
      <c r="E74" s="51" t="s">
        <v>461</v>
      </c>
      <c r="F74" s="53" t="s">
        <v>655</v>
      </c>
      <c r="G74" s="54">
        <v>36.35</v>
      </c>
      <c r="I74" s="31"/>
      <c r="J74" s="32">
        <f t="shared" si="1"/>
        <v>0</v>
      </c>
    </row>
    <row r="75" spans="2:10" ht="23">
      <c r="B75" s="33"/>
      <c r="C75" s="51" t="s">
        <v>84</v>
      </c>
      <c r="D75" s="52" t="s">
        <v>91</v>
      </c>
      <c r="E75" s="51" t="s">
        <v>465</v>
      </c>
      <c r="F75" s="53" t="s">
        <v>657</v>
      </c>
      <c r="G75" s="54">
        <v>638.70000000000005</v>
      </c>
      <c r="I75" s="31"/>
      <c r="J75" s="32">
        <f t="shared" si="1"/>
        <v>0</v>
      </c>
    </row>
    <row r="76" spans="2:10">
      <c r="B76" s="33"/>
      <c r="C76" s="51" t="s">
        <v>84</v>
      </c>
      <c r="D76" s="52" t="s">
        <v>475</v>
      </c>
      <c r="E76" s="51" t="s">
        <v>476</v>
      </c>
      <c r="F76" s="53" t="s">
        <v>657</v>
      </c>
      <c r="G76" s="54">
        <v>20</v>
      </c>
      <c r="I76" s="31"/>
      <c r="J76" s="32">
        <f t="shared" si="1"/>
        <v>0</v>
      </c>
    </row>
    <row r="77" spans="2:10">
      <c r="B77" s="33"/>
      <c r="C77" s="51" t="s">
        <v>84</v>
      </c>
      <c r="D77" s="52" t="s">
        <v>481</v>
      </c>
      <c r="E77" s="51" t="s">
        <v>482</v>
      </c>
      <c r="F77" s="53" t="s">
        <v>12</v>
      </c>
      <c r="G77" s="54">
        <v>20</v>
      </c>
      <c r="I77" s="31"/>
      <c r="J77" s="32">
        <f t="shared" si="1"/>
        <v>0</v>
      </c>
    </row>
    <row r="78" spans="2:10" ht="23">
      <c r="B78" s="33"/>
      <c r="C78" s="51" t="s">
        <v>84</v>
      </c>
      <c r="D78" s="52" t="s">
        <v>485</v>
      </c>
      <c r="E78" s="51" t="s">
        <v>486</v>
      </c>
      <c r="F78" s="53" t="s">
        <v>12</v>
      </c>
      <c r="G78" s="54">
        <v>22</v>
      </c>
      <c r="I78" s="31"/>
      <c r="J78" s="32">
        <f t="shared" si="1"/>
        <v>0</v>
      </c>
    </row>
    <row r="79" spans="2:10" ht="23">
      <c r="B79" s="33"/>
      <c r="C79" s="51" t="s">
        <v>84</v>
      </c>
      <c r="D79" s="52" t="s">
        <v>64</v>
      </c>
      <c r="E79" s="51" t="s">
        <v>490</v>
      </c>
      <c r="F79" s="53" t="s">
        <v>12</v>
      </c>
      <c r="G79" s="54">
        <v>11</v>
      </c>
      <c r="I79" s="31"/>
      <c r="J79" s="32">
        <f t="shared" si="1"/>
        <v>0</v>
      </c>
    </row>
    <row r="80" spans="2:10">
      <c r="B80" s="33"/>
      <c r="C80" s="51" t="s">
        <v>84</v>
      </c>
      <c r="D80" s="52" t="s">
        <v>495</v>
      </c>
      <c r="E80" s="51" t="s">
        <v>496</v>
      </c>
      <c r="F80" s="53" t="s">
        <v>657</v>
      </c>
      <c r="G80" s="54">
        <v>25</v>
      </c>
      <c r="I80" s="31"/>
      <c r="J80" s="32">
        <f t="shared" si="1"/>
        <v>0</v>
      </c>
    </row>
    <row r="81" spans="2:10">
      <c r="B81" s="33"/>
      <c r="C81" s="51" t="s">
        <v>84</v>
      </c>
      <c r="D81" s="52" t="s">
        <v>500</v>
      </c>
      <c r="E81" s="51" t="s">
        <v>501</v>
      </c>
      <c r="F81" s="53" t="s">
        <v>657</v>
      </c>
      <c r="G81" s="54">
        <v>71.72</v>
      </c>
      <c r="I81" s="31"/>
      <c r="J81" s="32">
        <f t="shared" si="1"/>
        <v>0</v>
      </c>
    </row>
    <row r="82" spans="2:10" ht="23">
      <c r="B82" s="29" t="s">
        <v>634</v>
      </c>
      <c r="C82" s="51" t="s">
        <v>506</v>
      </c>
      <c r="D82" s="52" t="s">
        <v>508</v>
      </c>
      <c r="E82" s="51" t="s">
        <v>509</v>
      </c>
      <c r="F82" s="53" t="s">
        <v>655</v>
      </c>
      <c r="G82" s="54">
        <v>42.19</v>
      </c>
      <c r="I82" s="31"/>
      <c r="J82" s="32">
        <f t="shared" si="1"/>
        <v>0</v>
      </c>
    </row>
    <row r="83" spans="2:10" ht="23">
      <c r="B83" s="33"/>
      <c r="C83" s="51" t="s">
        <v>506</v>
      </c>
      <c r="D83" s="52" t="s">
        <v>511</v>
      </c>
      <c r="E83" s="51" t="s">
        <v>512</v>
      </c>
      <c r="F83" s="53" t="s">
        <v>655</v>
      </c>
      <c r="G83" s="54">
        <v>49.16</v>
      </c>
      <c r="I83" s="31"/>
      <c r="J83" s="32">
        <f t="shared" si="1"/>
        <v>0</v>
      </c>
    </row>
    <row r="84" spans="2:10" ht="23">
      <c r="B84" s="33"/>
      <c r="C84" s="51" t="s">
        <v>506</v>
      </c>
      <c r="D84" s="52" t="s">
        <v>514</v>
      </c>
      <c r="E84" s="51" t="s">
        <v>515</v>
      </c>
      <c r="F84" s="53" t="s">
        <v>656</v>
      </c>
      <c r="G84" s="54">
        <v>245.8</v>
      </c>
      <c r="I84" s="31"/>
      <c r="J84" s="32">
        <f t="shared" si="1"/>
        <v>0</v>
      </c>
    </row>
    <row r="85" spans="2:10" ht="23">
      <c r="B85" s="36"/>
      <c r="C85" s="51" t="s">
        <v>506</v>
      </c>
      <c r="D85" s="52" t="s">
        <v>519</v>
      </c>
      <c r="E85" s="51" t="s">
        <v>520</v>
      </c>
      <c r="F85" s="53" t="s">
        <v>655</v>
      </c>
      <c r="G85" s="54">
        <v>21.79</v>
      </c>
      <c r="I85" s="31"/>
      <c r="J85" s="32">
        <f t="shared" si="1"/>
        <v>0</v>
      </c>
    </row>
    <row r="86" spans="2:10" ht="34.5">
      <c r="B86" s="29" t="s">
        <v>648</v>
      </c>
      <c r="C86" s="51" t="s">
        <v>524</v>
      </c>
      <c r="D86" s="52" t="s">
        <v>526</v>
      </c>
      <c r="E86" s="51" t="s">
        <v>527</v>
      </c>
      <c r="F86" s="53" t="s">
        <v>655</v>
      </c>
      <c r="G86" s="54">
        <v>30.17</v>
      </c>
      <c r="I86" s="31"/>
      <c r="J86" s="32">
        <f t="shared" si="1"/>
        <v>0</v>
      </c>
    </row>
    <row r="87" spans="2:10">
      <c r="B87" s="33"/>
      <c r="C87" s="51" t="s">
        <v>524</v>
      </c>
      <c r="D87" s="52" t="s">
        <v>531</v>
      </c>
      <c r="E87" s="51" t="s">
        <v>532</v>
      </c>
      <c r="F87" s="53" t="s">
        <v>656</v>
      </c>
      <c r="G87" s="54">
        <v>177.24</v>
      </c>
      <c r="I87" s="31"/>
      <c r="J87" s="32">
        <f t="shared" si="1"/>
        <v>0</v>
      </c>
    </row>
    <row r="88" spans="2:10">
      <c r="B88" s="33"/>
      <c r="C88" s="51" t="s">
        <v>524</v>
      </c>
      <c r="D88" s="52" t="s">
        <v>535</v>
      </c>
      <c r="E88" s="51" t="s">
        <v>536</v>
      </c>
      <c r="F88" s="53" t="s">
        <v>12</v>
      </c>
      <c r="G88" s="54">
        <v>2</v>
      </c>
      <c r="I88" s="31"/>
      <c r="J88" s="32">
        <f t="shared" si="1"/>
        <v>0</v>
      </c>
    </row>
    <row r="89" spans="2:10">
      <c r="B89" s="29" t="s">
        <v>649</v>
      </c>
      <c r="C89" s="51" t="s">
        <v>538</v>
      </c>
      <c r="D89" s="52" t="s">
        <v>540</v>
      </c>
      <c r="E89" s="51" t="s">
        <v>541</v>
      </c>
      <c r="F89" s="53" t="s">
        <v>656</v>
      </c>
      <c r="G89" s="54">
        <v>704.1</v>
      </c>
      <c r="I89" s="31"/>
      <c r="J89" s="32">
        <f t="shared" si="1"/>
        <v>0</v>
      </c>
    </row>
    <row r="90" spans="2:10">
      <c r="B90" s="36"/>
      <c r="C90" s="51" t="s">
        <v>538</v>
      </c>
      <c r="D90" s="52" t="s">
        <v>550</v>
      </c>
      <c r="E90" s="51" t="s">
        <v>24</v>
      </c>
      <c r="F90" s="53" t="s">
        <v>656</v>
      </c>
      <c r="G90" s="54">
        <v>1050.94</v>
      </c>
      <c r="I90" s="31"/>
      <c r="J90" s="32">
        <f t="shared" si="1"/>
        <v>0</v>
      </c>
    </row>
    <row r="91" spans="2:10">
      <c r="B91" s="29" t="s">
        <v>650</v>
      </c>
      <c r="C91" s="51" t="s">
        <v>556</v>
      </c>
      <c r="D91" s="52" t="s">
        <v>558</v>
      </c>
      <c r="E91" s="51" t="s">
        <v>559</v>
      </c>
      <c r="F91" s="53" t="s">
        <v>655</v>
      </c>
      <c r="G91" s="54">
        <v>2.0499999999999998</v>
      </c>
      <c r="I91" s="31"/>
      <c r="J91" s="32">
        <f t="shared" si="1"/>
        <v>0</v>
      </c>
    </row>
    <row r="92" spans="2:10">
      <c r="B92" s="33"/>
      <c r="C92" s="51" t="s">
        <v>556</v>
      </c>
      <c r="D92" s="52" t="s">
        <v>720</v>
      </c>
      <c r="E92" s="51" t="s">
        <v>722</v>
      </c>
      <c r="F92" s="53" t="s">
        <v>655</v>
      </c>
      <c r="G92" s="54">
        <v>5.7</v>
      </c>
      <c r="I92" s="31"/>
      <c r="J92" s="32">
        <f t="shared" si="1"/>
        <v>0</v>
      </c>
    </row>
    <row r="93" spans="2:10">
      <c r="B93" s="33"/>
      <c r="C93" s="51" t="s">
        <v>556</v>
      </c>
      <c r="D93" s="52" t="s">
        <v>718</v>
      </c>
      <c r="E93" s="51" t="s">
        <v>719</v>
      </c>
      <c r="F93" s="53" t="s">
        <v>655</v>
      </c>
      <c r="G93" s="54">
        <v>0.66</v>
      </c>
      <c r="I93" s="31"/>
      <c r="J93" s="32">
        <f t="shared" si="1"/>
        <v>0</v>
      </c>
    </row>
    <row r="94" spans="2:10">
      <c r="B94" s="33"/>
      <c r="C94" s="51" t="s">
        <v>556</v>
      </c>
      <c r="D94" s="52" t="s">
        <v>726</v>
      </c>
      <c r="E94" s="51" t="s">
        <v>727</v>
      </c>
      <c r="F94" s="53" t="s">
        <v>656</v>
      </c>
      <c r="G94" s="54">
        <v>7.26</v>
      </c>
      <c r="I94" s="31"/>
      <c r="J94" s="32">
        <f t="shared" si="1"/>
        <v>0</v>
      </c>
    </row>
    <row r="95" spans="2:10">
      <c r="B95" s="36"/>
      <c r="C95" s="51" t="s">
        <v>556</v>
      </c>
      <c r="D95" s="52" t="s">
        <v>730</v>
      </c>
      <c r="E95" s="51" t="s">
        <v>731</v>
      </c>
      <c r="F95" s="53" t="s">
        <v>654</v>
      </c>
      <c r="G95" s="54">
        <v>0.16</v>
      </c>
      <c r="I95" s="31"/>
      <c r="J95" s="32">
        <f t="shared" si="1"/>
        <v>0</v>
      </c>
    </row>
    <row r="96" spans="2:10">
      <c r="B96" s="48" t="s">
        <v>651</v>
      </c>
      <c r="C96" s="51" t="s">
        <v>563</v>
      </c>
      <c r="D96" s="52" t="s">
        <v>565</v>
      </c>
      <c r="E96" s="51" t="s">
        <v>566</v>
      </c>
      <c r="F96" s="53" t="s">
        <v>657</v>
      </c>
      <c r="G96" s="54">
        <v>10.3</v>
      </c>
      <c r="I96" s="31"/>
      <c r="J96" s="32">
        <f t="shared" si="1"/>
        <v>0</v>
      </c>
    </row>
    <row r="97" spans="2:10">
      <c r="B97" s="29" t="s">
        <v>652</v>
      </c>
      <c r="C97" s="51" t="s">
        <v>570</v>
      </c>
      <c r="D97" s="52" t="s">
        <v>572</v>
      </c>
      <c r="E97" s="51" t="s">
        <v>573</v>
      </c>
      <c r="F97" s="53" t="s">
        <v>12</v>
      </c>
      <c r="G97" s="54">
        <v>16</v>
      </c>
      <c r="I97" s="31"/>
      <c r="J97" s="32">
        <f t="shared" si="1"/>
        <v>0</v>
      </c>
    </row>
    <row r="98" spans="2:10">
      <c r="B98" s="33"/>
      <c r="C98" s="51" t="s">
        <v>570</v>
      </c>
      <c r="D98" s="52" t="s">
        <v>577</v>
      </c>
      <c r="E98" s="51" t="s">
        <v>578</v>
      </c>
      <c r="F98" s="53" t="s">
        <v>656</v>
      </c>
      <c r="G98" s="54">
        <v>108</v>
      </c>
      <c r="I98" s="31"/>
      <c r="J98" s="32">
        <f t="shared" si="1"/>
        <v>0</v>
      </c>
    </row>
    <row r="99" spans="2:10" ht="23">
      <c r="B99" s="34" t="s">
        <v>635</v>
      </c>
      <c r="C99" s="51" t="s">
        <v>85</v>
      </c>
      <c r="D99" s="52" t="s">
        <v>95</v>
      </c>
      <c r="E99" s="51" t="s">
        <v>96</v>
      </c>
      <c r="F99" s="53" t="s">
        <v>656</v>
      </c>
      <c r="G99" s="54">
        <v>1047.19</v>
      </c>
      <c r="I99" s="31"/>
      <c r="J99" s="32">
        <f t="shared" si="1"/>
        <v>0</v>
      </c>
    </row>
    <row r="100" spans="2:10" ht="23">
      <c r="B100" s="35"/>
      <c r="C100" s="51" t="s">
        <v>85</v>
      </c>
      <c r="D100" s="52" t="s">
        <v>43</v>
      </c>
      <c r="E100" s="51" t="s">
        <v>93</v>
      </c>
      <c r="F100" s="53" t="s">
        <v>656</v>
      </c>
      <c r="G100" s="54">
        <v>1095.94</v>
      </c>
      <c r="I100" s="31"/>
      <c r="J100" s="32">
        <f t="shared" si="1"/>
        <v>0</v>
      </c>
    </row>
    <row r="101" spans="2:10">
      <c r="B101" s="35"/>
      <c r="C101" s="51" t="s">
        <v>85</v>
      </c>
      <c r="D101" s="52" t="s">
        <v>589</v>
      </c>
      <c r="E101" s="51" t="s">
        <v>590</v>
      </c>
      <c r="F101" s="53" t="s">
        <v>656</v>
      </c>
      <c r="G101" s="54">
        <v>541.22</v>
      </c>
      <c r="I101" s="31"/>
      <c r="J101" s="32">
        <f t="shared" si="1"/>
        <v>0</v>
      </c>
    </row>
    <row r="102" spans="2:10" ht="23">
      <c r="B102" s="35"/>
      <c r="C102" s="51" t="s">
        <v>85</v>
      </c>
      <c r="D102" s="52" t="s">
        <v>592</v>
      </c>
      <c r="E102" s="51" t="s">
        <v>593</v>
      </c>
      <c r="F102" s="53" t="s">
        <v>656</v>
      </c>
      <c r="G102" s="54">
        <v>556.62</v>
      </c>
      <c r="I102" s="31"/>
      <c r="J102" s="32">
        <f t="shared" si="1"/>
        <v>0</v>
      </c>
    </row>
    <row r="103" spans="2:10" ht="23">
      <c r="B103" s="34" t="s">
        <v>636</v>
      </c>
      <c r="C103" s="51" t="s">
        <v>87</v>
      </c>
      <c r="D103" s="52" t="s">
        <v>54</v>
      </c>
      <c r="E103" s="51" t="s">
        <v>55</v>
      </c>
      <c r="F103" s="53" t="s">
        <v>656</v>
      </c>
      <c r="G103" s="54">
        <v>948.97</v>
      </c>
      <c r="I103" s="31"/>
      <c r="J103" s="32">
        <f t="shared" si="1"/>
        <v>0</v>
      </c>
    </row>
    <row r="104" spans="2:10">
      <c r="B104" s="35"/>
      <c r="C104" s="51" t="s">
        <v>87</v>
      </c>
      <c r="D104" s="52" t="s">
        <v>56</v>
      </c>
      <c r="E104" s="51" t="s">
        <v>57</v>
      </c>
      <c r="F104" s="53" t="s">
        <v>656</v>
      </c>
      <c r="G104" s="54">
        <v>2416.65</v>
      </c>
      <c r="I104" s="31"/>
      <c r="J104" s="32">
        <f t="shared" si="1"/>
        <v>0</v>
      </c>
    </row>
    <row r="105" spans="2:10" ht="23">
      <c r="B105" s="35"/>
      <c r="C105" s="51" t="s">
        <v>87</v>
      </c>
      <c r="D105" s="52" t="s">
        <v>600</v>
      </c>
      <c r="E105" s="51" t="s">
        <v>601</v>
      </c>
      <c r="F105" s="53" t="s">
        <v>656</v>
      </c>
      <c r="G105" s="54">
        <v>2416.65</v>
      </c>
      <c r="I105" s="31"/>
      <c r="J105" s="32">
        <f t="shared" si="1"/>
        <v>0</v>
      </c>
    </row>
    <row r="106" spans="2:10">
      <c r="G106" s="37"/>
      <c r="J106" s="39"/>
    </row>
    <row r="107" spans="2:10">
      <c r="B107" s="432" t="s">
        <v>653</v>
      </c>
      <c r="C107" s="433"/>
      <c r="D107" s="433"/>
      <c r="E107" s="433"/>
      <c r="F107" s="433"/>
      <c r="G107" s="433"/>
      <c r="H107" s="434"/>
      <c r="I107" s="435"/>
      <c r="J107" s="40">
        <f>SUM(J4:J106)</f>
        <v>0</v>
      </c>
    </row>
    <row r="108" spans="2:10">
      <c r="I108" s="41" t="s">
        <v>619</v>
      </c>
      <c r="J108" s="42">
        <f>J107*0.2</f>
        <v>0</v>
      </c>
    </row>
    <row r="109" spans="2:10">
      <c r="I109" s="43" t="s">
        <v>620</v>
      </c>
      <c r="J109" s="44">
        <f>SUM(J107:J108)</f>
        <v>0</v>
      </c>
    </row>
    <row r="110" spans="2:10">
      <c r="J110" s="39"/>
    </row>
  </sheetData>
  <sheetProtection algorithmName="SHA-512" hashValue="tWiO9FrW8RDtbGEcKcgiijVTNevaRBkzukEgz5KRvOZXJV/nxyUogTBlOnKHipj7evtfZJWIv3XtCUBMjfJ8ew==" saltValue="Z/qET/baD0QpI+t24yocgg==" spinCount="100000" sheet="1" objects="1" scenarios="1"/>
  <mergeCells count="2">
    <mergeCell ref="C3:D3"/>
    <mergeCell ref="B107:I107"/>
  </mergeCells>
  <pageMargins left="0.39370078740157483" right="0.39370078740157483" top="0.74803149606299213" bottom="0.74803149606299213" header="0.31496062992125984" footer="0.31496062992125984"/>
  <pageSetup paperSize="9" scale="85" orientation="landscape" r:id="rId1"/>
  <headerFooter>
    <oddHeader>&amp;LOPRAVA DIAĽNIČNÉHO MOSTA EV. Č. D1-073 HLOHOVEC, PRAVÝ MOST
&amp;RPríloha  č. 1 k časti B.2  (zároveň Príloha č.2 k Zmluve)</oddHeader>
    <oddFooter>&amp;C&amp;P/&amp;N</oddFooter>
  </headerFooter>
  <rowBreaks count="3" manualBreakCount="3">
    <brk id="27" max="16383" man="1"/>
    <brk id="57" max="16383" man="1"/>
    <brk id="8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11"/>
  <sheetViews>
    <sheetView showGridLines="0" topLeftCell="A4" zoomScaleNormal="100" workbookViewId="0">
      <selection activeCell="A4" sqref="A1:XFD1048576"/>
    </sheetView>
  </sheetViews>
  <sheetFormatPr defaultColWidth="8.81640625" defaultRowHeight="11.5"/>
  <cols>
    <col min="1" max="1" width="2.54296875" style="27" customWidth="1"/>
    <col min="2" max="2" width="18.1796875" style="27" customWidth="1"/>
    <col min="3" max="3" width="9" style="27" customWidth="1"/>
    <col min="4" max="4" width="10.81640625" style="27" customWidth="1"/>
    <col min="5" max="5" width="57.81640625" style="27" customWidth="1"/>
    <col min="6" max="6" width="7.7265625" style="27" customWidth="1"/>
    <col min="7" max="7" width="8.81640625" style="38"/>
    <col min="8" max="8" width="1.1796875" style="27" customWidth="1"/>
    <col min="9" max="9" width="15.81640625" style="38" customWidth="1"/>
    <col min="10" max="10" width="18.81640625" style="38" customWidth="1"/>
    <col min="11" max="16384" width="8.81640625" style="27"/>
  </cols>
  <sheetData>
    <row r="3" spans="1:12">
      <c r="B3" s="49" t="s">
        <v>637</v>
      </c>
      <c r="C3" s="431" t="s">
        <v>625</v>
      </c>
      <c r="D3" s="431"/>
      <c r="E3" s="49" t="s">
        <v>626</v>
      </c>
      <c r="F3" s="55" t="s">
        <v>627</v>
      </c>
      <c r="G3" s="55" t="s">
        <v>628</v>
      </c>
      <c r="I3" s="28" t="s">
        <v>629</v>
      </c>
      <c r="J3" s="28" t="s">
        <v>618</v>
      </c>
    </row>
    <row r="4" spans="1:12" ht="23">
      <c r="A4" s="30"/>
      <c r="B4" s="29" t="s">
        <v>614</v>
      </c>
      <c r="C4" s="51" t="s">
        <v>0</v>
      </c>
      <c r="D4" s="52" t="s">
        <v>28</v>
      </c>
      <c r="E4" s="51" t="s">
        <v>29</v>
      </c>
      <c r="F4" s="53" t="s">
        <v>654</v>
      </c>
      <c r="G4" s="54">
        <v>1613.87</v>
      </c>
      <c r="H4" s="30"/>
      <c r="I4" s="32">
        <f>'Súpis prác+Všeobecné položky'!I4</f>
        <v>0</v>
      </c>
      <c r="J4" s="32">
        <f>ROUND(ROUND(I4,2)*G4,2)</f>
        <v>0</v>
      </c>
      <c r="L4" s="27" t="s">
        <v>638</v>
      </c>
    </row>
    <row r="5" spans="1:12">
      <c r="A5" s="30"/>
      <c r="B5" s="33"/>
      <c r="C5" s="51" t="s">
        <v>0</v>
      </c>
      <c r="D5" s="52" t="s">
        <v>100</v>
      </c>
      <c r="E5" s="51" t="s">
        <v>101</v>
      </c>
      <c r="F5" s="53" t="s">
        <v>655</v>
      </c>
      <c r="G5" s="54">
        <v>389.18</v>
      </c>
      <c r="H5" s="30"/>
      <c r="I5" s="32">
        <f>'Súpis prác+Všeobecné položky'!I5</f>
        <v>0</v>
      </c>
      <c r="J5" s="32">
        <f t="shared" ref="J5:J68" si="0">ROUND(ROUND(I5,2)*G5,2)</f>
        <v>0</v>
      </c>
    </row>
    <row r="6" spans="1:12" ht="23">
      <c r="B6" s="33"/>
      <c r="C6" s="51" t="s">
        <v>0</v>
      </c>
      <c r="D6" s="52" t="s">
        <v>102</v>
      </c>
      <c r="E6" s="51" t="s">
        <v>103</v>
      </c>
      <c r="F6" s="53" t="s">
        <v>655</v>
      </c>
      <c r="G6" s="54">
        <v>263.62</v>
      </c>
      <c r="H6" s="30"/>
      <c r="I6" s="32">
        <f>'Súpis prác+Všeobecné položky'!I6</f>
        <v>0</v>
      </c>
      <c r="J6" s="32">
        <f t="shared" si="0"/>
        <v>0</v>
      </c>
    </row>
    <row r="7" spans="1:12" ht="23">
      <c r="B7" s="33"/>
      <c r="C7" s="51" t="s">
        <v>0</v>
      </c>
      <c r="D7" s="52" t="s">
        <v>63</v>
      </c>
      <c r="E7" s="51" t="s">
        <v>104</v>
      </c>
      <c r="F7" s="53" t="s">
        <v>31</v>
      </c>
      <c r="G7" s="54">
        <v>4</v>
      </c>
      <c r="H7" s="30"/>
      <c r="I7" s="32">
        <f>'Súpis prác+Všeobecné položky'!I7</f>
        <v>0</v>
      </c>
      <c r="J7" s="32">
        <f t="shared" si="0"/>
        <v>0</v>
      </c>
    </row>
    <row r="8" spans="1:12">
      <c r="B8" s="33"/>
      <c r="C8" s="51" t="s">
        <v>0</v>
      </c>
      <c r="D8" s="52" t="s">
        <v>109</v>
      </c>
      <c r="E8" s="51" t="s">
        <v>110</v>
      </c>
      <c r="F8" s="53" t="s">
        <v>31</v>
      </c>
      <c r="G8" s="54">
        <v>1</v>
      </c>
      <c r="H8" s="30"/>
      <c r="I8" s="32">
        <f>'Súpis prác+Všeobecné položky'!I8</f>
        <v>0</v>
      </c>
      <c r="J8" s="32">
        <f t="shared" si="0"/>
        <v>0</v>
      </c>
    </row>
    <row r="9" spans="1:12" ht="23">
      <c r="B9" s="33"/>
      <c r="C9" s="51" t="s">
        <v>0</v>
      </c>
      <c r="D9" s="52" t="s">
        <v>30</v>
      </c>
      <c r="E9" s="51" t="s">
        <v>111</v>
      </c>
      <c r="F9" s="53" t="s">
        <v>31</v>
      </c>
      <c r="G9" s="54">
        <v>1</v>
      </c>
      <c r="H9" s="30"/>
      <c r="I9" s="32">
        <f>'Súpis prác+Všeobecné položky'!I9</f>
        <v>0</v>
      </c>
      <c r="J9" s="32">
        <f t="shared" si="0"/>
        <v>0</v>
      </c>
    </row>
    <row r="10" spans="1:12" ht="34.5">
      <c r="B10" s="33"/>
      <c r="C10" s="51" t="s">
        <v>0</v>
      </c>
      <c r="D10" s="52" t="s">
        <v>27</v>
      </c>
      <c r="E10" s="51" t="s">
        <v>41</v>
      </c>
      <c r="F10" s="53" t="s">
        <v>31</v>
      </c>
      <c r="G10" s="54">
        <v>1</v>
      </c>
      <c r="H10" s="30"/>
      <c r="I10" s="32">
        <f>'Súpis prác+Všeobecné položky'!I10</f>
        <v>0</v>
      </c>
      <c r="J10" s="32">
        <f t="shared" si="0"/>
        <v>0</v>
      </c>
    </row>
    <row r="11" spans="1:12" ht="34.5">
      <c r="B11" s="33"/>
      <c r="C11" s="51" t="s">
        <v>0</v>
      </c>
      <c r="D11" s="52" t="s">
        <v>113</v>
      </c>
      <c r="E11" s="51" t="s">
        <v>72</v>
      </c>
      <c r="F11" s="53" t="s">
        <v>31</v>
      </c>
      <c r="G11" s="54">
        <v>1</v>
      </c>
      <c r="H11" s="30"/>
      <c r="I11" s="32">
        <f>'Súpis prác+Všeobecné položky'!I11</f>
        <v>0</v>
      </c>
      <c r="J11" s="32">
        <f t="shared" si="0"/>
        <v>0</v>
      </c>
    </row>
    <row r="12" spans="1:12" ht="23">
      <c r="B12" s="33"/>
      <c r="C12" s="51" t="s">
        <v>0</v>
      </c>
      <c r="D12" s="52" t="s">
        <v>114</v>
      </c>
      <c r="E12" s="51" t="s">
        <v>97</v>
      </c>
      <c r="F12" s="53" t="s">
        <v>31</v>
      </c>
      <c r="G12" s="54">
        <v>1</v>
      </c>
      <c r="H12" s="30"/>
      <c r="I12" s="32">
        <f>'Súpis prác+Všeobecné položky'!I12</f>
        <v>0</v>
      </c>
      <c r="J12" s="32">
        <f t="shared" si="0"/>
        <v>0</v>
      </c>
    </row>
    <row r="13" spans="1:12">
      <c r="B13" s="33"/>
      <c r="C13" s="51"/>
      <c r="D13" s="52"/>
      <c r="E13" s="51"/>
      <c r="F13" s="53"/>
      <c r="G13" s="54"/>
      <c r="H13" s="30"/>
      <c r="I13" s="32"/>
      <c r="J13" s="32">
        <f t="shared" si="0"/>
        <v>0</v>
      </c>
    </row>
    <row r="14" spans="1:12">
      <c r="B14" s="33"/>
      <c r="C14" s="51" t="s">
        <v>13</v>
      </c>
      <c r="D14" s="52" t="s">
        <v>115</v>
      </c>
      <c r="E14" s="51" t="s">
        <v>116</v>
      </c>
      <c r="F14" s="53" t="s">
        <v>656</v>
      </c>
      <c r="G14" s="54">
        <v>140.1</v>
      </c>
      <c r="H14" s="30"/>
      <c r="I14" s="32">
        <f>'Súpis prác+Všeobecné položky'!I14</f>
        <v>0</v>
      </c>
      <c r="J14" s="32">
        <f t="shared" si="0"/>
        <v>0</v>
      </c>
    </row>
    <row r="15" spans="1:12">
      <c r="B15" s="33"/>
      <c r="C15" s="51" t="s">
        <v>13</v>
      </c>
      <c r="D15" s="52" t="s">
        <v>118</v>
      </c>
      <c r="E15" s="51" t="s">
        <v>119</v>
      </c>
      <c r="F15" s="53" t="s">
        <v>655</v>
      </c>
      <c r="G15" s="54">
        <v>15.8</v>
      </c>
      <c r="H15" s="30"/>
      <c r="I15" s="32">
        <f>'Súpis prác+Všeobecné položky'!I15</f>
        <v>0</v>
      </c>
      <c r="J15" s="32">
        <f t="shared" si="0"/>
        <v>0</v>
      </c>
    </row>
    <row r="16" spans="1:12" ht="23">
      <c r="B16" s="33"/>
      <c r="C16" s="51" t="s">
        <v>13</v>
      </c>
      <c r="D16" s="52" t="s">
        <v>45</v>
      </c>
      <c r="E16" s="51" t="s">
        <v>46</v>
      </c>
      <c r="F16" s="53" t="s">
        <v>655</v>
      </c>
      <c r="G16" s="54">
        <v>139.58000000000001</v>
      </c>
      <c r="H16" s="30"/>
      <c r="I16" s="32">
        <f>'Súpis prác+Všeobecné položky'!I16</f>
        <v>0</v>
      </c>
      <c r="J16" s="32">
        <f t="shared" si="0"/>
        <v>0</v>
      </c>
    </row>
    <row r="17" spans="2:10">
      <c r="B17" s="33"/>
      <c r="C17" s="51" t="s">
        <v>13</v>
      </c>
      <c r="D17" s="52" t="s">
        <v>127</v>
      </c>
      <c r="E17" s="51" t="s">
        <v>128</v>
      </c>
      <c r="F17" s="53" t="s">
        <v>12</v>
      </c>
      <c r="G17" s="54">
        <v>2</v>
      </c>
      <c r="H17" s="30"/>
      <c r="I17" s="32">
        <f>'Súpis prác+Všeobecné položky'!I17</f>
        <v>0</v>
      </c>
      <c r="J17" s="32">
        <f t="shared" si="0"/>
        <v>0</v>
      </c>
    </row>
    <row r="18" spans="2:10" ht="23">
      <c r="B18" s="33"/>
      <c r="C18" s="51" t="s">
        <v>13</v>
      </c>
      <c r="D18" s="52" t="s">
        <v>70</v>
      </c>
      <c r="E18" s="51" t="s">
        <v>130</v>
      </c>
      <c r="F18" s="53" t="s">
        <v>656</v>
      </c>
      <c r="G18" s="54">
        <v>2183.4499999999998</v>
      </c>
      <c r="H18" s="30"/>
      <c r="I18" s="32">
        <f>'Súpis prác+Všeobecné položky'!I18</f>
        <v>0</v>
      </c>
      <c r="J18" s="32">
        <f t="shared" si="0"/>
        <v>0</v>
      </c>
    </row>
    <row r="19" spans="2:10" ht="23">
      <c r="B19" s="33"/>
      <c r="C19" s="51" t="s">
        <v>13</v>
      </c>
      <c r="D19" s="52" t="s">
        <v>138</v>
      </c>
      <c r="E19" s="51" t="s">
        <v>139</v>
      </c>
      <c r="F19" s="53" t="s">
        <v>656</v>
      </c>
      <c r="G19" s="54">
        <v>274.04000000000002</v>
      </c>
      <c r="H19" s="30"/>
      <c r="I19" s="32">
        <f>'Súpis prác+Všeobecné položky'!I19</f>
        <v>0</v>
      </c>
      <c r="J19" s="32">
        <f t="shared" si="0"/>
        <v>0</v>
      </c>
    </row>
    <row r="20" spans="2:10" ht="23">
      <c r="B20" s="33"/>
      <c r="C20" s="51" t="s">
        <v>13</v>
      </c>
      <c r="D20" s="52" t="s">
        <v>143</v>
      </c>
      <c r="E20" s="51" t="s">
        <v>144</v>
      </c>
      <c r="F20" s="53" t="s">
        <v>656</v>
      </c>
      <c r="G20" s="54">
        <v>274.04000000000002</v>
      </c>
      <c r="H20" s="30"/>
      <c r="I20" s="32">
        <f>'Súpis prác+Všeobecné položky'!I20</f>
        <v>0</v>
      </c>
      <c r="J20" s="32">
        <f t="shared" si="0"/>
        <v>0</v>
      </c>
    </row>
    <row r="21" spans="2:10" ht="23">
      <c r="B21" s="35"/>
      <c r="C21" s="51" t="s">
        <v>13</v>
      </c>
      <c r="D21" s="52" t="s">
        <v>15</v>
      </c>
      <c r="E21" s="51" t="s">
        <v>148</v>
      </c>
      <c r="F21" s="53" t="s">
        <v>657</v>
      </c>
      <c r="G21" s="54">
        <v>409.5</v>
      </c>
      <c r="H21" s="30"/>
      <c r="I21" s="32">
        <f>'Súpis prác+Všeobecné položky'!I21</f>
        <v>0</v>
      </c>
      <c r="J21" s="32">
        <f t="shared" si="0"/>
        <v>0</v>
      </c>
    </row>
    <row r="22" spans="2:10" ht="23">
      <c r="B22" s="35"/>
      <c r="C22" s="51" t="s">
        <v>13</v>
      </c>
      <c r="D22" s="52" t="s">
        <v>155</v>
      </c>
      <c r="E22" s="51" t="s">
        <v>47</v>
      </c>
      <c r="F22" s="53" t="s">
        <v>12</v>
      </c>
      <c r="G22" s="54">
        <v>7</v>
      </c>
      <c r="H22" s="30"/>
      <c r="I22" s="32">
        <f>'Súpis prác+Všeobecné položky'!I22</f>
        <v>0</v>
      </c>
      <c r="J22" s="32">
        <f t="shared" si="0"/>
        <v>0</v>
      </c>
    </row>
    <row r="23" spans="2:10">
      <c r="B23" s="33"/>
      <c r="C23" s="51" t="s">
        <v>13</v>
      </c>
      <c r="D23" s="52" t="s">
        <v>17</v>
      </c>
      <c r="E23" s="51" t="s">
        <v>1</v>
      </c>
      <c r="F23" s="53" t="s">
        <v>654</v>
      </c>
      <c r="G23" s="54">
        <v>1638.47</v>
      </c>
      <c r="H23" s="30"/>
      <c r="I23" s="32">
        <f>'Súpis prác+Všeobecné položky'!I23</f>
        <v>0</v>
      </c>
      <c r="J23" s="32">
        <f t="shared" si="0"/>
        <v>0</v>
      </c>
    </row>
    <row r="24" spans="2:10" ht="23">
      <c r="B24" s="33"/>
      <c r="C24" s="51" t="s">
        <v>13</v>
      </c>
      <c r="D24" s="52" t="s">
        <v>68</v>
      </c>
      <c r="E24" s="51" t="s">
        <v>69</v>
      </c>
      <c r="F24" s="53" t="s">
        <v>164</v>
      </c>
      <c r="G24" s="54">
        <v>96.06</v>
      </c>
      <c r="H24" s="30"/>
      <c r="I24" s="32">
        <f>'Súpis prác+Všeobecné položky'!I24</f>
        <v>0</v>
      </c>
      <c r="J24" s="32">
        <f t="shared" si="0"/>
        <v>0</v>
      </c>
    </row>
    <row r="25" spans="2:10">
      <c r="B25" s="33"/>
      <c r="C25" s="51" t="s">
        <v>13</v>
      </c>
      <c r="D25" s="52" t="s">
        <v>32</v>
      </c>
      <c r="E25" s="51" t="s">
        <v>33</v>
      </c>
      <c r="F25" s="53" t="s">
        <v>657</v>
      </c>
      <c r="G25" s="54">
        <v>712.98</v>
      </c>
      <c r="H25" s="30"/>
      <c r="I25" s="32">
        <f>'Súpis prác+Všeobecné položky'!I25</f>
        <v>0</v>
      </c>
      <c r="J25" s="32">
        <f t="shared" si="0"/>
        <v>0</v>
      </c>
    </row>
    <row r="26" spans="2:10">
      <c r="B26" s="33"/>
      <c r="C26" s="51" t="s">
        <v>13</v>
      </c>
      <c r="D26" s="52" t="s">
        <v>48</v>
      </c>
      <c r="E26" s="51" t="s">
        <v>49</v>
      </c>
      <c r="F26" s="53" t="s">
        <v>12</v>
      </c>
      <c r="G26" s="54">
        <v>65</v>
      </c>
      <c r="H26" s="30"/>
      <c r="I26" s="32">
        <f>'Súpis prác+Všeobecné položky'!I26</f>
        <v>0</v>
      </c>
      <c r="J26" s="32">
        <f t="shared" si="0"/>
        <v>0</v>
      </c>
    </row>
    <row r="27" spans="2:10">
      <c r="B27" s="33"/>
      <c r="C27" s="51" t="s">
        <v>13</v>
      </c>
      <c r="D27" s="52" t="s">
        <v>22</v>
      </c>
      <c r="E27" s="51" t="s">
        <v>23</v>
      </c>
      <c r="F27" s="53" t="s">
        <v>656</v>
      </c>
      <c r="G27" s="54">
        <v>3529.94</v>
      </c>
      <c r="H27" s="30"/>
      <c r="I27" s="32">
        <f>'Súpis prác+Všeobecné položky'!I27</f>
        <v>0</v>
      </c>
      <c r="J27" s="32">
        <f t="shared" si="0"/>
        <v>0</v>
      </c>
    </row>
    <row r="28" spans="2:10">
      <c r="B28" s="33"/>
      <c r="C28" s="51" t="s">
        <v>640</v>
      </c>
      <c r="D28" s="52" t="s">
        <v>192</v>
      </c>
      <c r="E28" s="51" t="s">
        <v>193</v>
      </c>
      <c r="F28" s="53" t="s">
        <v>656</v>
      </c>
      <c r="G28" s="54">
        <v>1548.69</v>
      </c>
      <c r="H28" s="30"/>
      <c r="I28" s="32">
        <f>'Súpis prác+Všeobecné položky'!I28</f>
        <v>0</v>
      </c>
      <c r="J28" s="32">
        <f t="shared" si="0"/>
        <v>0</v>
      </c>
    </row>
    <row r="29" spans="2:10">
      <c r="B29" s="33"/>
      <c r="C29" s="51" t="s">
        <v>640</v>
      </c>
      <c r="D29" s="52" t="s">
        <v>197</v>
      </c>
      <c r="E29" s="51" t="s">
        <v>198</v>
      </c>
      <c r="F29" s="53" t="s">
        <v>656</v>
      </c>
      <c r="G29" s="54">
        <v>217.5</v>
      </c>
      <c r="H29" s="30"/>
      <c r="I29" s="32">
        <f>'Súpis prác+Všeobecné položky'!I29</f>
        <v>0</v>
      </c>
      <c r="J29" s="32">
        <f t="shared" si="0"/>
        <v>0</v>
      </c>
    </row>
    <row r="30" spans="2:10">
      <c r="B30" s="33"/>
      <c r="C30" s="51" t="s">
        <v>640</v>
      </c>
      <c r="D30" s="52" t="s">
        <v>202</v>
      </c>
      <c r="E30" s="51" t="s">
        <v>203</v>
      </c>
      <c r="F30" s="53" t="s">
        <v>655</v>
      </c>
      <c r="G30" s="54">
        <v>263.62</v>
      </c>
      <c r="H30" s="30"/>
      <c r="I30" s="32">
        <f>'Súpis prác+Všeobecné položky'!I30</f>
        <v>0</v>
      </c>
      <c r="J30" s="32">
        <f t="shared" si="0"/>
        <v>0</v>
      </c>
    </row>
    <row r="31" spans="2:10">
      <c r="B31" s="33"/>
      <c r="C31" s="51" t="s">
        <v>641</v>
      </c>
      <c r="D31" s="52" t="s">
        <v>211</v>
      </c>
      <c r="E31" s="51" t="s">
        <v>212</v>
      </c>
      <c r="F31" s="53" t="s">
        <v>655</v>
      </c>
      <c r="G31" s="54">
        <v>17.440000000000001</v>
      </c>
      <c r="H31" s="30"/>
      <c r="I31" s="32">
        <f>'Súpis prác+Všeobecné položky'!I31</f>
        <v>0</v>
      </c>
      <c r="J31" s="32">
        <f t="shared" si="0"/>
        <v>0</v>
      </c>
    </row>
    <row r="32" spans="2:10">
      <c r="B32" s="33"/>
      <c r="C32" s="51" t="s">
        <v>641</v>
      </c>
      <c r="D32" s="52" t="s">
        <v>215</v>
      </c>
      <c r="E32" s="51" t="s">
        <v>216</v>
      </c>
      <c r="F32" s="53" t="s">
        <v>655</v>
      </c>
      <c r="G32" s="54">
        <v>382.91</v>
      </c>
      <c r="H32" s="30"/>
      <c r="I32" s="32">
        <f>'Súpis prác+Všeobecné položky'!I32</f>
        <v>0</v>
      </c>
      <c r="J32" s="32">
        <f t="shared" si="0"/>
        <v>0</v>
      </c>
    </row>
    <row r="33" spans="2:10">
      <c r="B33" s="33"/>
      <c r="C33" s="51" t="s">
        <v>641</v>
      </c>
      <c r="D33" s="52" t="s">
        <v>224</v>
      </c>
      <c r="E33" s="51" t="s">
        <v>225</v>
      </c>
      <c r="F33" s="53" t="s">
        <v>655</v>
      </c>
      <c r="G33" s="54">
        <v>14.49</v>
      </c>
      <c r="H33" s="30"/>
      <c r="I33" s="32">
        <f>'Súpis prác+Všeobecné položky'!I33</f>
        <v>0</v>
      </c>
      <c r="J33" s="32">
        <f t="shared" si="0"/>
        <v>0</v>
      </c>
    </row>
    <row r="34" spans="2:10">
      <c r="B34" s="33"/>
      <c r="C34" s="51" t="s">
        <v>641</v>
      </c>
      <c r="D34" s="52" t="s">
        <v>228</v>
      </c>
      <c r="E34" s="51" t="s">
        <v>229</v>
      </c>
      <c r="F34" s="53" t="s">
        <v>655</v>
      </c>
      <c r="G34" s="54">
        <v>188.87</v>
      </c>
      <c r="H34" s="30"/>
      <c r="I34" s="32">
        <f>'Súpis prác+Všeobecné položky'!I34</f>
        <v>0</v>
      </c>
      <c r="J34" s="32">
        <f t="shared" si="0"/>
        <v>0</v>
      </c>
    </row>
    <row r="35" spans="2:10">
      <c r="B35" s="33"/>
      <c r="C35" s="51" t="s">
        <v>238</v>
      </c>
      <c r="D35" s="52" t="s">
        <v>240</v>
      </c>
      <c r="E35" s="51" t="s">
        <v>241</v>
      </c>
      <c r="F35" s="53" t="s">
        <v>655</v>
      </c>
      <c r="G35" s="54">
        <v>389.18</v>
      </c>
      <c r="H35" s="30"/>
      <c r="I35" s="32">
        <f>'Súpis prác+Všeobecné položky'!I35</f>
        <v>0</v>
      </c>
      <c r="J35" s="32">
        <f t="shared" si="0"/>
        <v>0</v>
      </c>
    </row>
    <row r="36" spans="2:10">
      <c r="B36" s="33"/>
      <c r="C36" s="51" t="s">
        <v>238</v>
      </c>
      <c r="D36" s="52" t="s">
        <v>245</v>
      </c>
      <c r="E36" s="51" t="s">
        <v>246</v>
      </c>
      <c r="F36" s="53" t="s">
        <v>655</v>
      </c>
      <c r="G36" s="54">
        <v>22.33</v>
      </c>
      <c r="H36" s="30"/>
      <c r="I36" s="32">
        <f>'Súpis prác+Všeobecné položky'!I36</f>
        <v>0</v>
      </c>
      <c r="J36" s="32">
        <f t="shared" si="0"/>
        <v>0</v>
      </c>
    </row>
    <row r="37" spans="2:10">
      <c r="B37" s="33"/>
      <c r="C37" s="51" t="s">
        <v>238</v>
      </c>
      <c r="D37" s="52" t="s">
        <v>202</v>
      </c>
      <c r="E37" s="51" t="s">
        <v>203</v>
      </c>
      <c r="F37" s="53" t="s">
        <v>655</v>
      </c>
      <c r="G37" s="54">
        <v>389.18</v>
      </c>
      <c r="H37" s="30"/>
      <c r="I37" s="32">
        <f>'Súpis prác+Všeobecné položky'!I37</f>
        <v>0</v>
      </c>
      <c r="J37" s="32">
        <f t="shared" si="0"/>
        <v>0</v>
      </c>
    </row>
    <row r="38" spans="2:10">
      <c r="B38" s="33"/>
      <c r="C38" s="51" t="s">
        <v>238</v>
      </c>
      <c r="D38" s="52" t="s">
        <v>255</v>
      </c>
      <c r="E38" s="51" t="s">
        <v>256</v>
      </c>
      <c r="F38" s="53" t="s">
        <v>655</v>
      </c>
      <c r="G38" s="54">
        <v>11.16</v>
      </c>
      <c r="H38" s="30"/>
      <c r="I38" s="32">
        <f>'Súpis prác+Všeobecné položky'!I38</f>
        <v>0</v>
      </c>
      <c r="J38" s="32">
        <f t="shared" si="0"/>
        <v>0</v>
      </c>
    </row>
    <row r="39" spans="2:10">
      <c r="B39" s="33"/>
      <c r="C39" s="51" t="s">
        <v>81</v>
      </c>
      <c r="D39" s="52" t="s">
        <v>259</v>
      </c>
      <c r="E39" s="51" t="s">
        <v>260</v>
      </c>
      <c r="F39" s="53" t="s">
        <v>655</v>
      </c>
      <c r="G39" s="54">
        <v>25.33</v>
      </c>
      <c r="H39" s="30"/>
      <c r="I39" s="32">
        <f>'Súpis prác+Všeobecné položky'!I39</f>
        <v>0</v>
      </c>
      <c r="J39" s="32">
        <f t="shared" si="0"/>
        <v>0</v>
      </c>
    </row>
    <row r="40" spans="2:10">
      <c r="B40" s="33"/>
      <c r="C40" s="51" t="s">
        <v>81</v>
      </c>
      <c r="D40" s="52" t="s">
        <v>267</v>
      </c>
      <c r="E40" s="51" t="s">
        <v>268</v>
      </c>
      <c r="F40" s="53" t="s">
        <v>655</v>
      </c>
      <c r="G40" s="54">
        <v>3.28</v>
      </c>
      <c r="H40" s="30"/>
      <c r="I40" s="32">
        <f>'Súpis prác+Všeobecné položky'!I40</f>
        <v>0</v>
      </c>
      <c r="J40" s="32">
        <f t="shared" si="0"/>
        <v>0</v>
      </c>
    </row>
    <row r="41" spans="2:10">
      <c r="B41" s="33"/>
      <c r="C41" s="51" t="s">
        <v>81</v>
      </c>
      <c r="D41" s="52" t="s">
        <v>272</v>
      </c>
      <c r="E41" s="51" t="s">
        <v>273</v>
      </c>
      <c r="F41" s="53" t="s">
        <v>655</v>
      </c>
      <c r="G41" s="54">
        <v>15.82</v>
      </c>
      <c r="H41" s="30"/>
      <c r="I41" s="32">
        <f>'Súpis prác+Všeobecné položky'!I41</f>
        <v>0</v>
      </c>
      <c r="J41" s="32">
        <f t="shared" si="0"/>
        <v>0</v>
      </c>
    </row>
    <row r="42" spans="2:10">
      <c r="B42" s="33"/>
      <c r="C42" s="51" t="s">
        <v>81</v>
      </c>
      <c r="D42" s="52" t="s">
        <v>281</v>
      </c>
      <c r="E42" s="51" t="s">
        <v>282</v>
      </c>
      <c r="F42" s="53" t="s">
        <v>656</v>
      </c>
      <c r="G42" s="54">
        <v>83</v>
      </c>
      <c r="H42" s="30"/>
      <c r="I42" s="32">
        <f>'Súpis prác+Všeobecné položky'!I42</f>
        <v>0</v>
      </c>
      <c r="J42" s="32">
        <f t="shared" si="0"/>
        <v>0</v>
      </c>
    </row>
    <row r="43" spans="2:10">
      <c r="B43" s="33"/>
      <c r="C43" s="51" t="s">
        <v>81</v>
      </c>
      <c r="D43" s="52" t="s">
        <v>288</v>
      </c>
      <c r="E43" s="51" t="s">
        <v>289</v>
      </c>
      <c r="F43" s="53" t="s">
        <v>654</v>
      </c>
      <c r="G43" s="54">
        <v>2.39</v>
      </c>
      <c r="H43" s="30"/>
      <c r="I43" s="32">
        <f>'Súpis prác+Všeobecné položky'!I43</f>
        <v>0</v>
      </c>
      <c r="J43" s="32">
        <f t="shared" si="0"/>
        <v>0</v>
      </c>
    </row>
    <row r="44" spans="2:10">
      <c r="B44" s="33"/>
      <c r="C44" s="51" t="s">
        <v>81</v>
      </c>
      <c r="D44" s="52" t="s">
        <v>50</v>
      </c>
      <c r="E44" s="51" t="s">
        <v>51</v>
      </c>
      <c r="F44" s="53" t="s">
        <v>655</v>
      </c>
      <c r="G44" s="54">
        <v>41.81</v>
      </c>
      <c r="H44" s="30"/>
      <c r="I44" s="32">
        <f>'Súpis prác+Všeobecné položky'!I44</f>
        <v>0</v>
      </c>
      <c r="J44" s="32">
        <f t="shared" si="0"/>
        <v>0</v>
      </c>
    </row>
    <row r="45" spans="2:10">
      <c r="B45" s="33"/>
      <c r="C45" s="51" t="s">
        <v>81</v>
      </c>
      <c r="D45" s="52" t="s">
        <v>34</v>
      </c>
      <c r="E45" s="51" t="s">
        <v>35</v>
      </c>
      <c r="F45" s="53" t="s">
        <v>656</v>
      </c>
      <c r="G45" s="54">
        <v>33.020000000000003</v>
      </c>
      <c r="H45" s="30"/>
      <c r="I45" s="32">
        <f>'Súpis prác+Všeobecné položky'!I45</f>
        <v>0</v>
      </c>
      <c r="J45" s="32">
        <f t="shared" si="0"/>
        <v>0</v>
      </c>
    </row>
    <row r="46" spans="2:10">
      <c r="B46" s="33"/>
      <c r="C46" s="51" t="s">
        <v>81</v>
      </c>
      <c r="D46" s="52" t="s">
        <v>52</v>
      </c>
      <c r="E46" s="51" t="s">
        <v>53</v>
      </c>
      <c r="F46" s="53" t="s">
        <v>654</v>
      </c>
      <c r="G46" s="54">
        <v>6.4</v>
      </c>
      <c r="H46" s="30"/>
      <c r="I46" s="32">
        <f>'Súpis prác+Všeobecné položky'!I46</f>
        <v>0</v>
      </c>
      <c r="J46" s="32">
        <f t="shared" si="0"/>
        <v>0</v>
      </c>
    </row>
    <row r="47" spans="2:10" ht="23">
      <c r="B47" s="33"/>
      <c r="C47" s="51" t="s">
        <v>81</v>
      </c>
      <c r="D47" s="52" t="s">
        <v>309</v>
      </c>
      <c r="E47" s="51" t="s">
        <v>642</v>
      </c>
      <c r="F47" s="53" t="s">
        <v>655</v>
      </c>
      <c r="G47" s="54">
        <v>57.92</v>
      </c>
      <c r="H47" s="30"/>
      <c r="I47" s="32">
        <f>'Súpis prác+Všeobecné položky'!I47</f>
        <v>0</v>
      </c>
      <c r="J47" s="32">
        <f t="shared" si="0"/>
        <v>0</v>
      </c>
    </row>
    <row r="48" spans="2:10" ht="23">
      <c r="B48" s="33"/>
      <c r="C48" s="51" t="s">
        <v>81</v>
      </c>
      <c r="D48" s="52" t="s">
        <v>313</v>
      </c>
      <c r="E48" s="51" t="s">
        <v>314</v>
      </c>
      <c r="F48" s="53" t="s">
        <v>656</v>
      </c>
      <c r="G48" s="54">
        <v>24.84</v>
      </c>
      <c r="H48" s="30"/>
      <c r="I48" s="32">
        <f>'Súpis prác+Všeobecné položky'!I48</f>
        <v>0</v>
      </c>
      <c r="J48" s="32">
        <f t="shared" si="0"/>
        <v>0</v>
      </c>
    </row>
    <row r="49" spans="2:10" ht="23">
      <c r="B49" s="33"/>
      <c r="C49" s="51" t="s">
        <v>81</v>
      </c>
      <c r="D49" s="52" t="s">
        <v>317</v>
      </c>
      <c r="E49" s="51" t="s">
        <v>318</v>
      </c>
      <c r="F49" s="53" t="s">
        <v>654</v>
      </c>
      <c r="G49" s="54">
        <v>11.57</v>
      </c>
      <c r="H49" s="30"/>
      <c r="I49" s="32">
        <f>'Súpis prác+Všeobecné položky'!I49</f>
        <v>0</v>
      </c>
      <c r="J49" s="32">
        <f t="shared" si="0"/>
        <v>0</v>
      </c>
    </row>
    <row r="50" spans="2:10" ht="23">
      <c r="B50" s="33"/>
      <c r="C50" s="51" t="s">
        <v>81</v>
      </c>
      <c r="D50" s="52" t="s">
        <v>321</v>
      </c>
      <c r="E50" s="51" t="s">
        <v>322</v>
      </c>
      <c r="F50" s="53" t="s">
        <v>655</v>
      </c>
      <c r="G50" s="54">
        <v>149.12</v>
      </c>
      <c r="H50" s="30"/>
      <c r="I50" s="32">
        <f>'Súpis prác+Všeobecné položky'!I50</f>
        <v>0</v>
      </c>
      <c r="J50" s="32">
        <f t="shared" si="0"/>
        <v>0</v>
      </c>
    </row>
    <row r="51" spans="2:10" ht="23">
      <c r="B51" s="33"/>
      <c r="C51" s="51" t="s">
        <v>81</v>
      </c>
      <c r="D51" s="52" t="s">
        <v>334</v>
      </c>
      <c r="E51" s="51" t="s">
        <v>335</v>
      </c>
      <c r="F51" s="53" t="s">
        <v>656</v>
      </c>
      <c r="G51" s="54">
        <v>33.71</v>
      </c>
      <c r="H51" s="30"/>
      <c r="I51" s="32">
        <f>'Súpis prác+Všeobecné položky'!I51</f>
        <v>0</v>
      </c>
      <c r="J51" s="32">
        <f t="shared" si="0"/>
        <v>0</v>
      </c>
    </row>
    <row r="52" spans="2:10" ht="23">
      <c r="B52" s="33"/>
      <c r="C52" s="51" t="s">
        <v>81</v>
      </c>
      <c r="D52" s="52" t="s">
        <v>341</v>
      </c>
      <c r="E52" s="51" t="s">
        <v>342</v>
      </c>
      <c r="F52" s="53" t="s">
        <v>656</v>
      </c>
      <c r="G52" s="54">
        <v>2.8</v>
      </c>
      <c r="H52" s="30"/>
      <c r="I52" s="32">
        <f>'Súpis prác+Všeobecné položky'!I52</f>
        <v>0</v>
      </c>
      <c r="J52" s="32">
        <f t="shared" si="0"/>
        <v>0</v>
      </c>
    </row>
    <row r="53" spans="2:10" ht="23">
      <c r="B53" s="33"/>
      <c r="C53" s="51" t="s">
        <v>81</v>
      </c>
      <c r="D53" s="52" t="s">
        <v>346</v>
      </c>
      <c r="E53" s="51" t="s">
        <v>347</v>
      </c>
      <c r="F53" s="53" t="s">
        <v>654</v>
      </c>
      <c r="G53" s="54">
        <v>13.02</v>
      </c>
      <c r="H53" s="30"/>
      <c r="I53" s="32">
        <f>'Súpis prác+Všeobecné položky'!I53</f>
        <v>0</v>
      </c>
      <c r="J53" s="32">
        <f t="shared" si="0"/>
        <v>0</v>
      </c>
    </row>
    <row r="54" spans="2:10">
      <c r="B54" s="33"/>
      <c r="C54" s="51" t="s">
        <v>81</v>
      </c>
      <c r="D54" s="52" t="s">
        <v>358</v>
      </c>
      <c r="E54" s="51" t="s">
        <v>359</v>
      </c>
      <c r="F54" s="53" t="s">
        <v>655</v>
      </c>
      <c r="G54" s="54">
        <v>32.159999999999997</v>
      </c>
      <c r="H54" s="30"/>
      <c r="I54" s="32">
        <f>'Súpis prác+Všeobecné položky'!I54</f>
        <v>0</v>
      </c>
      <c r="J54" s="32">
        <f t="shared" si="0"/>
        <v>0</v>
      </c>
    </row>
    <row r="55" spans="2:10">
      <c r="B55" s="33"/>
      <c r="C55" s="51" t="s">
        <v>81</v>
      </c>
      <c r="D55" s="52" t="s">
        <v>363</v>
      </c>
      <c r="E55" s="51" t="s">
        <v>20</v>
      </c>
      <c r="F55" s="53" t="s">
        <v>657</v>
      </c>
      <c r="G55" s="54">
        <v>171</v>
      </c>
      <c r="H55" s="30"/>
      <c r="I55" s="32">
        <f>'Súpis prác+Všeobecné položky'!I55</f>
        <v>0</v>
      </c>
      <c r="J55" s="32">
        <f t="shared" si="0"/>
        <v>0</v>
      </c>
    </row>
    <row r="56" spans="2:10">
      <c r="B56" s="33"/>
      <c r="C56" s="51" t="s">
        <v>81</v>
      </c>
      <c r="D56" s="52" t="s">
        <v>374</v>
      </c>
      <c r="E56" s="51" t="s">
        <v>375</v>
      </c>
      <c r="F56" s="53" t="s">
        <v>657</v>
      </c>
      <c r="G56" s="54">
        <v>126.13</v>
      </c>
      <c r="H56" s="30"/>
      <c r="I56" s="32">
        <f>'Súpis prác+Všeobecné položky'!I56</f>
        <v>0</v>
      </c>
      <c r="J56" s="32">
        <f t="shared" si="0"/>
        <v>0</v>
      </c>
    </row>
    <row r="57" spans="2:10">
      <c r="B57" s="33"/>
      <c r="C57" s="51" t="s">
        <v>81</v>
      </c>
      <c r="D57" s="52" t="s">
        <v>383</v>
      </c>
      <c r="E57" s="51" t="s">
        <v>384</v>
      </c>
      <c r="F57" s="53" t="s">
        <v>12</v>
      </c>
      <c r="G57" s="54">
        <v>17</v>
      </c>
      <c r="H57" s="30"/>
      <c r="I57" s="32">
        <f>'Súpis prác+Všeobecné položky'!I57</f>
        <v>0</v>
      </c>
      <c r="J57" s="32">
        <f t="shared" si="0"/>
        <v>0</v>
      </c>
    </row>
    <row r="58" spans="2:10">
      <c r="B58" s="33"/>
      <c r="C58" s="51" t="s">
        <v>81</v>
      </c>
      <c r="D58" s="52" t="s">
        <v>386</v>
      </c>
      <c r="E58" s="51" t="s">
        <v>387</v>
      </c>
      <c r="F58" s="53" t="s">
        <v>657</v>
      </c>
      <c r="G58" s="54">
        <v>63.3</v>
      </c>
      <c r="H58" s="30"/>
      <c r="I58" s="32">
        <f>'Súpis prác+Všeobecné položky'!I58</f>
        <v>0</v>
      </c>
      <c r="J58" s="32">
        <f t="shared" si="0"/>
        <v>0</v>
      </c>
    </row>
    <row r="59" spans="2:10" ht="23">
      <c r="B59" s="33"/>
      <c r="C59" s="51" t="s">
        <v>81</v>
      </c>
      <c r="D59" s="52" t="s">
        <v>36</v>
      </c>
      <c r="E59" s="51" t="s">
        <v>392</v>
      </c>
      <c r="F59" s="53" t="s">
        <v>657</v>
      </c>
      <c r="G59" s="54">
        <v>32.200000000000003</v>
      </c>
      <c r="H59" s="30"/>
      <c r="I59" s="32">
        <f>'Súpis prác+Všeobecné položky'!I59</f>
        <v>0</v>
      </c>
      <c r="J59" s="32">
        <f t="shared" si="0"/>
        <v>0</v>
      </c>
    </row>
    <row r="60" spans="2:10">
      <c r="B60" s="33"/>
      <c r="C60" s="51" t="s">
        <v>81</v>
      </c>
      <c r="D60" s="52" t="s">
        <v>66</v>
      </c>
      <c r="E60" s="51" t="s">
        <v>67</v>
      </c>
      <c r="F60" s="53" t="s">
        <v>656</v>
      </c>
      <c r="G60" s="54">
        <v>42.45</v>
      </c>
      <c r="H60" s="30"/>
      <c r="I60" s="32">
        <f>'Súpis prác+Všeobecné položky'!I60</f>
        <v>0</v>
      </c>
      <c r="J60" s="32">
        <f t="shared" si="0"/>
        <v>0</v>
      </c>
    </row>
    <row r="61" spans="2:10">
      <c r="B61" s="33"/>
      <c r="C61" s="51" t="s">
        <v>81</v>
      </c>
      <c r="D61" s="52" t="s">
        <v>402</v>
      </c>
      <c r="E61" s="51" t="s">
        <v>403</v>
      </c>
      <c r="F61" s="53" t="s">
        <v>656</v>
      </c>
      <c r="G61" s="54">
        <v>128.25</v>
      </c>
      <c r="H61" s="30"/>
      <c r="I61" s="32">
        <f>'Súpis prác+Všeobecné položky'!I61</f>
        <v>0</v>
      </c>
      <c r="J61" s="32">
        <f t="shared" si="0"/>
        <v>0</v>
      </c>
    </row>
    <row r="62" spans="2:10">
      <c r="B62" s="33"/>
      <c r="C62" s="51" t="s">
        <v>81</v>
      </c>
      <c r="D62" s="52" t="s">
        <v>407</v>
      </c>
      <c r="E62" s="51" t="s">
        <v>408</v>
      </c>
      <c r="F62" s="53" t="s">
        <v>12</v>
      </c>
      <c r="G62" s="54">
        <v>6</v>
      </c>
      <c r="H62" s="30"/>
      <c r="I62" s="32">
        <f>'Súpis prác+Všeobecné položky'!I62</f>
        <v>0</v>
      </c>
      <c r="J62" s="32">
        <f t="shared" si="0"/>
        <v>0</v>
      </c>
    </row>
    <row r="63" spans="2:10">
      <c r="B63" s="33"/>
      <c r="C63" s="51" t="s">
        <v>81</v>
      </c>
      <c r="D63" s="52" t="s">
        <v>414</v>
      </c>
      <c r="E63" s="51" t="s">
        <v>415</v>
      </c>
      <c r="F63" s="53" t="s">
        <v>655</v>
      </c>
      <c r="G63" s="54">
        <v>5019.42</v>
      </c>
      <c r="H63" s="30"/>
      <c r="I63" s="32">
        <f>'Súpis prác+Všeobecné položky'!I63</f>
        <v>0</v>
      </c>
      <c r="J63" s="32">
        <f t="shared" si="0"/>
        <v>0</v>
      </c>
    </row>
    <row r="64" spans="2:10">
      <c r="B64" s="33"/>
      <c r="C64" s="51" t="s">
        <v>81</v>
      </c>
      <c r="D64" s="52" t="s">
        <v>37</v>
      </c>
      <c r="E64" s="51" t="s">
        <v>38</v>
      </c>
      <c r="F64" s="53" t="s">
        <v>656</v>
      </c>
      <c r="G64" s="54">
        <v>79.78</v>
      </c>
      <c r="H64" s="30"/>
      <c r="I64" s="32">
        <f>'Súpis prác+Všeobecné položky'!I64</f>
        <v>0</v>
      </c>
      <c r="J64" s="32">
        <f t="shared" si="0"/>
        <v>0</v>
      </c>
    </row>
    <row r="65" spans="2:10">
      <c r="B65" s="33"/>
      <c r="C65" s="51" t="s">
        <v>421</v>
      </c>
      <c r="D65" s="52" t="s">
        <v>423</v>
      </c>
      <c r="E65" s="51" t="s">
        <v>424</v>
      </c>
      <c r="F65" s="53" t="s">
        <v>655</v>
      </c>
      <c r="G65" s="54">
        <v>0.83</v>
      </c>
      <c r="H65" s="30"/>
      <c r="I65" s="32">
        <f>'Súpis prác+Všeobecné položky'!I65</f>
        <v>0</v>
      </c>
      <c r="J65" s="32">
        <f t="shared" si="0"/>
        <v>0</v>
      </c>
    </row>
    <row r="66" spans="2:10">
      <c r="B66" s="33"/>
      <c r="C66" s="51" t="s">
        <v>425</v>
      </c>
      <c r="D66" s="52" t="s">
        <v>427</v>
      </c>
      <c r="E66" s="51" t="s">
        <v>428</v>
      </c>
      <c r="F66" s="53" t="s">
        <v>12</v>
      </c>
      <c r="G66" s="54">
        <v>4</v>
      </c>
      <c r="H66" s="30"/>
      <c r="I66" s="32">
        <f>'Súpis prác+Všeobecné položky'!I66</f>
        <v>0</v>
      </c>
      <c r="J66" s="32">
        <f t="shared" si="0"/>
        <v>0</v>
      </c>
    </row>
    <row r="67" spans="2:10">
      <c r="B67" s="33"/>
      <c r="C67" s="51" t="s">
        <v>425</v>
      </c>
      <c r="D67" s="52" t="s">
        <v>431</v>
      </c>
      <c r="E67" s="51" t="s">
        <v>432</v>
      </c>
      <c r="F67" s="53" t="s">
        <v>12</v>
      </c>
      <c r="G67" s="54">
        <v>2</v>
      </c>
      <c r="H67" s="30"/>
      <c r="I67" s="32">
        <f>'Súpis prác+Všeobecné položky'!I67</f>
        <v>0</v>
      </c>
      <c r="J67" s="32">
        <f t="shared" si="0"/>
        <v>0</v>
      </c>
    </row>
    <row r="68" spans="2:10">
      <c r="B68" s="33"/>
      <c r="C68" s="51" t="s">
        <v>425</v>
      </c>
      <c r="D68" s="52" t="s">
        <v>436</v>
      </c>
      <c r="E68" s="51" t="s">
        <v>437</v>
      </c>
      <c r="F68" s="53" t="s">
        <v>12</v>
      </c>
      <c r="G68" s="54">
        <v>2</v>
      </c>
      <c r="H68" s="30"/>
      <c r="I68" s="32">
        <f>'Súpis prác+Všeobecné položky'!I68</f>
        <v>0</v>
      </c>
      <c r="J68" s="32">
        <f t="shared" si="0"/>
        <v>0</v>
      </c>
    </row>
    <row r="69" spans="2:10" ht="23">
      <c r="B69" s="33"/>
      <c r="C69" s="51" t="s">
        <v>84</v>
      </c>
      <c r="D69" s="52" t="s">
        <v>21</v>
      </c>
      <c r="E69" s="51" t="s">
        <v>78</v>
      </c>
      <c r="F69" s="53" t="s">
        <v>656</v>
      </c>
      <c r="G69" s="54">
        <v>3292.67</v>
      </c>
      <c r="H69" s="30"/>
      <c r="I69" s="32">
        <f>'Súpis prác+Všeobecné položky'!I69</f>
        <v>0</v>
      </c>
      <c r="J69" s="32">
        <f t="shared" ref="J69:J105" si="1">ROUND(ROUND(I69,2)*G69,2)</f>
        <v>0</v>
      </c>
    </row>
    <row r="70" spans="2:10" ht="23">
      <c r="B70" s="33"/>
      <c r="C70" s="51" t="s">
        <v>84</v>
      </c>
      <c r="D70" s="52" t="s">
        <v>42</v>
      </c>
      <c r="E70" s="51" t="s">
        <v>444</v>
      </c>
      <c r="F70" s="53" t="s">
        <v>656</v>
      </c>
      <c r="G70" s="54">
        <v>3239.9</v>
      </c>
      <c r="H70" s="30"/>
      <c r="I70" s="32">
        <f>'Súpis prác+Všeobecné položky'!I70</f>
        <v>0</v>
      </c>
      <c r="J70" s="32">
        <f t="shared" si="1"/>
        <v>0</v>
      </c>
    </row>
    <row r="71" spans="2:10" ht="23">
      <c r="B71" s="33"/>
      <c r="C71" s="51" t="s">
        <v>84</v>
      </c>
      <c r="D71" s="52" t="s">
        <v>25</v>
      </c>
      <c r="E71" s="51" t="s">
        <v>26</v>
      </c>
      <c r="F71" s="53" t="s">
        <v>655</v>
      </c>
      <c r="G71" s="54">
        <v>16.440000000000001</v>
      </c>
      <c r="H71" s="30"/>
      <c r="I71" s="32">
        <f>'Súpis prác+Všeobecné položky'!I71</f>
        <v>0</v>
      </c>
      <c r="J71" s="32">
        <f t="shared" si="1"/>
        <v>0</v>
      </c>
    </row>
    <row r="72" spans="2:10" ht="23">
      <c r="B72" s="33"/>
      <c r="C72" s="51" t="s">
        <v>84</v>
      </c>
      <c r="D72" s="52" t="s">
        <v>451</v>
      </c>
      <c r="E72" s="51" t="s">
        <v>452</v>
      </c>
      <c r="F72" s="53" t="s">
        <v>655</v>
      </c>
      <c r="G72" s="54">
        <v>421.67</v>
      </c>
      <c r="H72" s="30"/>
      <c r="I72" s="32">
        <f>'Súpis prác+Všeobecné položky'!I72</f>
        <v>0</v>
      </c>
      <c r="J72" s="32">
        <f t="shared" si="1"/>
        <v>0</v>
      </c>
    </row>
    <row r="73" spans="2:10" ht="23">
      <c r="B73" s="33"/>
      <c r="C73" s="51" t="s">
        <v>84</v>
      </c>
      <c r="D73" s="52" t="s">
        <v>39</v>
      </c>
      <c r="E73" s="51" t="s">
        <v>40</v>
      </c>
      <c r="F73" s="53" t="s">
        <v>655</v>
      </c>
      <c r="G73" s="54">
        <v>0.94</v>
      </c>
      <c r="H73" s="30"/>
      <c r="I73" s="32">
        <f>'Súpis prác+Všeobecné položky'!I73</f>
        <v>0</v>
      </c>
      <c r="J73" s="32">
        <f t="shared" si="1"/>
        <v>0</v>
      </c>
    </row>
    <row r="74" spans="2:10">
      <c r="B74" s="33"/>
      <c r="C74" s="51" t="s">
        <v>84</v>
      </c>
      <c r="D74" s="52" t="s">
        <v>460</v>
      </c>
      <c r="E74" s="51" t="s">
        <v>461</v>
      </c>
      <c r="F74" s="53" t="s">
        <v>655</v>
      </c>
      <c r="G74" s="54">
        <v>36.35</v>
      </c>
      <c r="H74" s="30"/>
      <c r="I74" s="32">
        <f>'Súpis prác+Všeobecné položky'!I74</f>
        <v>0</v>
      </c>
      <c r="J74" s="32">
        <f t="shared" si="1"/>
        <v>0</v>
      </c>
    </row>
    <row r="75" spans="2:10" ht="23">
      <c r="B75" s="33"/>
      <c r="C75" s="51" t="s">
        <v>84</v>
      </c>
      <c r="D75" s="52" t="s">
        <v>91</v>
      </c>
      <c r="E75" s="51" t="s">
        <v>465</v>
      </c>
      <c r="F75" s="53" t="s">
        <v>657</v>
      </c>
      <c r="G75" s="54">
        <v>638.70000000000005</v>
      </c>
      <c r="H75" s="30"/>
      <c r="I75" s="32">
        <f>'Súpis prác+Všeobecné položky'!I75</f>
        <v>0</v>
      </c>
      <c r="J75" s="32">
        <f t="shared" si="1"/>
        <v>0</v>
      </c>
    </row>
    <row r="76" spans="2:10">
      <c r="B76" s="33"/>
      <c r="C76" s="51" t="s">
        <v>84</v>
      </c>
      <c r="D76" s="52" t="s">
        <v>475</v>
      </c>
      <c r="E76" s="51" t="s">
        <v>476</v>
      </c>
      <c r="F76" s="53" t="s">
        <v>657</v>
      </c>
      <c r="G76" s="54">
        <v>20</v>
      </c>
      <c r="H76" s="30"/>
      <c r="I76" s="32">
        <f>'Súpis prác+Všeobecné položky'!I76</f>
        <v>0</v>
      </c>
      <c r="J76" s="32">
        <f t="shared" si="1"/>
        <v>0</v>
      </c>
    </row>
    <row r="77" spans="2:10">
      <c r="B77" s="33"/>
      <c r="C77" s="51" t="s">
        <v>84</v>
      </c>
      <c r="D77" s="52" t="s">
        <v>481</v>
      </c>
      <c r="E77" s="51" t="s">
        <v>482</v>
      </c>
      <c r="F77" s="53" t="s">
        <v>12</v>
      </c>
      <c r="G77" s="54">
        <v>20</v>
      </c>
      <c r="H77" s="30"/>
      <c r="I77" s="32">
        <f>'Súpis prác+Všeobecné položky'!I77</f>
        <v>0</v>
      </c>
      <c r="J77" s="32">
        <f t="shared" si="1"/>
        <v>0</v>
      </c>
    </row>
    <row r="78" spans="2:10" ht="23">
      <c r="B78" s="33"/>
      <c r="C78" s="51" t="s">
        <v>84</v>
      </c>
      <c r="D78" s="52" t="s">
        <v>485</v>
      </c>
      <c r="E78" s="51" t="s">
        <v>486</v>
      </c>
      <c r="F78" s="53" t="s">
        <v>12</v>
      </c>
      <c r="G78" s="54">
        <v>22</v>
      </c>
      <c r="H78" s="30"/>
      <c r="I78" s="32">
        <f>'Súpis prác+Všeobecné položky'!I78</f>
        <v>0</v>
      </c>
      <c r="J78" s="32">
        <f t="shared" si="1"/>
        <v>0</v>
      </c>
    </row>
    <row r="79" spans="2:10" ht="23">
      <c r="B79" s="33"/>
      <c r="C79" s="51" t="s">
        <v>84</v>
      </c>
      <c r="D79" s="52" t="s">
        <v>64</v>
      </c>
      <c r="E79" s="51" t="s">
        <v>490</v>
      </c>
      <c r="F79" s="53" t="s">
        <v>12</v>
      </c>
      <c r="G79" s="54">
        <v>11</v>
      </c>
      <c r="H79" s="30"/>
      <c r="I79" s="32">
        <f>'Súpis prác+Všeobecné položky'!I79</f>
        <v>0</v>
      </c>
      <c r="J79" s="32">
        <f t="shared" si="1"/>
        <v>0</v>
      </c>
    </row>
    <row r="80" spans="2:10">
      <c r="B80" s="33"/>
      <c r="C80" s="51" t="s">
        <v>84</v>
      </c>
      <c r="D80" s="52" t="s">
        <v>495</v>
      </c>
      <c r="E80" s="51" t="s">
        <v>496</v>
      </c>
      <c r="F80" s="53" t="s">
        <v>657</v>
      </c>
      <c r="G80" s="54">
        <v>25</v>
      </c>
      <c r="H80" s="30"/>
      <c r="I80" s="32">
        <f>'Súpis prác+Všeobecné položky'!I80</f>
        <v>0</v>
      </c>
      <c r="J80" s="32">
        <f t="shared" si="1"/>
        <v>0</v>
      </c>
    </row>
    <row r="81" spans="2:10">
      <c r="B81" s="33"/>
      <c r="C81" s="51" t="s">
        <v>84</v>
      </c>
      <c r="D81" s="52" t="s">
        <v>500</v>
      </c>
      <c r="E81" s="51" t="s">
        <v>501</v>
      </c>
      <c r="F81" s="53" t="s">
        <v>657</v>
      </c>
      <c r="G81" s="54">
        <v>71.72</v>
      </c>
      <c r="I81" s="32">
        <f>'Súpis prác+Všeobecné položky'!I81</f>
        <v>0</v>
      </c>
      <c r="J81" s="32">
        <f t="shared" si="1"/>
        <v>0</v>
      </c>
    </row>
    <row r="82" spans="2:10">
      <c r="B82" s="33"/>
      <c r="C82" s="51" t="s">
        <v>506</v>
      </c>
      <c r="D82" s="52" t="s">
        <v>508</v>
      </c>
      <c r="E82" s="51" t="s">
        <v>509</v>
      </c>
      <c r="F82" s="53" t="s">
        <v>655</v>
      </c>
      <c r="G82" s="54">
        <v>42.19</v>
      </c>
      <c r="I82" s="32">
        <f>'Súpis prác+Všeobecné položky'!I82</f>
        <v>0</v>
      </c>
      <c r="J82" s="32">
        <f t="shared" si="1"/>
        <v>0</v>
      </c>
    </row>
    <row r="83" spans="2:10" ht="23">
      <c r="B83" s="33"/>
      <c r="C83" s="51" t="s">
        <v>506</v>
      </c>
      <c r="D83" s="52" t="s">
        <v>511</v>
      </c>
      <c r="E83" s="51" t="s">
        <v>512</v>
      </c>
      <c r="F83" s="53" t="s">
        <v>655</v>
      </c>
      <c r="G83" s="54">
        <v>49.16</v>
      </c>
      <c r="I83" s="32">
        <f>'Súpis prác+Všeobecné položky'!I83</f>
        <v>0</v>
      </c>
      <c r="J83" s="32">
        <f t="shared" si="1"/>
        <v>0</v>
      </c>
    </row>
    <row r="84" spans="2:10" ht="23">
      <c r="B84" s="33"/>
      <c r="C84" s="51" t="s">
        <v>506</v>
      </c>
      <c r="D84" s="52" t="s">
        <v>514</v>
      </c>
      <c r="E84" s="51" t="s">
        <v>515</v>
      </c>
      <c r="F84" s="53" t="s">
        <v>656</v>
      </c>
      <c r="G84" s="54">
        <v>245.8</v>
      </c>
      <c r="I84" s="32">
        <f>'Súpis prác+Všeobecné položky'!I84</f>
        <v>0</v>
      </c>
      <c r="J84" s="32">
        <f t="shared" si="1"/>
        <v>0</v>
      </c>
    </row>
    <row r="85" spans="2:10" ht="23">
      <c r="B85" s="33"/>
      <c r="C85" s="51" t="s">
        <v>506</v>
      </c>
      <c r="D85" s="52" t="s">
        <v>519</v>
      </c>
      <c r="E85" s="51" t="s">
        <v>520</v>
      </c>
      <c r="F85" s="53" t="s">
        <v>655</v>
      </c>
      <c r="G85" s="54">
        <v>21.79</v>
      </c>
      <c r="I85" s="32">
        <f>'Súpis prác+Všeobecné položky'!I85</f>
        <v>0</v>
      </c>
      <c r="J85" s="32">
        <f t="shared" si="1"/>
        <v>0</v>
      </c>
    </row>
    <row r="86" spans="2:10">
      <c r="B86" s="33"/>
      <c r="C86" s="51" t="s">
        <v>524</v>
      </c>
      <c r="D86" s="52" t="s">
        <v>526</v>
      </c>
      <c r="E86" s="51" t="s">
        <v>527</v>
      </c>
      <c r="F86" s="53" t="s">
        <v>655</v>
      </c>
      <c r="G86" s="54">
        <v>30.17</v>
      </c>
      <c r="I86" s="32">
        <f>'Súpis prác+Všeobecné položky'!I86</f>
        <v>0</v>
      </c>
      <c r="J86" s="32">
        <f t="shared" si="1"/>
        <v>0</v>
      </c>
    </row>
    <row r="87" spans="2:10">
      <c r="B87" s="33"/>
      <c r="C87" s="51" t="s">
        <v>524</v>
      </c>
      <c r="D87" s="52" t="s">
        <v>531</v>
      </c>
      <c r="E87" s="51" t="s">
        <v>532</v>
      </c>
      <c r="F87" s="53" t="s">
        <v>656</v>
      </c>
      <c r="G87" s="54">
        <v>177.24</v>
      </c>
      <c r="I87" s="32">
        <f>'Súpis prác+Všeobecné položky'!I87</f>
        <v>0</v>
      </c>
      <c r="J87" s="32">
        <f t="shared" si="1"/>
        <v>0</v>
      </c>
    </row>
    <row r="88" spans="2:10">
      <c r="B88" s="33"/>
      <c r="C88" s="51" t="s">
        <v>524</v>
      </c>
      <c r="D88" s="52" t="s">
        <v>535</v>
      </c>
      <c r="E88" s="51" t="s">
        <v>536</v>
      </c>
      <c r="F88" s="53" t="s">
        <v>12</v>
      </c>
      <c r="G88" s="54">
        <v>2</v>
      </c>
      <c r="I88" s="32">
        <f>'Súpis prác+Všeobecné položky'!I88</f>
        <v>0</v>
      </c>
      <c r="J88" s="32">
        <f t="shared" si="1"/>
        <v>0</v>
      </c>
    </row>
    <row r="89" spans="2:10">
      <c r="B89" s="33"/>
      <c r="C89" s="51" t="s">
        <v>538</v>
      </c>
      <c r="D89" s="52" t="s">
        <v>540</v>
      </c>
      <c r="E89" s="51" t="s">
        <v>541</v>
      </c>
      <c r="F89" s="53" t="s">
        <v>656</v>
      </c>
      <c r="G89" s="54">
        <v>704.1</v>
      </c>
      <c r="I89" s="32">
        <f>'Súpis prác+Všeobecné položky'!I89</f>
        <v>0</v>
      </c>
      <c r="J89" s="32">
        <f t="shared" si="1"/>
        <v>0</v>
      </c>
    </row>
    <row r="90" spans="2:10">
      <c r="B90" s="33"/>
      <c r="C90" s="51" t="s">
        <v>538</v>
      </c>
      <c r="D90" s="52" t="s">
        <v>550</v>
      </c>
      <c r="E90" s="51" t="s">
        <v>24</v>
      </c>
      <c r="F90" s="53" t="s">
        <v>656</v>
      </c>
      <c r="G90" s="54">
        <v>1050.94</v>
      </c>
      <c r="I90" s="32">
        <f>'Súpis prác+Všeobecné položky'!I90</f>
        <v>0</v>
      </c>
      <c r="J90" s="32">
        <f t="shared" si="1"/>
        <v>0</v>
      </c>
    </row>
    <row r="91" spans="2:10">
      <c r="B91" s="33"/>
      <c r="C91" s="51" t="s">
        <v>556</v>
      </c>
      <c r="D91" s="52" t="s">
        <v>558</v>
      </c>
      <c r="E91" s="51" t="s">
        <v>559</v>
      </c>
      <c r="F91" s="53" t="s">
        <v>655</v>
      </c>
      <c r="G91" s="54">
        <v>2.0499999999999998</v>
      </c>
      <c r="I91" s="32">
        <f>'Súpis prác+Všeobecné položky'!I91</f>
        <v>0</v>
      </c>
      <c r="J91" s="32">
        <f t="shared" si="1"/>
        <v>0</v>
      </c>
    </row>
    <row r="92" spans="2:10">
      <c r="B92" s="33"/>
      <c r="C92" s="51" t="s">
        <v>556</v>
      </c>
      <c r="D92" s="52" t="s">
        <v>720</v>
      </c>
      <c r="E92" s="51" t="s">
        <v>722</v>
      </c>
      <c r="F92" s="53" t="s">
        <v>655</v>
      </c>
      <c r="G92" s="54">
        <v>5.7</v>
      </c>
      <c r="I92" s="32">
        <f>'Súpis prác+Všeobecné položky'!I92</f>
        <v>0</v>
      </c>
      <c r="J92" s="32">
        <f t="shared" si="1"/>
        <v>0</v>
      </c>
    </row>
    <row r="93" spans="2:10">
      <c r="B93" s="33"/>
      <c r="C93" s="51" t="s">
        <v>556</v>
      </c>
      <c r="D93" s="52" t="s">
        <v>718</v>
      </c>
      <c r="E93" s="51" t="s">
        <v>719</v>
      </c>
      <c r="F93" s="53" t="s">
        <v>655</v>
      </c>
      <c r="G93" s="54">
        <v>0.66</v>
      </c>
      <c r="I93" s="32">
        <f>'Súpis prác+Všeobecné položky'!I93</f>
        <v>0</v>
      </c>
      <c r="J93" s="32">
        <f t="shared" si="1"/>
        <v>0</v>
      </c>
    </row>
    <row r="94" spans="2:10">
      <c r="B94" s="33"/>
      <c r="C94" s="51" t="s">
        <v>556</v>
      </c>
      <c r="D94" s="52" t="s">
        <v>726</v>
      </c>
      <c r="E94" s="51" t="s">
        <v>727</v>
      </c>
      <c r="F94" s="53" t="s">
        <v>656</v>
      </c>
      <c r="G94" s="54">
        <v>7.26</v>
      </c>
      <c r="I94" s="32">
        <f>'Súpis prác+Všeobecné položky'!I94</f>
        <v>0</v>
      </c>
      <c r="J94" s="32">
        <f t="shared" si="1"/>
        <v>0</v>
      </c>
    </row>
    <row r="95" spans="2:10">
      <c r="B95" s="33"/>
      <c r="C95" s="51" t="s">
        <v>556</v>
      </c>
      <c r="D95" s="52" t="s">
        <v>730</v>
      </c>
      <c r="E95" s="51" t="s">
        <v>731</v>
      </c>
      <c r="F95" s="53" t="s">
        <v>654</v>
      </c>
      <c r="G95" s="54">
        <v>0.16</v>
      </c>
      <c r="I95" s="32">
        <f>'Súpis prác+Všeobecné položky'!I95</f>
        <v>0</v>
      </c>
      <c r="J95" s="32">
        <f t="shared" si="1"/>
        <v>0</v>
      </c>
    </row>
    <row r="96" spans="2:10">
      <c r="B96" s="33"/>
      <c r="C96" s="51" t="s">
        <v>563</v>
      </c>
      <c r="D96" s="52" t="s">
        <v>565</v>
      </c>
      <c r="E96" s="51" t="s">
        <v>566</v>
      </c>
      <c r="F96" s="53" t="s">
        <v>657</v>
      </c>
      <c r="G96" s="54">
        <v>10.3</v>
      </c>
      <c r="I96" s="32">
        <f>'Súpis prác+Všeobecné položky'!I96</f>
        <v>0</v>
      </c>
      <c r="J96" s="32">
        <f t="shared" si="1"/>
        <v>0</v>
      </c>
    </row>
    <row r="97" spans="2:10">
      <c r="B97" s="33"/>
      <c r="C97" s="51" t="s">
        <v>570</v>
      </c>
      <c r="D97" s="52" t="s">
        <v>572</v>
      </c>
      <c r="E97" s="51" t="s">
        <v>573</v>
      </c>
      <c r="F97" s="53" t="s">
        <v>12</v>
      </c>
      <c r="G97" s="54">
        <v>16</v>
      </c>
      <c r="I97" s="32">
        <f>'Súpis prác+Všeobecné položky'!I97</f>
        <v>0</v>
      </c>
      <c r="J97" s="32">
        <f t="shared" si="1"/>
        <v>0</v>
      </c>
    </row>
    <row r="98" spans="2:10">
      <c r="B98" s="33"/>
      <c r="C98" s="51" t="s">
        <v>570</v>
      </c>
      <c r="D98" s="52" t="s">
        <v>577</v>
      </c>
      <c r="E98" s="51" t="s">
        <v>578</v>
      </c>
      <c r="F98" s="53" t="s">
        <v>656</v>
      </c>
      <c r="G98" s="54">
        <v>108</v>
      </c>
      <c r="I98" s="32">
        <f>'Súpis prác+Všeobecné položky'!I98</f>
        <v>0</v>
      </c>
      <c r="J98" s="32">
        <f t="shared" si="1"/>
        <v>0</v>
      </c>
    </row>
    <row r="99" spans="2:10" ht="23">
      <c r="B99" s="33"/>
      <c r="C99" s="51" t="s">
        <v>85</v>
      </c>
      <c r="D99" s="52" t="s">
        <v>95</v>
      </c>
      <c r="E99" s="51" t="s">
        <v>96</v>
      </c>
      <c r="F99" s="53" t="s">
        <v>656</v>
      </c>
      <c r="G99" s="54">
        <v>1047.19</v>
      </c>
      <c r="I99" s="32">
        <f>'Súpis prác+Všeobecné položky'!I99</f>
        <v>0</v>
      </c>
      <c r="J99" s="32">
        <f t="shared" si="1"/>
        <v>0</v>
      </c>
    </row>
    <row r="100" spans="2:10" ht="23">
      <c r="B100" s="33"/>
      <c r="C100" s="51" t="s">
        <v>85</v>
      </c>
      <c r="D100" s="52" t="s">
        <v>43</v>
      </c>
      <c r="E100" s="51" t="s">
        <v>93</v>
      </c>
      <c r="F100" s="53" t="s">
        <v>656</v>
      </c>
      <c r="G100" s="54">
        <v>1095.94</v>
      </c>
      <c r="I100" s="32">
        <f>'Súpis prác+Všeobecné položky'!I100</f>
        <v>0</v>
      </c>
      <c r="J100" s="32">
        <f t="shared" si="1"/>
        <v>0</v>
      </c>
    </row>
    <row r="101" spans="2:10">
      <c r="B101" s="33"/>
      <c r="C101" s="51" t="s">
        <v>85</v>
      </c>
      <c r="D101" s="52" t="s">
        <v>589</v>
      </c>
      <c r="E101" s="51" t="s">
        <v>590</v>
      </c>
      <c r="F101" s="53" t="s">
        <v>656</v>
      </c>
      <c r="G101" s="54">
        <v>541.22</v>
      </c>
      <c r="I101" s="32">
        <f>'Súpis prác+Všeobecné položky'!I101</f>
        <v>0</v>
      </c>
      <c r="J101" s="32">
        <f t="shared" si="1"/>
        <v>0</v>
      </c>
    </row>
    <row r="102" spans="2:10" ht="23">
      <c r="B102" s="33"/>
      <c r="C102" s="51" t="s">
        <v>85</v>
      </c>
      <c r="D102" s="52" t="s">
        <v>592</v>
      </c>
      <c r="E102" s="51" t="s">
        <v>593</v>
      </c>
      <c r="F102" s="53" t="s">
        <v>656</v>
      </c>
      <c r="G102" s="54">
        <v>556.62</v>
      </c>
      <c r="I102" s="32">
        <f>'Súpis prác+Všeobecné položky'!I102</f>
        <v>0</v>
      </c>
      <c r="J102" s="32">
        <f t="shared" si="1"/>
        <v>0</v>
      </c>
    </row>
    <row r="103" spans="2:10">
      <c r="B103" s="33"/>
      <c r="C103" s="51" t="s">
        <v>87</v>
      </c>
      <c r="D103" s="52" t="s">
        <v>54</v>
      </c>
      <c r="E103" s="51" t="s">
        <v>55</v>
      </c>
      <c r="F103" s="53" t="s">
        <v>656</v>
      </c>
      <c r="G103" s="54">
        <v>948.97</v>
      </c>
      <c r="I103" s="32">
        <f>'Súpis prác+Všeobecné položky'!I103</f>
        <v>0</v>
      </c>
      <c r="J103" s="32">
        <f t="shared" si="1"/>
        <v>0</v>
      </c>
    </row>
    <row r="104" spans="2:10">
      <c r="B104" s="33"/>
      <c r="C104" s="51" t="s">
        <v>87</v>
      </c>
      <c r="D104" s="52" t="s">
        <v>56</v>
      </c>
      <c r="E104" s="51" t="s">
        <v>57</v>
      </c>
      <c r="F104" s="53" t="s">
        <v>656</v>
      </c>
      <c r="G104" s="54">
        <v>2416.65</v>
      </c>
      <c r="I104" s="32">
        <f>'Súpis prác+Všeobecné položky'!I104</f>
        <v>0</v>
      </c>
      <c r="J104" s="32">
        <f t="shared" si="1"/>
        <v>0</v>
      </c>
    </row>
    <row r="105" spans="2:10" ht="23">
      <c r="B105" s="33"/>
      <c r="C105" s="51" t="s">
        <v>87</v>
      </c>
      <c r="D105" s="52" t="s">
        <v>600</v>
      </c>
      <c r="E105" s="51" t="s">
        <v>601</v>
      </c>
      <c r="F105" s="53" t="s">
        <v>656</v>
      </c>
      <c r="G105" s="54">
        <v>2416.65</v>
      </c>
      <c r="I105" s="32">
        <f>'Súpis prác+Všeobecné položky'!I105</f>
        <v>0</v>
      </c>
      <c r="J105" s="32">
        <f t="shared" si="1"/>
        <v>0</v>
      </c>
    </row>
    <row r="106" spans="2:10">
      <c r="B106" s="56" t="s">
        <v>639</v>
      </c>
      <c r="C106" s="45"/>
      <c r="D106" s="57"/>
      <c r="E106" s="58"/>
      <c r="F106" s="46"/>
      <c r="G106" s="59"/>
      <c r="I106" s="60"/>
      <c r="J106" s="60">
        <f>SUM(J4:J105)</f>
        <v>0</v>
      </c>
    </row>
    <row r="107" spans="2:10">
      <c r="B107" s="61"/>
      <c r="C107" s="47"/>
      <c r="D107" s="57"/>
      <c r="E107" s="58"/>
      <c r="F107" s="46"/>
      <c r="G107" s="62"/>
      <c r="I107" s="63"/>
      <c r="J107" s="64"/>
    </row>
    <row r="108" spans="2:10">
      <c r="B108" s="432" t="s">
        <v>653</v>
      </c>
      <c r="C108" s="433"/>
      <c r="D108" s="433"/>
      <c r="E108" s="433"/>
      <c r="F108" s="433"/>
      <c r="G108" s="433"/>
      <c r="H108" s="434"/>
      <c r="I108" s="435"/>
      <c r="J108" s="40">
        <f>J106</f>
        <v>0</v>
      </c>
    </row>
    <row r="109" spans="2:10">
      <c r="I109" s="41" t="s">
        <v>619</v>
      </c>
      <c r="J109" s="42">
        <f>J108*0.2</f>
        <v>0</v>
      </c>
    </row>
    <row r="110" spans="2:10">
      <c r="I110" s="43" t="s">
        <v>620</v>
      </c>
      <c r="J110" s="44">
        <f>SUM(J108:J109)</f>
        <v>0</v>
      </c>
    </row>
    <row r="111" spans="2:10">
      <c r="J111" s="39"/>
    </row>
  </sheetData>
  <sheetProtection algorithmName="SHA-512" hashValue="qdiexcEMTB0gVO9qYcagWvQ01usFoM2+uX+sFMCdzXM6TqO9XsNtDrpyFVXH/uXUA+EJ1Rwh/iVu6vM66Fuo5w==" saltValue="idrduR1NYmRfRZjIxJdoGg==" spinCount="100000" sheet="1" objects="1" scenarios="1"/>
  <mergeCells count="2">
    <mergeCell ref="C3:D3"/>
    <mergeCell ref="B108:I108"/>
  </mergeCells>
  <pageMargins left="0.39370078740157483" right="0.39370078740157483" top="0.74803149606299213" bottom="0.74803149606299213" header="0.31496062992125984" footer="0.31496062992125984"/>
  <pageSetup paperSize="9" scale="88" orientation="landscape" r:id="rId1"/>
  <headerFooter>
    <oddHeader>&amp;LOPRAVA DIAĽNIČNÉHO MOSTA EV. Č. D1-073 HLOHOVEC, PRAVÝ MOST
&amp;RPríloha  č. 1 k časti B.2  (zároveň Príloha č.2 k zmluve)</oddHeader>
    <oddFooter>&amp;C&amp;P/&amp;N</oddFooter>
  </headerFooter>
  <rowBreaks count="3" manualBreakCount="3">
    <brk id="27" max="9" man="1"/>
    <brk id="57" max="9" man="1"/>
    <brk id="8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99"/>
  <sheetViews>
    <sheetView showGridLines="0" topLeftCell="A8" zoomScaleNormal="100" workbookViewId="0">
      <selection activeCell="A8" sqref="A1:XFD1048576"/>
    </sheetView>
  </sheetViews>
  <sheetFormatPr defaultColWidth="8.81640625" defaultRowHeight="13"/>
  <cols>
    <col min="1" max="1" width="4.7265625" style="72" customWidth="1"/>
    <col min="2" max="2" width="8.26953125" style="72" customWidth="1"/>
    <col min="3" max="3" width="9" style="72" customWidth="1"/>
    <col min="4" max="4" width="10.81640625" style="72" customWidth="1"/>
    <col min="5" max="5" width="57.453125" style="72" customWidth="1"/>
    <col min="6" max="6" width="9.81640625" style="426" customWidth="1"/>
    <col min="7" max="7" width="5.7265625" style="72" customWidth="1"/>
    <col min="8" max="8" width="8.7265625" style="106" customWidth="1"/>
    <col min="9" max="9" width="11.54296875" style="72" bestFit="1" customWidth="1"/>
    <col min="10" max="10" width="8.26953125" style="73" customWidth="1"/>
    <col min="11" max="11" width="9.453125" style="72" customWidth="1"/>
    <col min="12" max="12" width="11.54296875" style="72" bestFit="1" customWidth="1"/>
    <col min="13" max="13" width="15" style="72" customWidth="1"/>
    <col min="14" max="14" width="8.81640625" style="72"/>
    <col min="15" max="15" width="11.54296875" style="72" bestFit="1" customWidth="1"/>
    <col min="16" max="16384" width="8.81640625" style="72"/>
  </cols>
  <sheetData>
    <row r="1" spans="1:15">
      <c r="A1" s="65" t="s">
        <v>2</v>
      </c>
      <c r="B1" s="65"/>
      <c r="C1" s="66"/>
      <c r="D1" s="67"/>
      <c r="E1" s="68" t="s">
        <v>614</v>
      </c>
      <c r="F1" s="69"/>
      <c r="G1" s="70"/>
      <c r="H1" s="71"/>
    </row>
    <row r="2" spans="1:15" ht="13.5" thickBot="1">
      <c r="A2" s="74" t="s">
        <v>3</v>
      </c>
      <c r="B2" s="65"/>
      <c r="C2" s="66"/>
      <c r="D2" s="67"/>
      <c r="E2" s="75">
        <v>2141</v>
      </c>
      <c r="F2" s="69"/>
      <c r="G2" s="76"/>
      <c r="H2" s="77"/>
      <c r="L2" s="73"/>
    </row>
    <row r="3" spans="1:15" ht="12.5">
      <c r="A3" s="436" t="s">
        <v>4</v>
      </c>
      <c r="B3" s="437"/>
      <c r="C3" s="437"/>
      <c r="D3" s="78"/>
      <c r="E3" s="438" t="s">
        <v>5</v>
      </c>
      <c r="F3" s="439"/>
      <c r="G3" s="442" t="s">
        <v>6</v>
      </c>
      <c r="H3" s="444" t="s">
        <v>7</v>
      </c>
      <c r="L3" s="73"/>
    </row>
    <row r="4" spans="1:15" thickBot="1">
      <c r="A4" s="79" t="s">
        <v>8</v>
      </c>
      <c r="B4" s="80" t="s">
        <v>98</v>
      </c>
      <c r="C4" s="80" t="s">
        <v>9</v>
      </c>
      <c r="D4" s="80" t="s">
        <v>10</v>
      </c>
      <c r="E4" s="440"/>
      <c r="F4" s="441"/>
      <c r="G4" s="443"/>
      <c r="H4" s="445"/>
      <c r="L4" s="73"/>
      <c r="O4" s="81"/>
    </row>
    <row r="5" spans="1:15">
      <c r="A5" s="82"/>
      <c r="B5" s="83"/>
      <c r="C5" s="83"/>
      <c r="D5" s="84"/>
      <c r="E5" s="85"/>
      <c r="F5" s="86"/>
      <c r="G5" s="87"/>
      <c r="H5" s="88"/>
      <c r="L5" s="73"/>
      <c r="O5" s="89"/>
    </row>
    <row r="6" spans="1:15" s="100" customFormat="1">
      <c r="A6" s="90"/>
      <c r="B6" s="91" t="s">
        <v>0</v>
      </c>
      <c r="C6" s="92"/>
      <c r="D6" s="93"/>
      <c r="E6" s="94" t="s">
        <v>99</v>
      </c>
      <c r="F6" s="95"/>
      <c r="G6" s="96"/>
      <c r="H6" s="97"/>
      <c r="I6" s="98"/>
      <c r="J6" s="99"/>
      <c r="K6" s="98"/>
    </row>
    <row r="7" spans="1:15" s="100" customFormat="1" ht="26">
      <c r="A7" s="101">
        <f>MAX(A$1:A6)+1</f>
        <v>1</v>
      </c>
      <c r="B7" s="91"/>
      <c r="C7" s="102" t="s">
        <v>28</v>
      </c>
      <c r="D7" s="93"/>
      <c r="E7" s="103" t="s">
        <v>29</v>
      </c>
      <c r="F7" s="95"/>
      <c r="G7" s="96" t="s">
        <v>11</v>
      </c>
      <c r="H7" s="104">
        <v>1613.87</v>
      </c>
      <c r="I7" s="105"/>
      <c r="J7" s="99"/>
      <c r="K7" s="106"/>
    </row>
    <row r="8" spans="1:15" s="100" customFormat="1">
      <c r="A8" s="101"/>
      <c r="B8" s="91"/>
      <c r="C8" s="102"/>
      <c r="D8" s="93"/>
      <c r="E8" s="103"/>
      <c r="F8" s="95"/>
      <c r="G8" s="96"/>
      <c r="H8" s="104"/>
      <c r="I8" s="98"/>
      <c r="J8" s="99"/>
      <c r="K8" s="106"/>
    </row>
    <row r="9" spans="1:15" s="100" customFormat="1">
      <c r="A9" s="101">
        <f>MAX(A$1:A7)+1</f>
        <v>2</v>
      </c>
      <c r="B9" s="91"/>
      <c r="C9" s="102" t="s">
        <v>100</v>
      </c>
      <c r="D9" s="93"/>
      <c r="E9" s="103" t="s">
        <v>101</v>
      </c>
      <c r="F9" s="95"/>
      <c r="G9" s="96" t="s">
        <v>19</v>
      </c>
      <c r="H9" s="104">
        <v>389.18</v>
      </c>
      <c r="I9" s="107"/>
      <c r="J9" s="99"/>
      <c r="K9" s="98"/>
    </row>
    <row r="10" spans="1:15" s="100" customFormat="1">
      <c r="A10" s="101"/>
      <c r="B10" s="91"/>
      <c r="C10" s="102"/>
      <c r="D10" s="93"/>
      <c r="E10" s="103"/>
      <c r="F10" s="95"/>
      <c r="G10" s="96"/>
      <c r="H10" s="104"/>
      <c r="I10" s="98"/>
      <c r="J10" s="99"/>
      <c r="K10" s="98"/>
    </row>
    <row r="11" spans="1:15" s="116" customFormat="1" ht="26">
      <c r="A11" s="101">
        <f>MAX(A$1:A9)+1</f>
        <v>3</v>
      </c>
      <c r="B11" s="108"/>
      <c r="C11" s="109" t="s">
        <v>102</v>
      </c>
      <c r="D11" s="110"/>
      <c r="E11" s="103" t="s">
        <v>103</v>
      </c>
      <c r="F11" s="111"/>
      <c r="G11" s="112" t="s">
        <v>19</v>
      </c>
      <c r="H11" s="113">
        <v>263.62</v>
      </c>
      <c r="I11" s="114"/>
      <c r="J11" s="115"/>
    </row>
    <row r="12" spans="1:15" s="116" customFormat="1">
      <c r="A12" s="101"/>
      <c r="B12" s="108"/>
      <c r="C12" s="109"/>
      <c r="D12" s="110"/>
      <c r="E12" s="103"/>
      <c r="F12" s="111"/>
      <c r="G12" s="112"/>
      <c r="H12" s="113"/>
      <c r="J12" s="115"/>
    </row>
    <row r="13" spans="1:15" s="116" customFormat="1" ht="25.5" customHeight="1">
      <c r="A13" s="101">
        <f>MAX(A$1:A12)+1</f>
        <v>4</v>
      </c>
      <c r="B13" s="108"/>
      <c r="C13" s="109" t="s">
        <v>63</v>
      </c>
      <c r="D13" s="110"/>
      <c r="E13" s="103" t="s">
        <v>104</v>
      </c>
      <c r="F13" s="111"/>
      <c r="G13" s="112" t="s">
        <v>31</v>
      </c>
      <c r="H13" s="113">
        <v>4</v>
      </c>
      <c r="I13" s="117"/>
      <c r="J13" s="115"/>
      <c r="L13" s="118"/>
    </row>
    <row r="14" spans="1:15" s="116" customFormat="1">
      <c r="A14" s="101"/>
      <c r="B14" s="119"/>
      <c r="C14" s="109"/>
      <c r="D14" s="120" t="s">
        <v>89</v>
      </c>
      <c r="E14" s="100" t="s">
        <v>62</v>
      </c>
      <c r="F14" s="111"/>
      <c r="G14" s="121" t="s">
        <v>31</v>
      </c>
      <c r="H14" s="122">
        <v>1</v>
      </c>
      <c r="J14" s="115"/>
    </row>
    <row r="15" spans="1:15" s="116" customFormat="1" ht="52">
      <c r="A15" s="101"/>
      <c r="B15" s="119"/>
      <c r="C15" s="109"/>
      <c r="D15" s="120"/>
      <c r="E15" s="123" t="s">
        <v>105</v>
      </c>
      <c r="F15" s="124">
        <v>1</v>
      </c>
      <c r="G15" s="121"/>
      <c r="H15" s="122"/>
      <c r="J15" s="115"/>
    </row>
    <row r="16" spans="1:15" s="116" customFormat="1">
      <c r="A16" s="101"/>
      <c r="B16" s="119"/>
      <c r="C16" s="109"/>
      <c r="D16" s="120" t="s">
        <v>90</v>
      </c>
      <c r="E16" s="100" t="s">
        <v>61</v>
      </c>
      <c r="F16" s="111"/>
      <c r="G16" s="121" t="s">
        <v>31</v>
      </c>
      <c r="H16" s="122">
        <v>3</v>
      </c>
      <c r="I16" s="125"/>
      <c r="J16" s="115"/>
    </row>
    <row r="17" spans="1:12" s="129" customFormat="1" ht="102" customHeight="1">
      <c r="A17" s="101"/>
      <c r="B17" s="126"/>
      <c r="C17" s="110"/>
      <c r="D17" s="120"/>
      <c r="E17" s="127" t="s">
        <v>106</v>
      </c>
      <c r="F17" s="128">
        <v>1</v>
      </c>
      <c r="G17" s="121"/>
      <c r="H17" s="122"/>
      <c r="J17" s="130"/>
    </row>
    <row r="18" spans="1:12" s="129" customFormat="1" ht="39">
      <c r="A18" s="90"/>
      <c r="B18" s="131"/>
      <c r="C18" s="132"/>
      <c r="D18" s="120"/>
      <c r="E18" s="127" t="s">
        <v>107</v>
      </c>
      <c r="F18" s="128">
        <v>1</v>
      </c>
      <c r="G18" s="133"/>
      <c r="H18" s="122"/>
      <c r="J18" s="130"/>
    </row>
    <row r="19" spans="1:12" s="116" customFormat="1" ht="25.5" customHeight="1">
      <c r="A19" s="134"/>
      <c r="B19" s="108"/>
      <c r="C19" s="109"/>
      <c r="D19" s="110"/>
      <c r="E19" s="123" t="s">
        <v>108</v>
      </c>
      <c r="F19" s="135">
        <v>1</v>
      </c>
      <c r="G19" s="112"/>
      <c r="H19" s="113"/>
      <c r="J19" s="115"/>
    </row>
    <row r="20" spans="1:12" s="116" customFormat="1">
      <c r="A20" s="134"/>
      <c r="B20" s="108"/>
      <c r="C20" s="109"/>
      <c r="D20" s="110"/>
      <c r="E20" s="136"/>
      <c r="F20" s="137">
        <f>SUM(F17:F19)</f>
        <v>3</v>
      </c>
      <c r="G20" s="112"/>
      <c r="H20" s="113"/>
      <c r="J20" s="115"/>
    </row>
    <row r="21" spans="1:12" s="116" customFormat="1">
      <c r="A21" s="134"/>
      <c r="B21" s="108"/>
      <c r="C21" s="109"/>
      <c r="D21" s="110"/>
      <c r="E21" s="136"/>
      <c r="F21" s="137"/>
      <c r="G21" s="112"/>
      <c r="H21" s="113"/>
      <c r="J21" s="115"/>
    </row>
    <row r="22" spans="1:12" s="116" customFormat="1">
      <c r="A22" s="101">
        <f>MAX(A$1:A21)+1</f>
        <v>5</v>
      </c>
      <c r="B22" s="108"/>
      <c r="C22" s="138" t="s">
        <v>109</v>
      </c>
      <c r="D22" s="139"/>
      <c r="E22" s="140" t="s">
        <v>110</v>
      </c>
      <c r="F22" s="141"/>
      <c r="G22" s="142" t="s">
        <v>31</v>
      </c>
      <c r="H22" s="113">
        <v>1</v>
      </c>
      <c r="I22" s="143"/>
      <c r="J22" s="144"/>
      <c r="L22" s="115"/>
    </row>
    <row r="23" spans="1:12" s="116" customFormat="1" ht="78">
      <c r="A23" s="134"/>
      <c r="B23" s="108"/>
      <c r="C23" s="109"/>
      <c r="D23" s="110"/>
      <c r="E23" s="123" t="s">
        <v>738</v>
      </c>
      <c r="F23" s="137">
        <v>1</v>
      </c>
      <c r="G23" s="112"/>
      <c r="H23" s="113"/>
      <c r="J23" s="115"/>
    </row>
    <row r="24" spans="1:12" s="116" customFormat="1">
      <c r="A24" s="134"/>
      <c r="B24" s="108"/>
      <c r="C24" s="109"/>
      <c r="D24" s="110"/>
      <c r="E24" s="136"/>
      <c r="F24" s="137"/>
      <c r="G24" s="112"/>
      <c r="H24" s="113"/>
      <c r="J24" s="115"/>
    </row>
    <row r="25" spans="1:12" s="129" customFormat="1" ht="26">
      <c r="A25" s="101">
        <f>MAX(A$1:A24)+1</f>
        <v>6</v>
      </c>
      <c r="B25" s="145"/>
      <c r="C25" s="109" t="s">
        <v>30</v>
      </c>
      <c r="D25" s="110"/>
      <c r="E25" s="140" t="s">
        <v>111</v>
      </c>
      <c r="F25" s="103"/>
      <c r="G25" s="96" t="s">
        <v>31</v>
      </c>
      <c r="H25" s="104">
        <v>1</v>
      </c>
      <c r="I25" s="146"/>
      <c r="J25" s="130"/>
    </row>
    <row r="26" spans="1:12" s="129" customFormat="1" ht="78">
      <c r="A26" s="101"/>
      <c r="B26" s="145"/>
      <c r="C26" s="109"/>
      <c r="D26" s="110"/>
      <c r="E26" s="147" t="s">
        <v>112</v>
      </c>
      <c r="F26" s="148">
        <v>1</v>
      </c>
      <c r="G26" s="96"/>
      <c r="H26" s="104"/>
      <c r="J26" s="130"/>
    </row>
    <row r="27" spans="1:12" s="100" customFormat="1">
      <c r="A27" s="90"/>
      <c r="B27" s="91"/>
      <c r="C27" s="102"/>
      <c r="D27" s="93"/>
      <c r="E27" s="94"/>
      <c r="F27" s="149"/>
      <c r="G27" s="96"/>
      <c r="H27" s="104"/>
      <c r="I27" s="98"/>
      <c r="J27" s="99"/>
      <c r="K27" s="98"/>
    </row>
    <row r="28" spans="1:12" s="116" customFormat="1" ht="39">
      <c r="A28" s="101">
        <f>MAX(A$1:A27)+1</f>
        <v>7</v>
      </c>
      <c r="B28" s="145"/>
      <c r="C28" s="109" t="s">
        <v>27</v>
      </c>
      <c r="D28" s="110"/>
      <c r="E28" s="103" t="s">
        <v>41</v>
      </c>
      <c r="F28" s="103"/>
      <c r="G28" s="96" t="s">
        <v>31</v>
      </c>
      <c r="H28" s="104">
        <v>1</v>
      </c>
      <c r="I28" s="150"/>
      <c r="J28" s="115"/>
      <c r="L28" s="143"/>
    </row>
    <row r="29" spans="1:12" s="116" customFormat="1" ht="16.899999999999999" customHeight="1">
      <c r="A29" s="101"/>
      <c r="B29" s="145"/>
      <c r="C29" s="109"/>
      <c r="D29" s="151"/>
      <c r="E29" s="100"/>
      <c r="F29" s="103"/>
      <c r="G29" s="133"/>
      <c r="H29" s="97"/>
      <c r="I29" s="150"/>
      <c r="J29" s="115"/>
      <c r="K29" s="115"/>
      <c r="L29" s="143"/>
    </row>
    <row r="30" spans="1:12" s="129" customFormat="1" ht="39">
      <c r="A30" s="101">
        <f>MAX(A$1:A29)+1</f>
        <v>8</v>
      </c>
      <c r="B30" s="145"/>
      <c r="C30" s="109" t="s">
        <v>113</v>
      </c>
      <c r="D30" s="151"/>
      <c r="E30" s="103" t="s">
        <v>72</v>
      </c>
      <c r="F30" s="152"/>
      <c r="G30" s="96" t="s">
        <v>31</v>
      </c>
      <c r="H30" s="113">
        <v>1</v>
      </c>
      <c r="I30" s="153"/>
      <c r="J30" s="130"/>
      <c r="L30" s="143"/>
    </row>
    <row r="31" spans="1:12" s="129" customFormat="1">
      <c r="A31" s="101"/>
      <c r="B31" s="145"/>
      <c r="C31" s="109"/>
      <c r="D31" s="151"/>
      <c r="E31" s="103"/>
      <c r="F31" s="152"/>
      <c r="G31" s="96"/>
      <c r="H31" s="113"/>
      <c r="I31" s="153"/>
      <c r="J31" s="130"/>
      <c r="L31" s="154"/>
    </row>
    <row r="32" spans="1:12" s="129" customFormat="1" ht="26">
      <c r="A32" s="101">
        <f>MAX(A$1:A31)+1</f>
        <v>9</v>
      </c>
      <c r="B32" s="145"/>
      <c r="C32" s="109" t="s">
        <v>114</v>
      </c>
      <c r="D32" s="151"/>
      <c r="E32" s="103" t="s">
        <v>97</v>
      </c>
      <c r="F32" s="152"/>
      <c r="G32" s="96" t="s">
        <v>31</v>
      </c>
      <c r="H32" s="113">
        <v>1</v>
      </c>
      <c r="I32" s="153"/>
      <c r="J32" s="130"/>
      <c r="L32" s="143"/>
    </row>
    <row r="33" spans="1:12" s="129" customFormat="1">
      <c r="A33" s="101"/>
      <c r="B33" s="145"/>
      <c r="C33" s="109"/>
      <c r="D33" s="151"/>
      <c r="E33" s="103"/>
      <c r="F33" s="152"/>
      <c r="G33" s="96"/>
      <c r="H33" s="113"/>
      <c r="J33" s="130"/>
    </row>
    <row r="34" spans="1:12" s="129" customFormat="1">
      <c r="A34" s="101"/>
      <c r="B34" s="145"/>
      <c r="C34" s="109"/>
      <c r="D34" s="110"/>
      <c r="E34" s="103"/>
      <c r="F34" s="111"/>
      <c r="G34" s="112"/>
      <c r="H34" s="113"/>
      <c r="I34" s="154"/>
      <c r="J34" s="155"/>
      <c r="L34" s="130"/>
    </row>
    <row r="35" spans="1:12" s="129" customFormat="1">
      <c r="A35" s="101"/>
      <c r="B35" s="145"/>
      <c r="C35" s="109"/>
      <c r="D35" s="151"/>
      <c r="E35" s="103"/>
      <c r="F35" s="152"/>
      <c r="G35" s="96"/>
      <c r="H35" s="113"/>
      <c r="J35" s="130"/>
    </row>
    <row r="36" spans="1:12" s="116" customFormat="1" ht="12.75" customHeight="1">
      <c r="A36" s="101"/>
      <c r="B36" s="145"/>
      <c r="C36" s="109"/>
      <c r="D36" s="151"/>
      <c r="E36" s="100"/>
      <c r="F36" s="103"/>
      <c r="G36" s="133"/>
      <c r="H36" s="97"/>
      <c r="J36" s="115"/>
      <c r="K36" s="115"/>
    </row>
    <row r="37" spans="1:12" s="129" customFormat="1" ht="15.5">
      <c r="A37" s="90"/>
      <c r="B37" s="91" t="s">
        <v>13</v>
      </c>
      <c r="C37" s="156"/>
      <c r="D37" s="157"/>
      <c r="E37" s="158" t="s">
        <v>80</v>
      </c>
      <c r="F37" s="159"/>
      <c r="G37" s="160"/>
      <c r="H37" s="97"/>
      <c r="J37" s="130"/>
    </row>
    <row r="38" spans="1:12" s="129" customFormat="1" ht="15.5">
      <c r="A38" s="90"/>
      <c r="B38" s="91"/>
      <c r="C38" s="156"/>
      <c r="D38" s="157"/>
      <c r="E38" s="158"/>
      <c r="F38" s="159"/>
      <c r="G38" s="160"/>
      <c r="H38" s="97"/>
      <c r="J38" s="130"/>
    </row>
    <row r="39" spans="1:12" s="163" customFormat="1">
      <c r="A39" s="101">
        <f>MAX(A$1:A37)+1</f>
        <v>10</v>
      </c>
      <c r="B39" s="161"/>
      <c r="C39" s="138" t="s">
        <v>115</v>
      </c>
      <c r="D39" s="139"/>
      <c r="E39" s="140" t="s">
        <v>116</v>
      </c>
      <c r="F39" s="141"/>
      <c r="G39" s="142" t="s">
        <v>14</v>
      </c>
      <c r="H39" s="162">
        <v>140.1</v>
      </c>
      <c r="I39" s="146"/>
      <c r="J39" s="155"/>
      <c r="K39" s="129"/>
    </row>
    <row r="40" spans="1:12" s="163" customFormat="1" ht="52">
      <c r="A40" s="164"/>
      <c r="B40" s="108"/>
      <c r="C40" s="109"/>
      <c r="D40" s="110"/>
      <c r="E40" s="123" t="s">
        <v>682</v>
      </c>
      <c r="F40" s="165">
        <f xml:space="preserve"> 0.2*11.2*(25.4+18.8)/2+34.67*1.25</f>
        <v>92.841499999999996</v>
      </c>
      <c r="G40" s="112"/>
      <c r="H40" s="166"/>
      <c r="J40" s="167"/>
    </row>
    <row r="41" spans="1:12" s="163" customFormat="1" ht="52">
      <c r="A41" s="168"/>
      <c r="B41" s="161"/>
      <c r="C41" s="138"/>
      <c r="D41" s="139"/>
      <c r="E41" s="169" t="s">
        <v>683</v>
      </c>
      <c r="F41" s="165">
        <f>0.2*11.2*(21.9+18.2)/2</f>
        <v>44.911999999999992</v>
      </c>
      <c r="G41" s="142"/>
      <c r="H41" s="170"/>
      <c r="J41" s="167"/>
    </row>
    <row r="42" spans="1:12" s="129" customFormat="1" ht="26">
      <c r="A42" s="90"/>
      <c r="B42" s="91"/>
      <c r="C42" s="156"/>
      <c r="D42" s="157"/>
      <c r="E42" s="127" t="s">
        <v>684</v>
      </c>
      <c r="F42" s="171">
        <f xml:space="preserve"> 0.2*0.5*10.5+0.2*0.3*5.5</f>
        <v>1.38</v>
      </c>
      <c r="G42" s="160"/>
      <c r="H42" s="97"/>
      <c r="J42" s="130"/>
      <c r="L42" s="163"/>
    </row>
    <row r="43" spans="1:12" s="129" customFormat="1" ht="12.75" customHeight="1">
      <c r="A43" s="90"/>
      <c r="B43" s="91"/>
      <c r="C43" s="156"/>
      <c r="D43" s="157"/>
      <c r="E43" s="127" t="s">
        <v>117</v>
      </c>
      <c r="F43" s="172">
        <f>0.2*0.5*9.7</f>
        <v>0.97</v>
      </c>
      <c r="G43" s="160"/>
      <c r="H43" s="97"/>
      <c r="J43" s="130"/>
      <c r="L43" s="163"/>
    </row>
    <row r="44" spans="1:12" s="129" customFormat="1" ht="12.75" customHeight="1">
      <c r="A44" s="90"/>
      <c r="B44" s="91"/>
      <c r="C44" s="156"/>
      <c r="D44" s="157"/>
      <c r="E44" s="158"/>
      <c r="F44" s="124">
        <f>SUM(F40:F43)</f>
        <v>140.10349999999997</v>
      </c>
      <c r="G44" s="160"/>
      <c r="H44" s="97"/>
      <c r="J44" s="130"/>
      <c r="L44" s="163"/>
    </row>
    <row r="45" spans="1:12" s="129" customFormat="1" ht="15.5">
      <c r="A45" s="90"/>
      <c r="B45" s="91"/>
      <c r="C45" s="156"/>
      <c r="D45" s="157"/>
      <c r="E45" s="158"/>
      <c r="F45" s="159"/>
      <c r="G45" s="160"/>
      <c r="H45" s="97"/>
      <c r="J45" s="130"/>
      <c r="L45" s="163"/>
    </row>
    <row r="46" spans="1:12" s="129" customFormat="1" ht="26">
      <c r="A46" s="101">
        <f>MAX(A$1:A45)+1</f>
        <v>11</v>
      </c>
      <c r="B46" s="91"/>
      <c r="C46" s="109" t="s">
        <v>118</v>
      </c>
      <c r="D46" s="110"/>
      <c r="E46" s="103" t="s">
        <v>119</v>
      </c>
      <c r="F46" s="111"/>
      <c r="G46" s="112" t="s">
        <v>19</v>
      </c>
      <c r="H46" s="173">
        <v>15.8</v>
      </c>
      <c r="I46" s="146"/>
      <c r="J46" s="155"/>
      <c r="L46" s="163"/>
    </row>
    <row r="47" spans="1:12" s="129" customFormat="1" ht="26">
      <c r="A47" s="90"/>
      <c r="B47" s="91"/>
      <c r="C47" s="109"/>
      <c r="D47" s="110"/>
      <c r="E47" s="127" t="s">
        <v>120</v>
      </c>
      <c r="F47" s="174">
        <v>15.8</v>
      </c>
      <c r="G47" s="112"/>
      <c r="H47" s="97"/>
      <c r="I47" s="146"/>
      <c r="J47" s="130"/>
      <c r="L47" s="163"/>
    </row>
    <row r="48" spans="1:12" s="129" customFormat="1" ht="15.5">
      <c r="A48" s="90"/>
      <c r="B48" s="91"/>
      <c r="C48" s="156"/>
      <c r="D48" s="157"/>
      <c r="E48" s="158"/>
      <c r="F48" s="159"/>
      <c r="G48" s="160"/>
      <c r="H48" s="97"/>
      <c r="I48" s="146"/>
      <c r="J48" s="130"/>
      <c r="L48" s="163"/>
    </row>
    <row r="49" spans="1:12" s="129" customFormat="1" ht="26">
      <c r="A49" s="101">
        <f>MAX(A$1:A48)+1</f>
        <v>12</v>
      </c>
      <c r="B49" s="108"/>
      <c r="C49" s="109" t="s">
        <v>45</v>
      </c>
      <c r="D49" s="110"/>
      <c r="E49" s="103" t="s">
        <v>46</v>
      </c>
      <c r="F49" s="111"/>
      <c r="G49" s="112" t="s">
        <v>19</v>
      </c>
      <c r="H49" s="113">
        <v>139.58000000000001</v>
      </c>
      <c r="I49" s="146"/>
      <c r="J49" s="155"/>
      <c r="L49" s="163"/>
    </row>
    <row r="50" spans="1:12" s="98" customFormat="1" ht="52">
      <c r="A50" s="101"/>
      <c r="B50" s="108"/>
      <c r="C50" s="109"/>
      <c r="D50" s="110"/>
      <c r="E50" s="127" t="s">
        <v>121</v>
      </c>
      <c r="F50" s="165">
        <f>0.69*69.7+0.38*63.8</f>
        <v>72.336999999999989</v>
      </c>
      <c r="G50" s="112"/>
      <c r="H50" s="166"/>
      <c r="I50" s="175"/>
      <c r="J50" s="99"/>
      <c r="L50" s="163"/>
    </row>
    <row r="51" spans="1:12" s="98" customFormat="1" ht="26">
      <c r="A51" s="101"/>
      <c r="B51" s="145"/>
      <c r="C51" s="109"/>
      <c r="D51" s="110"/>
      <c r="E51" s="127" t="s">
        <v>122</v>
      </c>
      <c r="F51" s="174">
        <f>63.6*(11.75+0.6+1.45)*0.04</f>
        <v>35.107199999999999</v>
      </c>
      <c r="G51" s="112"/>
      <c r="H51" s="97"/>
      <c r="I51" s="175"/>
      <c r="J51" s="99"/>
      <c r="L51" s="163"/>
    </row>
    <row r="52" spans="1:12" s="98" customFormat="1" ht="26">
      <c r="A52" s="101"/>
      <c r="B52" s="145"/>
      <c r="C52" s="109"/>
      <c r="D52" s="110"/>
      <c r="E52" s="127" t="s">
        <v>123</v>
      </c>
      <c r="F52" s="174">
        <f>14*0.0484</f>
        <v>0.67759999999999998</v>
      </c>
      <c r="G52" s="112"/>
      <c r="H52" s="97"/>
      <c r="I52" s="175"/>
      <c r="J52" s="99"/>
      <c r="L52" s="163"/>
    </row>
    <row r="53" spans="1:12" s="98" customFormat="1">
      <c r="A53" s="101"/>
      <c r="B53" s="145"/>
      <c r="C53" s="109"/>
      <c r="D53" s="110"/>
      <c r="E53" s="127" t="s">
        <v>124</v>
      </c>
      <c r="F53" s="174">
        <f>5*0.142</f>
        <v>0.71</v>
      </c>
      <c r="G53" s="112"/>
      <c r="H53" s="97"/>
      <c r="I53" s="175"/>
      <c r="J53" s="99"/>
      <c r="L53" s="163"/>
    </row>
    <row r="54" spans="1:12" s="98" customFormat="1" ht="12.75" customHeight="1">
      <c r="A54" s="101"/>
      <c r="B54" s="145"/>
      <c r="C54" s="109"/>
      <c r="D54" s="110"/>
      <c r="E54" s="127" t="s">
        <v>125</v>
      </c>
      <c r="F54" s="174">
        <v>20</v>
      </c>
      <c r="G54" s="112"/>
      <c r="H54" s="97"/>
      <c r="I54" s="175"/>
      <c r="J54" s="99"/>
      <c r="L54" s="163"/>
    </row>
    <row r="55" spans="1:12" s="98" customFormat="1">
      <c r="A55" s="176"/>
      <c r="B55" s="145"/>
      <c r="C55" s="109"/>
      <c r="D55" s="110"/>
      <c r="E55" s="127" t="s">
        <v>126</v>
      </c>
      <c r="F55" s="172">
        <f>0.1*107.45</f>
        <v>10.745000000000001</v>
      </c>
      <c r="G55" s="112"/>
      <c r="H55" s="104"/>
      <c r="I55" s="175"/>
      <c r="J55" s="99"/>
      <c r="L55" s="163"/>
    </row>
    <row r="56" spans="1:12" s="129" customFormat="1">
      <c r="A56" s="101"/>
      <c r="B56" s="108"/>
      <c r="C56" s="109"/>
      <c r="D56" s="110"/>
      <c r="E56" s="103"/>
      <c r="F56" s="124">
        <f>SUM(F50:F55)</f>
        <v>139.57679999999999</v>
      </c>
      <c r="G56" s="112"/>
      <c r="H56" s="113"/>
      <c r="I56" s="146"/>
      <c r="J56" s="130"/>
      <c r="L56" s="163"/>
    </row>
    <row r="57" spans="1:12" s="129" customFormat="1">
      <c r="A57" s="101"/>
      <c r="B57" s="108"/>
      <c r="C57" s="109"/>
      <c r="D57" s="110"/>
      <c r="E57" s="103"/>
      <c r="F57" s="177"/>
      <c r="G57" s="112"/>
      <c r="H57" s="113"/>
      <c r="I57" s="146"/>
      <c r="J57" s="130"/>
      <c r="L57" s="163"/>
    </row>
    <row r="58" spans="1:12" s="98" customFormat="1" ht="26">
      <c r="A58" s="101">
        <f>MAX(A$1:A56)+1</f>
        <v>13</v>
      </c>
      <c r="B58" s="145"/>
      <c r="C58" s="109" t="s">
        <v>127</v>
      </c>
      <c r="D58" s="110"/>
      <c r="E58" s="103" t="s">
        <v>128</v>
      </c>
      <c r="F58" s="152"/>
      <c r="G58" s="112" t="s">
        <v>12</v>
      </c>
      <c r="H58" s="113">
        <v>2</v>
      </c>
      <c r="I58" s="175"/>
      <c r="J58" s="99"/>
      <c r="L58" s="163"/>
    </row>
    <row r="59" spans="1:12" s="98" customFormat="1" ht="26">
      <c r="A59" s="178"/>
      <c r="B59" s="145"/>
      <c r="C59" s="109"/>
      <c r="D59" s="110"/>
      <c r="E59" s="127" t="s">
        <v>129</v>
      </c>
      <c r="F59" s="165">
        <v>2</v>
      </c>
      <c r="G59" s="112"/>
      <c r="H59" s="122"/>
      <c r="J59" s="99"/>
      <c r="K59" s="179"/>
      <c r="L59" s="163"/>
    </row>
    <row r="60" spans="1:12" s="129" customFormat="1" ht="15.5">
      <c r="A60" s="90"/>
      <c r="B60" s="91"/>
      <c r="C60" s="156"/>
      <c r="D60" s="157"/>
      <c r="E60" s="158"/>
      <c r="F60" s="159"/>
      <c r="G60" s="160"/>
      <c r="H60" s="97"/>
      <c r="J60" s="130"/>
      <c r="L60" s="163"/>
    </row>
    <row r="61" spans="1:12" s="129" customFormat="1" ht="26">
      <c r="A61" s="101">
        <f>MAX(A$1:A60)+1</f>
        <v>14</v>
      </c>
      <c r="B61" s="145"/>
      <c r="C61" s="109" t="s">
        <v>70</v>
      </c>
      <c r="D61" s="110"/>
      <c r="E61" s="103" t="s">
        <v>130</v>
      </c>
      <c r="F61" s="111"/>
      <c r="G61" s="112" t="s">
        <v>14</v>
      </c>
      <c r="H61" s="104">
        <v>2183.4499999999998</v>
      </c>
      <c r="I61" s="180"/>
      <c r="J61" s="181"/>
      <c r="K61" s="179"/>
      <c r="L61" s="163"/>
    </row>
    <row r="62" spans="1:12" s="116" customFormat="1" ht="12.75" customHeight="1">
      <c r="A62" s="182"/>
      <c r="B62" s="183"/>
      <c r="C62" s="120"/>
      <c r="D62" s="151" t="s">
        <v>131</v>
      </c>
      <c r="E62" s="100" t="s">
        <v>132</v>
      </c>
      <c r="F62" s="184"/>
      <c r="G62" s="121" t="s">
        <v>14</v>
      </c>
      <c r="H62" s="122">
        <v>1401.35</v>
      </c>
      <c r="J62" s="115"/>
      <c r="L62" s="163"/>
    </row>
    <row r="63" spans="1:12" s="98" customFormat="1" ht="39">
      <c r="A63" s="178"/>
      <c r="B63" s="183"/>
      <c r="C63" s="120"/>
      <c r="D63" s="151"/>
      <c r="E63" s="127" t="s">
        <v>133</v>
      </c>
      <c r="F63" s="165">
        <f>2*50*11.75+2.5*7.55+4.2*4.255</f>
        <v>1211.7460000000001</v>
      </c>
      <c r="G63" s="121"/>
      <c r="H63" s="122"/>
      <c r="J63" s="115"/>
      <c r="L63" s="163"/>
    </row>
    <row r="64" spans="1:12" s="98" customFormat="1" ht="26">
      <c r="A64" s="178"/>
      <c r="B64" s="183"/>
      <c r="C64" s="120"/>
      <c r="D64" s="151"/>
      <c r="E64" s="127" t="s">
        <v>134</v>
      </c>
      <c r="F64" s="185">
        <f>63.2*(1.1+1.9)</f>
        <v>189.60000000000002</v>
      </c>
      <c r="G64" s="121"/>
      <c r="H64" s="122"/>
      <c r="J64" s="115"/>
      <c r="L64" s="163"/>
    </row>
    <row r="65" spans="1:12" s="98" customFormat="1">
      <c r="A65" s="178"/>
      <c r="B65" s="183"/>
      <c r="C65" s="120"/>
      <c r="D65" s="151"/>
      <c r="E65" s="127"/>
      <c r="F65" s="165">
        <f>SUM(F63:F64)</f>
        <v>1401.346</v>
      </c>
      <c r="G65" s="121"/>
      <c r="H65" s="122"/>
      <c r="J65" s="115"/>
      <c r="L65" s="163"/>
    </row>
    <row r="66" spans="1:12" s="98" customFormat="1" ht="25">
      <c r="A66" s="178"/>
      <c r="B66" s="183"/>
      <c r="C66" s="120"/>
      <c r="D66" s="186" t="s">
        <v>71</v>
      </c>
      <c r="E66" s="187" t="s">
        <v>135</v>
      </c>
      <c r="F66" s="188"/>
      <c r="G66" s="189" t="s">
        <v>14</v>
      </c>
      <c r="H66" s="122">
        <v>782.1</v>
      </c>
      <c r="J66" s="115"/>
      <c r="K66" s="116"/>
      <c r="L66" s="163"/>
    </row>
    <row r="67" spans="1:12" s="98" customFormat="1" ht="25.5" customHeight="1">
      <c r="A67" s="178"/>
      <c r="B67" s="183"/>
      <c r="C67" s="120"/>
      <c r="D67" s="151"/>
      <c r="E67" s="127" t="s">
        <v>136</v>
      </c>
      <c r="F67" s="174">
        <f>63.2*(11.75-0.5)</f>
        <v>711</v>
      </c>
      <c r="G67" s="121"/>
      <c r="H67" s="122"/>
      <c r="J67" s="99"/>
      <c r="L67" s="163"/>
    </row>
    <row r="68" spans="1:12" s="98" customFormat="1">
      <c r="A68" s="178"/>
      <c r="B68" s="183"/>
      <c r="C68" s="120"/>
      <c r="D68" s="151"/>
      <c r="E68" s="127" t="s">
        <v>137</v>
      </c>
      <c r="F68" s="172">
        <f>0.1*F67</f>
        <v>71.100000000000009</v>
      </c>
      <c r="G68" s="121"/>
      <c r="H68" s="122"/>
      <c r="J68" s="99"/>
      <c r="L68" s="163"/>
    </row>
    <row r="69" spans="1:12" s="98" customFormat="1">
      <c r="A69" s="178"/>
      <c r="B69" s="183"/>
      <c r="C69" s="120"/>
      <c r="D69" s="151"/>
      <c r="E69" s="127"/>
      <c r="F69" s="174">
        <f>SUM(F67:F68)</f>
        <v>782.1</v>
      </c>
      <c r="G69" s="121"/>
      <c r="H69" s="122"/>
      <c r="J69" s="99"/>
      <c r="L69" s="163"/>
    </row>
    <row r="70" spans="1:12" s="98" customFormat="1" ht="26">
      <c r="A70" s="101">
        <f>MAX(A$1:A69)+1</f>
        <v>15</v>
      </c>
      <c r="B70" s="183"/>
      <c r="C70" s="138" t="s">
        <v>138</v>
      </c>
      <c r="D70" s="139"/>
      <c r="E70" s="140" t="s">
        <v>139</v>
      </c>
      <c r="F70" s="141"/>
      <c r="G70" s="142" t="s">
        <v>14</v>
      </c>
      <c r="H70" s="190">
        <v>274.04000000000002</v>
      </c>
      <c r="I70" s="107"/>
      <c r="J70" s="181"/>
      <c r="L70" s="163"/>
    </row>
    <row r="71" spans="1:12" s="129" customFormat="1" ht="25">
      <c r="A71" s="176"/>
      <c r="B71" s="191"/>
      <c r="C71" s="120"/>
      <c r="D71" s="186" t="s">
        <v>140</v>
      </c>
      <c r="E71" s="187" t="s">
        <v>141</v>
      </c>
      <c r="F71" s="188"/>
      <c r="G71" s="189" t="s">
        <v>14</v>
      </c>
      <c r="H71" s="97">
        <v>274.04000000000002</v>
      </c>
      <c r="J71" s="130"/>
      <c r="K71" s="130"/>
      <c r="L71" s="163"/>
    </row>
    <row r="72" spans="1:12" s="98" customFormat="1" ht="39">
      <c r="A72" s="178"/>
      <c r="B72" s="183"/>
      <c r="C72" s="120"/>
      <c r="D72" s="151"/>
      <c r="E72" s="127" t="s">
        <v>142</v>
      </c>
      <c r="F72" s="192">
        <f>(11.75)*((9.8+16.8)/2+(16.7+9.6)/2)-2.5*7.55-4.2*4.255</f>
        <v>274.04149999999998</v>
      </c>
      <c r="G72" s="121"/>
      <c r="H72" s="122"/>
      <c r="J72" s="99"/>
      <c r="L72" s="163"/>
    </row>
    <row r="73" spans="1:12" s="98" customFormat="1" ht="12.75" customHeight="1">
      <c r="A73" s="178"/>
      <c r="B73" s="183"/>
      <c r="C73" s="120"/>
      <c r="D73" s="151"/>
      <c r="E73" s="127"/>
      <c r="F73" s="165"/>
      <c r="G73" s="121"/>
      <c r="H73" s="97"/>
      <c r="J73" s="130"/>
      <c r="L73" s="163"/>
    </row>
    <row r="74" spans="1:12" s="163" customFormat="1" ht="26">
      <c r="A74" s="101">
        <f>MAX(A$1:A73)+1</f>
        <v>16</v>
      </c>
      <c r="B74" s="161"/>
      <c r="C74" s="138" t="s">
        <v>143</v>
      </c>
      <c r="D74" s="139"/>
      <c r="E74" s="140" t="s">
        <v>144</v>
      </c>
      <c r="F74" s="141"/>
      <c r="G74" s="142" t="s">
        <v>14</v>
      </c>
      <c r="H74" s="190">
        <v>274.04000000000002</v>
      </c>
      <c r="I74" s="146"/>
      <c r="J74" s="181"/>
      <c r="K74" s="98"/>
    </row>
    <row r="75" spans="1:12" s="163" customFormat="1" ht="25">
      <c r="A75" s="168"/>
      <c r="B75" s="193"/>
      <c r="C75" s="194"/>
      <c r="D75" s="186" t="s">
        <v>145</v>
      </c>
      <c r="E75" s="187" t="s">
        <v>146</v>
      </c>
      <c r="F75" s="195"/>
      <c r="G75" s="189" t="s">
        <v>14</v>
      </c>
      <c r="H75" s="196">
        <v>274.04000000000002</v>
      </c>
      <c r="J75" s="167"/>
    </row>
    <row r="76" spans="1:12" s="163" customFormat="1">
      <c r="A76" s="168"/>
      <c r="B76" s="193"/>
      <c r="C76" s="194"/>
      <c r="D76" s="186"/>
      <c r="E76" s="147" t="s">
        <v>147</v>
      </c>
      <c r="F76" s="197">
        <f>(11.75)*((9.8+16.8)/2+(16.7+9.6)/2)-2.5*7.55-4.2*4.255</f>
        <v>274.04149999999998</v>
      </c>
      <c r="G76" s="189"/>
      <c r="H76" s="196"/>
      <c r="J76" s="167"/>
    </row>
    <row r="77" spans="1:12" s="98" customFormat="1">
      <c r="A77" s="178"/>
      <c r="B77" s="183"/>
      <c r="C77" s="120"/>
      <c r="D77" s="151"/>
      <c r="E77" s="127"/>
      <c r="F77" s="174"/>
      <c r="G77" s="121"/>
      <c r="H77" s="97"/>
      <c r="J77" s="130"/>
      <c r="L77" s="163"/>
    </row>
    <row r="78" spans="1:12" s="98" customFormat="1" ht="26">
      <c r="A78" s="101">
        <f>MAX(A$1:A77)+1</f>
        <v>17</v>
      </c>
      <c r="B78" s="145"/>
      <c r="C78" s="109" t="s">
        <v>15</v>
      </c>
      <c r="D78" s="110"/>
      <c r="E78" s="103" t="s">
        <v>148</v>
      </c>
      <c r="F78" s="111"/>
      <c r="G78" s="112" t="s">
        <v>16</v>
      </c>
      <c r="H78" s="113">
        <v>409.5</v>
      </c>
      <c r="I78" s="105"/>
      <c r="J78" s="198"/>
      <c r="L78" s="163"/>
    </row>
    <row r="79" spans="1:12" s="98" customFormat="1" ht="12.75" customHeight="1">
      <c r="A79" s="101"/>
      <c r="B79" s="145"/>
      <c r="C79" s="109"/>
      <c r="D79" s="199"/>
      <c r="E79" s="127" t="s">
        <v>149</v>
      </c>
      <c r="F79" s="171"/>
      <c r="G79" s="112"/>
      <c r="H79" s="166"/>
      <c r="J79" s="130"/>
      <c r="L79" s="163"/>
    </row>
    <row r="80" spans="1:12" s="98" customFormat="1">
      <c r="A80" s="178"/>
      <c r="B80" s="145"/>
      <c r="C80" s="109"/>
      <c r="D80" s="199"/>
      <c r="E80" s="127" t="s">
        <v>150</v>
      </c>
      <c r="F80" s="171">
        <v>30</v>
      </c>
      <c r="G80" s="112"/>
      <c r="H80" s="166"/>
      <c r="J80" s="130"/>
      <c r="L80" s="163"/>
    </row>
    <row r="81" spans="1:256" s="98" customFormat="1" ht="26">
      <c r="A81" s="178"/>
      <c r="B81" s="145"/>
      <c r="C81" s="109"/>
      <c r="D81" s="199"/>
      <c r="E81" s="127" t="s">
        <v>658</v>
      </c>
      <c r="F81" s="171">
        <f>65.3+7.8+2</f>
        <v>75.099999999999994</v>
      </c>
      <c r="G81" s="112"/>
      <c r="H81" s="166"/>
      <c r="J81" s="130"/>
      <c r="L81" s="163"/>
    </row>
    <row r="82" spans="1:256" s="98" customFormat="1" ht="26">
      <c r="A82" s="178"/>
      <c r="B82" s="145"/>
      <c r="C82" s="109"/>
      <c r="D82" s="199"/>
      <c r="E82" s="127" t="s">
        <v>151</v>
      </c>
      <c r="F82" s="171">
        <f>69.7+2*15</f>
        <v>99.7</v>
      </c>
      <c r="G82" s="112"/>
      <c r="H82" s="166"/>
      <c r="J82" s="130"/>
      <c r="L82" s="163"/>
    </row>
    <row r="83" spans="1:256" s="98" customFormat="1" ht="39">
      <c r="A83" s="178"/>
      <c r="B83" s="145"/>
      <c r="C83" s="109"/>
      <c r="D83" s="199"/>
      <c r="E83" s="127" t="s">
        <v>152</v>
      </c>
      <c r="F83" s="171">
        <v>131</v>
      </c>
      <c r="G83" s="112"/>
      <c r="H83" s="166"/>
      <c r="J83" s="130"/>
      <c r="L83" s="163"/>
    </row>
    <row r="84" spans="1:256" s="98" customFormat="1" ht="26">
      <c r="A84" s="178"/>
      <c r="B84" s="145"/>
      <c r="C84" s="109"/>
      <c r="D84" s="199"/>
      <c r="E84" s="127" t="s">
        <v>153</v>
      </c>
      <c r="F84" s="200">
        <v>69.7</v>
      </c>
      <c r="G84" s="112"/>
      <c r="H84" s="166"/>
      <c r="J84" s="130"/>
      <c r="L84" s="163"/>
    </row>
    <row r="85" spans="1:256" s="98" customFormat="1" ht="39">
      <c r="A85" s="178"/>
      <c r="B85" s="145"/>
      <c r="C85" s="109"/>
      <c r="D85" s="199"/>
      <c r="E85" s="201" t="s">
        <v>154</v>
      </c>
      <c r="F85" s="202">
        <v>4</v>
      </c>
      <c r="G85" s="112"/>
      <c r="H85" s="166"/>
      <c r="J85" s="130"/>
      <c r="L85" s="163"/>
    </row>
    <row r="86" spans="1:256" s="98" customFormat="1">
      <c r="A86" s="178"/>
      <c r="B86" s="145"/>
      <c r="C86" s="109"/>
      <c r="D86" s="151"/>
      <c r="E86" s="103"/>
      <c r="F86" s="174">
        <f>SUM(F80:F85)</f>
        <v>409.5</v>
      </c>
      <c r="G86" s="112"/>
      <c r="H86" s="166"/>
      <c r="J86" s="130"/>
      <c r="L86" s="163"/>
    </row>
    <row r="87" spans="1:256" s="98" customFormat="1">
      <c r="A87" s="178"/>
      <c r="B87" s="145"/>
      <c r="C87" s="109"/>
      <c r="D87" s="151"/>
      <c r="E87" s="103"/>
      <c r="F87" s="174"/>
      <c r="G87" s="112"/>
      <c r="H87" s="166"/>
      <c r="J87" s="130"/>
      <c r="L87" s="163"/>
    </row>
    <row r="88" spans="1:256" ht="26">
      <c r="A88" s="101">
        <f>MAX(A$1:A85)+1</f>
        <v>18</v>
      </c>
      <c r="B88" s="108"/>
      <c r="C88" s="109" t="s">
        <v>155</v>
      </c>
      <c r="D88" s="110"/>
      <c r="E88" s="103" t="s">
        <v>47</v>
      </c>
      <c r="F88" s="203"/>
      <c r="G88" s="112" t="s">
        <v>12</v>
      </c>
      <c r="H88" s="113">
        <v>7</v>
      </c>
      <c r="I88" s="204"/>
      <c r="J88" s="72"/>
      <c r="L88" s="163"/>
    </row>
    <row r="89" spans="1:256" s="129" customFormat="1" ht="26">
      <c r="A89" s="176"/>
      <c r="B89" s="108"/>
      <c r="C89" s="109"/>
      <c r="D89" s="110"/>
      <c r="E89" s="127" t="s">
        <v>156</v>
      </c>
      <c r="F89" s="165">
        <v>1</v>
      </c>
      <c r="G89" s="112"/>
      <c r="H89" s="122"/>
      <c r="L89" s="163"/>
    </row>
    <row r="90" spans="1:256" s="129" customFormat="1" ht="26">
      <c r="A90" s="176"/>
      <c r="B90" s="108"/>
      <c r="C90" s="109"/>
      <c r="D90" s="110"/>
      <c r="E90" s="127" t="s">
        <v>157</v>
      </c>
      <c r="F90" s="165">
        <f>2</f>
        <v>2</v>
      </c>
      <c r="G90" s="112"/>
      <c r="H90" s="122"/>
      <c r="L90" s="163"/>
    </row>
    <row r="91" spans="1:256" s="129" customFormat="1">
      <c r="A91" s="176"/>
      <c r="B91" s="108"/>
      <c r="C91" s="109"/>
      <c r="D91" s="110"/>
      <c r="E91" s="127" t="s">
        <v>158</v>
      </c>
      <c r="F91" s="185">
        <v>4</v>
      </c>
      <c r="G91" s="112"/>
      <c r="H91" s="122"/>
      <c r="L91" s="163"/>
    </row>
    <row r="92" spans="1:256">
      <c r="A92" s="178"/>
      <c r="B92" s="145"/>
      <c r="C92" s="109"/>
      <c r="D92" s="110"/>
      <c r="E92" s="127"/>
      <c r="F92" s="174">
        <f>SUM(F89:F91)</f>
        <v>7</v>
      </c>
      <c r="G92" s="112"/>
      <c r="H92" s="122"/>
      <c r="J92" s="72"/>
      <c r="L92" s="163"/>
    </row>
    <row r="93" spans="1:256" s="98" customFormat="1">
      <c r="A93" s="178"/>
      <c r="B93" s="145"/>
      <c r="C93" s="109"/>
      <c r="D93" s="151"/>
      <c r="E93" s="103"/>
      <c r="F93" s="174"/>
      <c r="G93" s="112"/>
      <c r="H93" s="166"/>
      <c r="J93" s="130"/>
      <c r="L93" s="163"/>
    </row>
    <row r="94" spans="1:256" s="98" customFormat="1">
      <c r="A94" s="101">
        <f>MAX(A$1:A91)+1</f>
        <v>19</v>
      </c>
      <c r="B94" s="145"/>
      <c r="C94" s="109" t="s">
        <v>17</v>
      </c>
      <c r="D94" s="110"/>
      <c r="E94" s="103" t="s">
        <v>1</v>
      </c>
      <c r="F94" s="103"/>
      <c r="G94" s="112" t="s">
        <v>11</v>
      </c>
      <c r="H94" s="104">
        <v>1638.47</v>
      </c>
      <c r="I94" s="105"/>
      <c r="J94" s="130"/>
      <c r="L94" s="163"/>
    </row>
    <row r="95" spans="1:256">
      <c r="A95" s="101"/>
      <c r="B95" s="183"/>
      <c r="C95" s="120"/>
      <c r="D95" s="151" t="s">
        <v>18</v>
      </c>
      <c r="E95" s="205" t="s">
        <v>44</v>
      </c>
      <c r="F95" s="100"/>
      <c r="G95" s="121" t="s">
        <v>11</v>
      </c>
      <c r="H95" s="97">
        <v>1638.47</v>
      </c>
      <c r="I95" s="98"/>
      <c r="J95" s="130"/>
      <c r="K95" s="98"/>
      <c r="L95" s="163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  <c r="AJ95" s="98"/>
      <c r="AK95" s="98"/>
      <c r="AL95" s="98"/>
      <c r="AM95" s="98"/>
      <c r="AN95" s="98"/>
      <c r="AO95" s="98"/>
      <c r="AP95" s="98"/>
      <c r="AQ95" s="98"/>
      <c r="AR95" s="98"/>
      <c r="AS95" s="98"/>
      <c r="AT95" s="98"/>
      <c r="AU95" s="98"/>
      <c r="AV95" s="98"/>
      <c r="AW95" s="98"/>
      <c r="AX95" s="98"/>
      <c r="AY95" s="98"/>
      <c r="AZ95" s="98"/>
      <c r="BA95" s="98"/>
      <c r="BB95" s="98"/>
      <c r="BC95" s="98"/>
      <c r="BD95" s="98"/>
      <c r="BE95" s="98"/>
      <c r="BF95" s="98"/>
      <c r="BG95" s="98"/>
      <c r="BH95" s="98"/>
      <c r="BI95" s="98"/>
      <c r="BJ95" s="98"/>
      <c r="BK95" s="98"/>
      <c r="BL95" s="98"/>
      <c r="BM95" s="98"/>
      <c r="BN95" s="98"/>
      <c r="BO95" s="98"/>
      <c r="BP95" s="98"/>
      <c r="BQ95" s="98"/>
      <c r="BR95" s="98"/>
      <c r="BS95" s="98"/>
      <c r="BT95" s="98"/>
      <c r="BU95" s="98"/>
      <c r="BV95" s="98"/>
      <c r="BW95" s="98"/>
      <c r="BX95" s="98"/>
      <c r="BY95" s="98"/>
      <c r="BZ95" s="98"/>
      <c r="CA95" s="98"/>
      <c r="CB95" s="98"/>
      <c r="CC95" s="98"/>
      <c r="CD95" s="98"/>
      <c r="CE95" s="98"/>
      <c r="CF95" s="98"/>
      <c r="CG95" s="98"/>
      <c r="CH95" s="98"/>
      <c r="CI95" s="98"/>
      <c r="CJ95" s="98"/>
      <c r="CK95" s="98"/>
      <c r="CL95" s="98"/>
      <c r="CM95" s="98"/>
      <c r="CN95" s="98"/>
      <c r="CO95" s="98"/>
      <c r="CP95" s="98"/>
      <c r="CQ95" s="98"/>
      <c r="CR95" s="98"/>
      <c r="CS95" s="98"/>
      <c r="CT95" s="98"/>
      <c r="CU95" s="98"/>
      <c r="CV95" s="98"/>
      <c r="CW95" s="98"/>
      <c r="CX95" s="98"/>
      <c r="CY95" s="98"/>
      <c r="CZ95" s="98"/>
      <c r="DA95" s="98"/>
      <c r="DB95" s="98"/>
      <c r="DC95" s="98"/>
      <c r="DD95" s="98"/>
      <c r="DE95" s="98"/>
      <c r="DF95" s="98"/>
      <c r="DG95" s="98"/>
      <c r="DH95" s="98"/>
      <c r="DI95" s="98"/>
      <c r="DJ95" s="98"/>
      <c r="DK95" s="98"/>
      <c r="DL95" s="98"/>
      <c r="DM95" s="98"/>
      <c r="DN95" s="98"/>
      <c r="DO95" s="98"/>
      <c r="DP95" s="98"/>
      <c r="DQ95" s="98"/>
      <c r="DR95" s="98"/>
      <c r="DS95" s="98"/>
      <c r="DT95" s="98"/>
      <c r="DU95" s="98"/>
      <c r="DV95" s="98"/>
      <c r="DW95" s="98"/>
      <c r="DX95" s="98"/>
      <c r="DY95" s="98"/>
      <c r="DZ95" s="98"/>
      <c r="EA95" s="98"/>
      <c r="EB95" s="98"/>
      <c r="EC95" s="98"/>
      <c r="ED95" s="98"/>
      <c r="EE95" s="98"/>
      <c r="EF95" s="98"/>
      <c r="EG95" s="98"/>
      <c r="EH95" s="98"/>
      <c r="EI95" s="98"/>
      <c r="EJ95" s="98"/>
      <c r="EK95" s="98"/>
      <c r="EL95" s="98"/>
      <c r="EM95" s="98"/>
      <c r="EN95" s="98"/>
      <c r="EO95" s="98"/>
      <c r="EP95" s="98"/>
      <c r="EQ95" s="98"/>
      <c r="ER95" s="98"/>
      <c r="ES95" s="98"/>
      <c r="ET95" s="98"/>
      <c r="EU95" s="98"/>
      <c r="EV95" s="98"/>
      <c r="EW95" s="98"/>
      <c r="EX95" s="98"/>
      <c r="EY95" s="98"/>
      <c r="EZ95" s="98"/>
      <c r="FA95" s="98"/>
      <c r="FB95" s="98"/>
      <c r="FC95" s="98"/>
      <c r="FD95" s="98"/>
      <c r="FE95" s="98"/>
      <c r="FF95" s="98"/>
      <c r="FG95" s="98"/>
      <c r="FH95" s="98"/>
      <c r="FI95" s="98"/>
      <c r="FJ95" s="98"/>
      <c r="FK95" s="98"/>
      <c r="FL95" s="98"/>
      <c r="FM95" s="98"/>
      <c r="FN95" s="98"/>
      <c r="FO95" s="98"/>
      <c r="FP95" s="98"/>
      <c r="FQ95" s="98"/>
      <c r="FR95" s="98"/>
      <c r="FS95" s="98"/>
      <c r="FT95" s="98"/>
      <c r="FU95" s="98"/>
      <c r="FV95" s="98"/>
      <c r="FW95" s="98"/>
      <c r="FX95" s="98"/>
      <c r="FY95" s="98"/>
      <c r="FZ95" s="98"/>
      <c r="GA95" s="98"/>
      <c r="GB95" s="98"/>
      <c r="GC95" s="98"/>
      <c r="GD95" s="98"/>
      <c r="GE95" s="98"/>
      <c r="GF95" s="98"/>
      <c r="GG95" s="98"/>
      <c r="GH95" s="98"/>
      <c r="GI95" s="98"/>
      <c r="GJ95" s="98"/>
      <c r="GK95" s="98"/>
      <c r="GL95" s="98"/>
      <c r="GM95" s="98"/>
      <c r="GN95" s="98"/>
      <c r="GO95" s="98"/>
      <c r="GP95" s="98"/>
      <c r="GQ95" s="98"/>
      <c r="GR95" s="98"/>
      <c r="GS95" s="98"/>
      <c r="GT95" s="98"/>
      <c r="GU95" s="98"/>
      <c r="GV95" s="98"/>
      <c r="GW95" s="98"/>
      <c r="GX95" s="98"/>
      <c r="GY95" s="98"/>
      <c r="GZ95" s="98"/>
      <c r="HA95" s="98"/>
      <c r="HB95" s="98"/>
      <c r="HC95" s="98"/>
      <c r="HD95" s="98"/>
      <c r="HE95" s="98"/>
      <c r="HF95" s="98"/>
      <c r="HG95" s="98"/>
      <c r="HH95" s="98"/>
      <c r="HI95" s="98"/>
      <c r="HJ95" s="98"/>
      <c r="HK95" s="98"/>
      <c r="HL95" s="98"/>
      <c r="HM95" s="98"/>
      <c r="HN95" s="98"/>
      <c r="HO95" s="98"/>
      <c r="HP95" s="98"/>
      <c r="HQ95" s="98"/>
      <c r="HR95" s="98"/>
      <c r="HS95" s="98"/>
      <c r="HT95" s="98"/>
      <c r="HU95" s="98"/>
      <c r="HV95" s="98"/>
      <c r="HW95" s="98"/>
      <c r="HX95" s="98"/>
      <c r="HY95" s="98"/>
      <c r="HZ95" s="98"/>
      <c r="IA95" s="98"/>
      <c r="IB95" s="98"/>
      <c r="IC95" s="98"/>
      <c r="ID95" s="98"/>
      <c r="IE95" s="98"/>
      <c r="IF95" s="98"/>
      <c r="IG95" s="98"/>
      <c r="IH95" s="98"/>
      <c r="II95" s="98"/>
      <c r="IJ95" s="98"/>
      <c r="IK95" s="98"/>
      <c r="IL95" s="98"/>
      <c r="IM95" s="98"/>
      <c r="IN95" s="98"/>
      <c r="IO95" s="98"/>
      <c r="IP95" s="98"/>
      <c r="IQ95" s="98"/>
      <c r="IR95" s="98"/>
      <c r="IS95" s="98"/>
      <c r="IT95" s="98"/>
      <c r="IU95" s="98"/>
      <c r="IV95" s="98"/>
    </row>
    <row r="96" spans="1:256">
      <c r="A96" s="178"/>
      <c r="B96" s="183"/>
      <c r="C96" s="120"/>
      <c r="D96" s="151"/>
      <c r="E96" s="206" t="s">
        <v>159</v>
      </c>
      <c r="F96" s="174"/>
      <c r="G96" s="121"/>
      <c r="H96" s="97"/>
      <c r="J96" s="130"/>
      <c r="L96" s="163"/>
    </row>
    <row r="97" spans="1:12">
      <c r="A97" s="178"/>
      <c r="B97" s="183"/>
      <c r="C97" s="120"/>
      <c r="D97" s="151"/>
      <c r="E97" s="127" t="s">
        <v>716</v>
      </c>
      <c r="F97" s="174">
        <f>0.2+531.9</f>
        <v>532.1</v>
      </c>
      <c r="G97" s="121"/>
      <c r="H97" s="97"/>
      <c r="J97" s="130"/>
      <c r="L97" s="163"/>
    </row>
    <row r="98" spans="1:12">
      <c r="A98" s="178"/>
      <c r="B98" s="183"/>
      <c r="C98" s="120"/>
      <c r="D98" s="151"/>
      <c r="E98" s="127" t="s">
        <v>160</v>
      </c>
      <c r="F98" s="174">
        <v>581.70000000000005</v>
      </c>
      <c r="G98" s="121"/>
      <c r="H98" s="97"/>
      <c r="J98" s="130"/>
      <c r="L98" s="163"/>
    </row>
    <row r="99" spans="1:12">
      <c r="A99" s="178"/>
      <c r="B99" s="183"/>
      <c r="C99" s="120"/>
      <c r="D99" s="151"/>
      <c r="E99" s="127" t="s">
        <v>717</v>
      </c>
      <c r="F99" s="174">
        <f>495.6</f>
        <v>495.6</v>
      </c>
      <c r="G99" s="121"/>
      <c r="H99" s="97"/>
      <c r="J99" s="130"/>
      <c r="L99" s="163"/>
    </row>
    <row r="100" spans="1:12">
      <c r="A100" s="178"/>
      <c r="B100" s="183"/>
      <c r="C100" s="120"/>
      <c r="D100" s="151"/>
      <c r="E100" s="127" t="s">
        <v>659</v>
      </c>
      <c r="F100" s="174">
        <v>0.02</v>
      </c>
      <c r="G100" s="121"/>
      <c r="H100" s="97"/>
      <c r="J100" s="130"/>
      <c r="L100" s="163"/>
    </row>
    <row r="101" spans="1:12">
      <c r="A101" s="178"/>
      <c r="B101" s="183"/>
      <c r="C101" s="120"/>
      <c r="D101" s="151"/>
      <c r="E101" s="127" t="s">
        <v>660</v>
      </c>
      <c r="F101" s="174">
        <v>1.5</v>
      </c>
      <c r="G101" s="121"/>
      <c r="H101" s="97"/>
      <c r="J101" s="130"/>
      <c r="L101" s="163"/>
    </row>
    <row r="102" spans="1:12">
      <c r="A102" s="178"/>
      <c r="B102" s="183"/>
      <c r="C102" s="120"/>
      <c r="D102" s="151"/>
      <c r="E102" s="127" t="s">
        <v>661</v>
      </c>
      <c r="F102" s="174">
        <v>0.5</v>
      </c>
      <c r="G102" s="121"/>
      <c r="H102" s="97"/>
      <c r="J102" s="130"/>
      <c r="L102" s="163"/>
    </row>
    <row r="103" spans="1:12">
      <c r="A103" s="178"/>
      <c r="B103" s="183"/>
      <c r="C103" s="120"/>
      <c r="D103" s="151"/>
      <c r="E103" s="127" t="s">
        <v>662</v>
      </c>
      <c r="F103" s="174">
        <v>0.5</v>
      </c>
      <c r="G103" s="121"/>
      <c r="H103" s="97"/>
      <c r="J103" s="130"/>
      <c r="L103" s="163"/>
    </row>
    <row r="104" spans="1:12">
      <c r="A104" s="178"/>
      <c r="B104" s="183"/>
      <c r="C104" s="120"/>
      <c r="D104" s="151"/>
      <c r="E104" s="127" t="s">
        <v>663</v>
      </c>
      <c r="F104" s="174">
        <v>0.15</v>
      </c>
      <c r="G104" s="121"/>
      <c r="H104" s="97"/>
      <c r="J104" s="130"/>
      <c r="L104" s="163"/>
    </row>
    <row r="105" spans="1:12" ht="26">
      <c r="A105" s="178"/>
      <c r="B105" s="183"/>
      <c r="C105" s="120"/>
      <c r="D105" s="151"/>
      <c r="E105" s="127" t="s">
        <v>664</v>
      </c>
      <c r="F105" s="174">
        <v>0.1</v>
      </c>
      <c r="G105" s="121"/>
      <c r="H105" s="97"/>
      <c r="J105" s="130"/>
      <c r="L105" s="163"/>
    </row>
    <row r="106" spans="1:12">
      <c r="A106" s="178"/>
      <c r="B106" s="183"/>
      <c r="C106" s="120"/>
      <c r="D106" s="151"/>
      <c r="E106" s="127" t="s">
        <v>665</v>
      </c>
      <c r="F106" s="172">
        <v>1.7</v>
      </c>
      <c r="G106" s="121"/>
      <c r="H106" s="97"/>
      <c r="J106" s="130"/>
      <c r="L106" s="163"/>
    </row>
    <row r="107" spans="1:12">
      <c r="A107" s="178"/>
      <c r="B107" s="183"/>
      <c r="C107" s="120"/>
      <c r="D107" s="151"/>
      <c r="E107" s="127"/>
      <c r="F107" s="174">
        <f>SUM(F97:F106)</f>
        <v>1613.8700000000001</v>
      </c>
      <c r="G107" s="121"/>
      <c r="H107" s="97"/>
      <c r="J107" s="130"/>
      <c r="L107" s="163"/>
    </row>
    <row r="108" spans="1:12">
      <c r="A108" s="178"/>
      <c r="B108" s="183"/>
      <c r="C108" s="120"/>
      <c r="D108" s="151"/>
      <c r="E108" s="127"/>
      <c r="F108" s="174"/>
      <c r="G108" s="121"/>
      <c r="H108" s="97"/>
      <c r="J108" s="130"/>
      <c r="L108" s="163"/>
    </row>
    <row r="109" spans="1:12">
      <c r="A109" s="178"/>
      <c r="B109" s="183"/>
      <c r="C109" s="120"/>
      <c r="D109" s="151"/>
      <c r="E109" s="206" t="s">
        <v>161</v>
      </c>
      <c r="F109" s="174"/>
      <c r="G109" s="121"/>
      <c r="H109" s="97"/>
      <c r="J109" s="130"/>
      <c r="L109" s="163"/>
    </row>
    <row r="110" spans="1:12">
      <c r="A110" s="178"/>
      <c r="B110" s="183"/>
      <c r="C110" s="120"/>
      <c r="D110" s="151"/>
      <c r="E110" s="127" t="s">
        <v>162</v>
      </c>
      <c r="F110" s="174">
        <v>24.6</v>
      </c>
      <c r="G110" s="121"/>
      <c r="H110" s="97"/>
      <c r="J110" s="130"/>
      <c r="L110" s="163"/>
    </row>
    <row r="111" spans="1:12">
      <c r="A111" s="178"/>
      <c r="B111" s="183"/>
      <c r="C111" s="120"/>
      <c r="D111" s="151"/>
      <c r="E111" s="207" t="s">
        <v>163</v>
      </c>
      <c r="F111" s="208">
        <f>F107+F110</f>
        <v>1638.47</v>
      </c>
      <c r="G111" s="121"/>
      <c r="H111" s="97"/>
      <c r="J111" s="130"/>
      <c r="L111" s="163"/>
    </row>
    <row r="112" spans="1:12">
      <c r="A112" s="178"/>
      <c r="B112" s="183"/>
      <c r="C112" s="120"/>
      <c r="D112" s="151"/>
      <c r="E112" s="127"/>
      <c r="F112" s="172"/>
      <c r="G112" s="121"/>
      <c r="H112" s="97"/>
      <c r="J112" s="130"/>
      <c r="L112" s="163"/>
    </row>
    <row r="113" spans="1:12" ht="26">
      <c r="A113" s="101">
        <f>MAX(A$1:A107)+1</f>
        <v>20</v>
      </c>
      <c r="B113" s="108"/>
      <c r="C113" s="109" t="s">
        <v>68</v>
      </c>
      <c r="D113" s="110"/>
      <c r="E113" s="103" t="s">
        <v>69</v>
      </c>
      <c r="F113" s="172"/>
      <c r="G113" s="209" t="s">
        <v>164</v>
      </c>
      <c r="H113" s="173">
        <v>96.06</v>
      </c>
      <c r="I113" s="210"/>
      <c r="J113" s="130"/>
      <c r="L113" s="163"/>
    </row>
    <row r="114" spans="1:12" ht="25">
      <c r="A114" s="176"/>
      <c r="B114" s="191"/>
      <c r="C114" s="120"/>
      <c r="D114" s="151" t="s">
        <v>165</v>
      </c>
      <c r="E114" s="100" t="s">
        <v>166</v>
      </c>
      <c r="F114" s="172"/>
      <c r="G114" s="121" t="s">
        <v>164</v>
      </c>
      <c r="H114" s="97">
        <v>96.06</v>
      </c>
      <c r="J114" s="130"/>
      <c r="L114" s="163"/>
    </row>
    <row r="115" spans="1:12">
      <c r="A115" s="176"/>
      <c r="B115" s="191"/>
      <c r="C115" s="120"/>
      <c r="D115" s="151"/>
      <c r="E115" s="201" t="s">
        <v>167</v>
      </c>
      <c r="F115" s="172"/>
      <c r="G115" s="121"/>
      <c r="H115" s="97"/>
      <c r="J115" s="130"/>
      <c r="L115" s="163"/>
    </row>
    <row r="116" spans="1:12" ht="26">
      <c r="A116" s="176"/>
      <c r="B116" s="191"/>
      <c r="C116" s="120"/>
      <c r="D116" s="151"/>
      <c r="E116" s="127" t="s">
        <v>168</v>
      </c>
      <c r="F116" s="174"/>
      <c r="G116" s="121"/>
      <c r="H116" s="97"/>
      <c r="J116" s="130"/>
      <c r="L116" s="163"/>
    </row>
    <row r="117" spans="1:12" ht="26">
      <c r="A117" s="176"/>
      <c r="B117" s="191"/>
      <c r="C117" s="120"/>
      <c r="D117" s="151"/>
      <c r="E117" s="127" t="s">
        <v>169</v>
      </c>
      <c r="F117" s="174">
        <f>((37.4*(2.1+1.8)/2+0.3)+2.49+1.87+4.25*1.8/2)*0.1</f>
        <v>8.1415000000000006</v>
      </c>
      <c r="G117" s="121"/>
      <c r="H117" s="97"/>
      <c r="J117" s="130"/>
      <c r="L117" s="163"/>
    </row>
    <row r="118" spans="1:12" ht="12.75" customHeight="1">
      <c r="A118" s="176"/>
      <c r="B118" s="191"/>
      <c r="C118" s="120"/>
      <c r="D118" s="151"/>
      <c r="E118" s="127" t="s">
        <v>170</v>
      </c>
      <c r="F118" s="174">
        <f>(19*((2.1+1.8)/2+0.3)+2.49+1.87+4.25*1.8/2)*0.1</f>
        <v>5.0935000000000006</v>
      </c>
      <c r="G118" s="121"/>
      <c r="H118" s="97"/>
      <c r="J118" s="130"/>
      <c r="L118" s="163"/>
    </row>
    <row r="119" spans="1:12" ht="25.5" customHeight="1">
      <c r="A119" s="176"/>
      <c r="B119" s="191"/>
      <c r="C119" s="120"/>
      <c r="D119" s="151"/>
      <c r="E119" s="211" t="s">
        <v>686</v>
      </c>
      <c r="F119" s="171">
        <f>((40.7+34.7)/2-1.65)*11.2*0.1</f>
        <v>40.376000000000005</v>
      </c>
      <c r="G119" s="121"/>
      <c r="H119" s="97"/>
      <c r="J119" s="130"/>
      <c r="L119" s="163"/>
    </row>
    <row r="120" spans="1:12" ht="39">
      <c r="A120" s="176"/>
      <c r="B120" s="191"/>
      <c r="C120" s="120"/>
      <c r="D120" s="151"/>
      <c r="E120" s="211" t="s">
        <v>685</v>
      </c>
      <c r="F120" s="212">
        <f>((19.5*11.2)+((21.9+18.2)/2-1.65)*11.2)*0.1</f>
        <v>42.448</v>
      </c>
      <c r="G120" s="121"/>
      <c r="H120" s="97"/>
      <c r="J120" s="130"/>
      <c r="L120" s="163"/>
    </row>
    <row r="121" spans="1:12">
      <c r="A121" s="176"/>
      <c r="B121" s="191"/>
      <c r="C121" s="120"/>
      <c r="D121" s="151"/>
      <c r="E121" s="127"/>
      <c r="F121" s="213">
        <f>SUM(F116:F120)</f>
        <v>96.058999999999997</v>
      </c>
      <c r="G121" s="121"/>
      <c r="H121" s="97"/>
      <c r="J121" s="130"/>
      <c r="L121" s="163"/>
    </row>
    <row r="122" spans="1:12">
      <c r="A122" s="178"/>
      <c r="B122" s="183"/>
      <c r="C122" s="120"/>
      <c r="D122" s="151"/>
      <c r="E122" s="127"/>
      <c r="F122" s="100"/>
      <c r="G122" s="121"/>
      <c r="H122" s="97"/>
      <c r="J122" s="130"/>
      <c r="L122" s="163"/>
    </row>
    <row r="123" spans="1:12" s="215" customFormat="1" ht="26">
      <c r="A123" s="101">
        <f>MAX(A$1:A122)+1</f>
        <v>21</v>
      </c>
      <c r="B123" s="108"/>
      <c r="C123" s="109" t="s">
        <v>32</v>
      </c>
      <c r="D123" s="110"/>
      <c r="E123" s="103" t="s">
        <v>33</v>
      </c>
      <c r="F123" s="203"/>
      <c r="G123" s="112" t="s">
        <v>16</v>
      </c>
      <c r="H123" s="113">
        <v>712.98</v>
      </c>
      <c r="I123" s="214"/>
      <c r="J123" s="198"/>
      <c r="K123" s="100"/>
      <c r="L123" s="163"/>
    </row>
    <row r="124" spans="1:12" s="129" customFormat="1" ht="25">
      <c r="A124" s="176"/>
      <c r="B124" s="191"/>
      <c r="C124" s="120"/>
      <c r="D124" s="151" t="s">
        <v>94</v>
      </c>
      <c r="E124" s="100" t="s">
        <v>76</v>
      </c>
      <c r="F124" s="215"/>
      <c r="G124" s="121" t="s">
        <v>16</v>
      </c>
      <c r="H124" s="122">
        <v>650.52</v>
      </c>
      <c r="J124" s="130"/>
      <c r="L124" s="163"/>
    </row>
    <row r="125" spans="1:12" s="129" customFormat="1">
      <c r="A125" s="176"/>
      <c r="B125" s="191"/>
      <c r="C125" s="120"/>
      <c r="D125" s="151"/>
      <c r="E125" s="123" t="s">
        <v>171</v>
      </c>
      <c r="F125" s="216">
        <f>2*(63.2-0.74)</f>
        <v>124.92</v>
      </c>
      <c r="G125" s="121"/>
      <c r="H125" s="122"/>
      <c r="J125" s="130"/>
      <c r="L125" s="163"/>
    </row>
    <row r="126" spans="1:12" s="215" customFormat="1">
      <c r="A126" s="176"/>
      <c r="B126" s="191"/>
      <c r="C126" s="120"/>
      <c r="D126" s="151"/>
      <c r="E126" s="127" t="s">
        <v>172</v>
      </c>
      <c r="F126" s="174">
        <f>3*(9+4.2+2*50+10.5+2.5)</f>
        <v>378.6</v>
      </c>
      <c r="G126" s="121"/>
      <c r="H126" s="122"/>
      <c r="J126" s="130"/>
      <c r="L126" s="163"/>
    </row>
    <row r="127" spans="1:12" s="129" customFormat="1">
      <c r="A127" s="178"/>
      <c r="B127" s="183"/>
      <c r="C127" s="120"/>
      <c r="D127" s="151"/>
      <c r="E127" s="127" t="s">
        <v>173</v>
      </c>
      <c r="F127" s="172">
        <f>3*4*(11.75+2*0.25)</f>
        <v>147</v>
      </c>
      <c r="G127" s="121"/>
      <c r="H127" s="122"/>
      <c r="J127" s="130"/>
      <c r="L127" s="163"/>
    </row>
    <row r="128" spans="1:12" s="129" customFormat="1">
      <c r="A128" s="178"/>
      <c r="B128" s="183"/>
      <c r="C128" s="120"/>
      <c r="D128" s="151"/>
      <c r="E128" s="127"/>
      <c r="F128" s="174">
        <f>SUM(F125:F127)</f>
        <v>650.52</v>
      </c>
      <c r="G128" s="121"/>
      <c r="H128" s="122"/>
      <c r="J128" s="130"/>
      <c r="L128" s="163"/>
    </row>
    <row r="129" spans="1:12" s="163" customFormat="1" ht="25">
      <c r="A129" s="164"/>
      <c r="B129" s="191"/>
      <c r="C129" s="120"/>
      <c r="D129" s="151" t="s">
        <v>174</v>
      </c>
      <c r="E129" s="100" t="s">
        <v>175</v>
      </c>
      <c r="F129" s="215"/>
      <c r="G129" s="121" t="s">
        <v>16</v>
      </c>
      <c r="H129" s="122">
        <v>62.46</v>
      </c>
      <c r="J129" s="130"/>
    </row>
    <row r="130" spans="1:12" s="129" customFormat="1">
      <c r="A130" s="178"/>
      <c r="B130" s="183"/>
      <c r="C130" s="120"/>
      <c r="D130" s="151"/>
      <c r="E130" s="127" t="s">
        <v>176</v>
      </c>
      <c r="F130" s="174">
        <f>63.2-0.74</f>
        <v>62.46</v>
      </c>
      <c r="G130" s="121"/>
      <c r="H130" s="122"/>
      <c r="J130" s="130"/>
      <c r="L130" s="163"/>
    </row>
    <row r="131" spans="1:12" s="129" customFormat="1">
      <c r="A131" s="178"/>
      <c r="B131" s="183"/>
      <c r="C131" s="120"/>
      <c r="D131" s="151"/>
      <c r="E131" s="127"/>
      <c r="F131" s="174"/>
      <c r="G131" s="121"/>
      <c r="H131" s="122"/>
      <c r="J131" s="130"/>
      <c r="L131" s="163"/>
    </row>
    <row r="132" spans="1:12" s="129" customFormat="1">
      <c r="A132" s="101">
        <f>MAX(A$1:A131)+1</f>
        <v>22</v>
      </c>
      <c r="B132" s="145"/>
      <c r="C132" s="109" t="s">
        <v>48</v>
      </c>
      <c r="D132" s="110"/>
      <c r="E132" s="103" t="s">
        <v>49</v>
      </c>
      <c r="F132" s="103"/>
      <c r="G132" s="112" t="s">
        <v>12</v>
      </c>
      <c r="H132" s="104">
        <v>65</v>
      </c>
      <c r="I132" s="146"/>
      <c r="K132" s="100"/>
      <c r="L132" s="163"/>
    </row>
    <row r="133" spans="1:12" s="129" customFormat="1" ht="26">
      <c r="A133" s="217"/>
      <c r="B133" s="145"/>
      <c r="C133" s="109"/>
      <c r="D133" s="110"/>
      <c r="E133" s="123" t="s">
        <v>177</v>
      </c>
      <c r="F133" s="218">
        <f>12*2</f>
        <v>24</v>
      </c>
      <c r="G133" s="112"/>
      <c r="H133" s="104"/>
      <c r="L133" s="163"/>
    </row>
    <row r="134" spans="1:12" s="129" customFormat="1" ht="26">
      <c r="A134" s="217"/>
      <c r="B134" s="145"/>
      <c r="C134" s="109"/>
      <c r="D134" s="110"/>
      <c r="E134" s="123" t="s">
        <v>178</v>
      </c>
      <c r="F134" s="218">
        <f>12*2</f>
        <v>24</v>
      </c>
      <c r="G134" s="112"/>
      <c r="H134" s="104"/>
      <c r="L134" s="163"/>
    </row>
    <row r="135" spans="1:12" s="129" customFormat="1">
      <c r="A135" s="219"/>
      <c r="B135" s="96"/>
      <c r="C135" s="96"/>
      <c r="D135" s="133"/>
      <c r="E135" s="220" t="s">
        <v>179</v>
      </c>
      <c r="F135" s="221"/>
      <c r="G135" s="222"/>
      <c r="H135" s="223"/>
      <c r="L135" s="163"/>
    </row>
    <row r="136" spans="1:12" s="215" customFormat="1" ht="26">
      <c r="A136" s="219"/>
      <c r="B136" s="96"/>
      <c r="C136" s="96"/>
      <c r="D136" s="133"/>
      <c r="E136" s="220" t="s">
        <v>180</v>
      </c>
      <c r="F136" s="197">
        <v>6</v>
      </c>
      <c r="G136" s="222"/>
      <c r="H136" s="223"/>
      <c r="I136" s="72"/>
      <c r="J136" s="72"/>
      <c r="K136" s="72"/>
      <c r="L136" s="163"/>
    </row>
    <row r="137" spans="1:12" s="215" customFormat="1" ht="15" customHeight="1">
      <c r="A137" s="219"/>
      <c r="B137" s="96"/>
      <c r="C137" s="96"/>
      <c r="D137" s="133"/>
      <c r="E137" s="220" t="s">
        <v>181</v>
      </c>
      <c r="F137" s="221"/>
      <c r="G137" s="222"/>
      <c r="H137" s="223"/>
      <c r="I137" s="72"/>
      <c r="J137" s="72"/>
      <c r="K137" s="72"/>
      <c r="L137" s="163"/>
    </row>
    <row r="138" spans="1:12" s="129" customFormat="1" ht="26">
      <c r="A138" s="219"/>
      <c r="B138" s="96"/>
      <c r="C138" s="96"/>
      <c r="D138" s="133"/>
      <c r="E138" s="220" t="s">
        <v>182</v>
      </c>
      <c r="F138" s="224">
        <v>11</v>
      </c>
      <c r="G138" s="225"/>
      <c r="H138" s="223"/>
      <c r="L138" s="163"/>
    </row>
    <row r="139" spans="1:12" s="129" customFormat="1">
      <c r="A139" s="219"/>
      <c r="B139" s="96"/>
      <c r="C139" s="96"/>
      <c r="D139" s="133"/>
      <c r="E139" s="220"/>
      <c r="F139" s="221">
        <f>SUM(F133:F138)</f>
        <v>65</v>
      </c>
      <c r="G139" s="222"/>
      <c r="H139" s="223"/>
      <c r="L139" s="163"/>
    </row>
    <row r="140" spans="1:12" s="129" customFormat="1">
      <c r="A140" s="178"/>
      <c r="B140" s="183"/>
      <c r="C140" s="120"/>
      <c r="D140" s="151"/>
      <c r="E140" s="127"/>
      <c r="F140" s="174"/>
      <c r="G140" s="121"/>
      <c r="H140" s="122"/>
      <c r="J140" s="130"/>
      <c r="L140" s="163"/>
    </row>
    <row r="141" spans="1:12" s="129" customFormat="1">
      <c r="A141" s="101">
        <f>MAX(A$1:A139)+1</f>
        <v>23</v>
      </c>
      <c r="B141" s="108"/>
      <c r="C141" s="110" t="s">
        <v>22</v>
      </c>
      <c r="D141" s="110"/>
      <c r="E141" s="103" t="s">
        <v>23</v>
      </c>
      <c r="F141" s="111"/>
      <c r="G141" s="112" t="s">
        <v>14</v>
      </c>
      <c r="H141" s="104">
        <v>3529.94</v>
      </c>
      <c r="I141" s="180"/>
      <c r="J141" s="130"/>
      <c r="L141" s="163"/>
    </row>
    <row r="142" spans="1:12" s="129" customFormat="1" ht="25">
      <c r="A142" s="217"/>
      <c r="B142" s="108"/>
      <c r="C142" s="110"/>
      <c r="D142" s="120" t="s">
        <v>183</v>
      </c>
      <c r="E142" s="100" t="s">
        <v>184</v>
      </c>
      <c r="F142" s="215"/>
      <c r="G142" s="121" t="s">
        <v>14</v>
      </c>
      <c r="H142" s="226">
        <v>237.06</v>
      </c>
      <c r="J142" s="130"/>
      <c r="L142" s="163"/>
    </row>
    <row r="143" spans="1:12">
      <c r="A143" s="176"/>
      <c r="B143" s="191"/>
      <c r="C143" s="120"/>
      <c r="D143" s="151"/>
      <c r="E143" s="201" t="s">
        <v>185</v>
      </c>
      <c r="F143" s="215"/>
      <c r="G143" s="121"/>
      <c r="H143" s="97"/>
      <c r="I143" s="68"/>
      <c r="J143" s="130"/>
      <c r="L143" s="163"/>
    </row>
    <row r="144" spans="1:12" ht="12.75" customHeight="1">
      <c r="A144" s="176"/>
      <c r="B144" s="191"/>
      <c r="C144" s="120"/>
      <c r="D144" s="151"/>
      <c r="E144" s="127" t="s">
        <v>186</v>
      </c>
      <c r="F144" s="215"/>
      <c r="G144" s="121"/>
      <c r="H144" s="97"/>
      <c r="I144" s="68"/>
      <c r="J144" s="130"/>
      <c r="L144" s="163"/>
    </row>
    <row r="145" spans="1:12">
      <c r="A145" s="176"/>
      <c r="B145" s="191"/>
      <c r="C145" s="120"/>
      <c r="D145" s="151"/>
      <c r="E145" s="123" t="s">
        <v>187</v>
      </c>
      <c r="F145" s="171">
        <f>(37.4*(2.1+1.8)/2+0.3)+2.49+1.87+4.25*1.8/2</f>
        <v>81.415000000000006</v>
      </c>
      <c r="G145" s="121"/>
      <c r="H145" s="97"/>
      <c r="I145" s="68"/>
      <c r="J145" s="130"/>
      <c r="L145" s="163"/>
    </row>
    <row r="146" spans="1:12">
      <c r="A146" s="176"/>
      <c r="B146" s="191"/>
      <c r="C146" s="120"/>
      <c r="D146" s="151"/>
      <c r="E146" s="123" t="s">
        <v>188</v>
      </c>
      <c r="F146" s="171">
        <f>19*((2.1+1.8)/2+0.3)+2.49+1.87</f>
        <v>47.11</v>
      </c>
      <c r="G146" s="121"/>
      <c r="H146" s="97"/>
      <c r="I146" s="68"/>
      <c r="J146" s="130"/>
      <c r="L146" s="163"/>
    </row>
    <row r="147" spans="1:12">
      <c r="A147" s="176"/>
      <c r="B147" s="191"/>
      <c r="C147" s="120"/>
      <c r="D147" s="151"/>
      <c r="E147" s="123" t="s">
        <v>189</v>
      </c>
      <c r="F147" s="171">
        <f>(81.42+47.11)*0.2</f>
        <v>25.706000000000003</v>
      </c>
      <c r="G147" s="121"/>
      <c r="H147" s="97"/>
      <c r="I147" s="68"/>
      <c r="J147" s="130"/>
      <c r="L147" s="163"/>
    </row>
    <row r="148" spans="1:12" ht="26">
      <c r="A148" s="176"/>
      <c r="B148" s="191"/>
      <c r="C148" s="120"/>
      <c r="D148" s="151"/>
      <c r="E148" s="211" t="s">
        <v>697</v>
      </c>
      <c r="F148" s="171">
        <f>((40.7+34.7)/2-1.65)*11.2*0.1</f>
        <v>40.376000000000005</v>
      </c>
      <c r="G148" s="121"/>
      <c r="H148" s="97"/>
      <c r="I148" s="68"/>
      <c r="J148" s="130"/>
      <c r="L148" s="163"/>
    </row>
    <row r="149" spans="1:12" ht="26">
      <c r="A149" s="176"/>
      <c r="B149" s="191"/>
      <c r="C149" s="120"/>
      <c r="D149" s="151"/>
      <c r="E149" s="211" t="s">
        <v>698</v>
      </c>
      <c r="F149" s="212">
        <f>((19.5*11.2)+((21.9+18.2)/2-1.65)*11.2)*0.1</f>
        <v>42.448</v>
      </c>
      <c r="G149" s="121"/>
      <c r="H149" s="97"/>
      <c r="I149" s="68"/>
      <c r="J149" s="130"/>
      <c r="L149" s="163"/>
    </row>
    <row r="150" spans="1:12" s="163" customFormat="1">
      <c r="A150" s="176"/>
      <c r="B150" s="191"/>
      <c r="C150" s="120"/>
      <c r="D150" s="151"/>
      <c r="E150" s="100"/>
      <c r="F150" s="124">
        <f>SUM(F145:F149)</f>
        <v>237.05500000000001</v>
      </c>
      <c r="G150" s="121"/>
      <c r="H150" s="97"/>
      <c r="I150" s="146"/>
      <c r="J150" s="167"/>
    </row>
    <row r="151" spans="1:12" s="163" customFormat="1">
      <c r="A151" s="227"/>
      <c r="B151" s="191"/>
      <c r="C151" s="120"/>
      <c r="D151" s="151"/>
      <c r="E151" s="100"/>
      <c r="F151" s="124"/>
      <c r="G151" s="121"/>
      <c r="H151" s="97"/>
      <c r="I151" s="146"/>
      <c r="J151" s="167"/>
    </row>
    <row r="152" spans="1:12" s="163" customFormat="1" ht="25">
      <c r="A152" s="227"/>
      <c r="B152" s="191"/>
      <c r="C152" s="120"/>
      <c r="D152" s="120" t="s">
        <v>668</v>
      </c>
      <c r="E152" s="100" t="s">
        <v>667</v>
      </c>
      <c r="F152" s="215"/>
      <c r="G152" s="121" t="s">
        <v>14</v>
      </c>
      <c r="H152" s="97">
        <v>1858.71</v>
      </c>
      <c r="I152" s="129"/>
      <c r="J152" s="130"/>
    </row>
    <row r="153" spans="1:12" s="163" customFormat="1" ht="26">
      <c r="A153" s="227"/>
      <c r="B153" s="191"/>
      <c r="C153" s="120"/>
      <c r="D153" s="151"/>
      <c r="E153" s="220" t="s">
        <v>604</v>
      </c>
      <c r="F153" s="221">
        <f>16.23*2*2</f>
        <v>64.92</v>
      </c>
      <c r="G153" s="121"/>
      <c r="H153" s="97"/>
      <c r="I153" s="129"/>
      <c r="J153" s="130"/>
    </row>
    <row r="154" spans="1:12" s="163" customFormat="1" ht="26">
      <c r="A154" s="227"/>
      <c r="B154" s="191"/>
      <c r="C154" s="120"/>
      <c r="D154" s="151"/>
      <c r="E154" s="220" t="s">
        <v>605</v>
      </c>
      <c r="F154" s="221">
        <f>63.2*13.78</f>
        <v>870.89599999999996</v>
      </c>
      <c r="G154" s="121"/>
      <c r="H154" s="97"/>
      <c r="I154" s="129"/>
      <c r="J154" s="130"/>
    </row>
    <row r="155" spans="1:12" s="163" customFormat="1" ht="26">
      <c r="A155" s="227"/>
      <c r="B155" s="191"/>
      <c r="C155" s="120"/>
      <c r="D155" s="151"/>
      <c r="E155" s="220" t="s">
        <v>606</v>
      </c>
      <c r="F155" s="221">
        <f>2*13*2</f>
        <v>52</v>
      </c>
      <c r="G155" s="121"/>
      <c r="H155" s="97"/>
      <c r="I155" s="129"/>
      <c r="J155" s="130"/>
    </row>
    <row r="156" spans="1:12" s="163" customFormat="1" ht="26">
      <c r="A156" s="227"/>
      <c r="B156" s="191"/>
      <c r="C156" s="120"/>
      <c r="D156" s="151"/>
      <c r="E156" s="220" t="s">
        <v>607</v>
      </c>
      <c r="F156" s="228">
        <f>63.2*13.78</f>
        <v>870.89599999999996</v>
      </c>
      <c r="G156" s="121"/>
      <c r="H156" s="97"/>
      <c r="I156" s="72"/>
      <c r="J156" s="73"/>
    </row>
    <row r="157" spans="1:12" s="163" customFormat="1">
      <c r="A157" s="227"/>
      <c r="B157" s="191"/>
      <c r="C157" s="120"/>
      <c r="D157" s="151"/>
      <c r="E157" s="220"/>
      <c r="F157" s="221">
        <f>SUM(F153:F156)</f>
        <v>1858.712</v>
      </c>
      <c r="G157" s="121"/>
      <c r="H157" s="97"/>
      <c r="I157" s="72"/>
      <c r="J157" s="73"/>
    </row>
    <row r="158" spans="1:12" s="163" customFormat="1" ht="25">
      <c r="A158" s="227"/>
      <c r="B158" s="191"/>
      <c r="C158" s="120"/>
      <c r="D158" s="120" t="s">
        <v>669</v>
      </c>
      <c r="E158" s="100" t="s">
        <v>667</v>
      </c>
      <c r="F158" s="215"/>
      <c r="G158" s="121" t="s">
        <v>14</v>
      </c>
      <c r="H158" s="97">
        <v>1434.17</v>
      </c>
      <c r="I158" s="72"/>
      <c r="J158" s="73"/>
    </row>
    <row r="159" spans="1:12" s="163" customFormat="1" ht="39">
      <c r="A159" s="227"/>
      <c r="B159" s="191"/>
      <c r="C159" s="120"/>
      <c r="D159" s="151"/>
      <c r="E159" s="220" t="s">
        <v>608</v>
      </c>
      <c r="F159" s="221">
        <f>2*1.632*61</f>
        <v>199.10399999999998</v>
      </c>
      <c r="G159" s="121"/>
      <c r="H159" s="97"/>
      <c r="I159" s="72"/>
      <c r="J159" s="73"/>
    </row>
    <row r="160" spans="1:12" s="163" customFormat="1" ht="26">
      <c r="A160" s="227"/>
      <c r="B160" s="191"/>
      <c r="C160" s="120"/>
      <c r="D160" s="151"/>
      <c r="E160" s="220" t="s">
        <v>609</v>
      </c>
      <c r="F160" s="197">
        <f>9*1.15*(63-2*0.75)</f>
        <v>636.52499999999998</v>
      </c>
      <c r="G160" s="121"/>
      <c r="H160" s="97"/>
      <c r="I160" s="146"/>
      <c r="J160" s="167"/>
    </row>
    <row r="161" spans="1:18" s="163" customFormat="1" ht="39">
      <c r="A161" s="227"/>
      <c r="B161" s="191"/>
      <c r="C161" s="120"/>
      <c r="D161" s="151"/>
      <c r="E161" s="220" t="s">
        <v>610</v>
      </c>
      <c r="F161" s="197">
        <f>8*0.43*(63-2*0.75)</f>
        <v>211.56</v>
      </c>
      <c r="G161" s="121"/>
      <c r="H161" s="97"/>
      <c r="I161" s="146"/>
      <c r="J161" s="167"/>
    </row>
    <row r="162" spans="1:18" s="163" customFormat="1">
      <c r="A162" s="227"/>
      <c r="B162" s="191"/>
      <c r="C162" s="120"/>
      <c r="D162" s="151"/>
      <c r="E162" s="220" t="s">
        <v>611</v>
      </c>
      <c r="F162" s="221">
        <f>4*10.3*7</f>
        <v>288.40000000000003</v>
      </c>
      <c r="G162" s="121"/>
      <c r="H162" s="97"/>
      <c r="I162" s="146"/>
      <c r="J162" s="167"/>
    </row>
    <row r="163" spans="1:18" s="163" customFormat="1">
      <c r="A163" s="227"/>
      <c r="B163" s="191"/>
      <c r="C163" s="120"/>
      <c r="D163" s="151"/>
      <c r="E163" s="220" t="s">
        <v>612</v>
      </c>
      <c r="F163" s="229">
        <f>4*10.3+2*15.1*1.9</f>
        <v>98.58</v>
      </c>
      <c r="G163" s="121"/>
      <c r="H163" s="97"/>
      <c r="I163" s="146"/>
      <c r="J163" s="167"/>
    </row>
    <row r="164" spans="1:18" s="163" customFormat="1">
      <c r="A164" s="227"/>
      <c r="B164" s="191"/>
      <c r="C164" s="120"/>
      <c r="D164" s="151"/>
      <c r="E164" s="220"/>
      <c r="F164" s="221">
        <f>SUM(F159:F163)</f>
        <v>1434.1689999999999</v>
      </c>
      <c r="G164" s="121"/>
      <c r="H164" s="97"/>
      <c r="I164" s="146"/>
      <c r="J164" s="167"/>
    </row>
    <row r="165" spans="1:18" s="163" customFormat="1">
      <c r="A165" s="227"/>
      <c r="B165" s="191"/>
      <c r="C165" s="120"/>
      <c r="D165" s="151"/>
      <c r="E165" s="100"/>
      <c r="F165" s="124"/>
      <c r="G165" s="121"/>
      <c r="H165" s="97"/>
      <c r="I165" s="146"/>
      <c r="J165" s="167"/>
    </row>
    <row r="166" spans="1:18" s="163" customFormat="1">
      <c r="A166" s="227"/>
      <c r="B166" s="191"/>
      <c r="C166" s="120"/>
      <c r="D166" s="151"/>
      <c r="E166" s="100"/>
      <c r="F166" s="124"/>
      <c r="G166" s="121"/>
      <c r="H166" s="97"/>
      <c r="I166" s="146"/>
      <c r="J166" s="167"/>
    </row>
    <row r="167" spans="1:18" s="129" customFormat="1">
      <c r="A167" s="230"/>
      <c r="B167" s="231" t="s">
        <v>190</v>
      </c>
      <c r="C167" s="232"/>
      <c r="D167" s="233"/>
      <c r="E167" s="234" t="s">
        <v>191</v>
      </c>
      <c r="F167" s="235"/>
      <c r="G167" s="236"/>
      <c r="H167" s="170"/>
      <c r="I167" s="146"/>
      <c r="J167" s="130"/>
      <c r="L167" s="163"/>
    </row>
    <row r="168" spans="1:18" s="129" customFormat="1">
      <c r="A168" s="230"/>
      <c r="B168" s="237"/>
      <c r="C168" s="238"/>
      <c r="D168" s="110"/>
      <c r="E168" s="239"/>
      <c r="F168" s="235"/>
      <c r="G168" s="236"/>
      <c r="H168" s="170"/>
      <c r="I168" s="146"/>
      <c r="J168" s="130"/>
      <c r="L168" s="163"/>
    </row>
    <row r="169" spans="1:18" s="241" customFormat="1">
      <c r="A169" s="101">
        <f>MAX(A$1:A167)+1</f>
        <v>24</v>
      </c>
      <c r="B169" s="161"/>
      <c r="C169" s="138" t="s">
        <v>192</v>
      </c>
      <c r="D169" s="139"/>
      <c r="E169" s="140" t="s">
        <v>193</v>
      </c>
      <c r="F169" s="141"/>
      <c r="G169" s="142" t="s">
        <v>14</v>
      </c>
      <c r="H169" s="240">
        <v>1548.69</v>
      </c>
      <c r="I169" s="68"/>
      <c r="J169" s="73"/>
      <c r="K169" s="72"/>
      <c r="L169" s="163"/>
      <c r="M169" s="72"/>
      <c r="N169" s="72"/>
      <c r="O169" s="72"/>
      <c r="P169" s="72"/>
      <c r="Q169" s="72"/>
      <c r="R169" s="72"/>
    </row>
    <row r="170" spans="1:18" s="116" customFormat="1">
      <c r="A170" s="168"/>
      <c r="B170" s="193"/>
      <c r="C170" s="194"/>
      <c r="D170" s="186" t="s">
        <v>194</v>
      </c>
      <c r="E170" s="187" t="s">
        <v>195</v>
      </c>
      <c r="F170" s="188"/>
      <c r="G170" s="189" t="s">
        <v>14</v>
      </c>
      <c r="H170" s="242">
        <v>1548.69</v>
      </c>
      <c r="I170" s="243"/>
      <c r="J170" s="115"/>
      <c r="L170" s="163"/>
    </row>
    <row r="171" spans="1:18" s="129" customFormat="1" ht="25.5" customHeight="1">
      <c r="A171" s="230"/>
      <c r="B171" s="237"/>
      <c r="C171" s="238"/>
      <c r="D171" s="110"/>
      <c r="E171" s="244" t="s">
        <v>687</v>
      </c>
      <c r="F171" s="165">
        <f>2*(18.5*11.2)+0.25*3.14*((21.6*23.2)+18.2*20.3)</f>
        <v>1097.8053</v>
      </c>
      <c r="G171" s="112"/>
      <c r="H171" s="97"/>
      <c r="I171" s="146"/>
      <c r="J171" s="130"/>
      <c r="L171" s="163"/>
    </row>
    <row r="172" spans="1:18" s="129" customFormat="1">
      <c r="A172" s="230"/>
      <c r="B172" s="237"/>
      <c r="C172" s="238"/>
      <c r="D172" s="110"/>
      <c r="E172" s="244" t="s">
        <v>196</v>
      </c>
      <c r="F172" s="165">
        <f>2*2*15*1</f>
        <v>60</v>
      </c>
      <c r="G172" s="112"/>
      <c r="H172" s="97"/>
      <c r="I172" s="146"/>
      <c r="J172" s="130"/>
      <c r="L172" s="163"/>
    </row>
    <row r="173" spans="1:18" s="129" customFormat="1" ht="25.5" customHeight="1">
      <c r="A173" s="230"/>
      <c r="B173" s="237"/>
      <c r="C173" s="238"/>
      <c r="D173" s="110"/>
      <c r="E173" s="244" t="s">
        <v>688</v>
      </c>
      <c r="F173" s="185">
        <f>2*((21.6+16.6)/2-1.65)*11.2</f>
        <v>390.88000000000005</v>
      </c>
      <c r="G173" s="112"/>
      <c r="H173" s="97"/>
      <c r="I173" s="146"/>
      <c r="J173" s="130"/>
      <c r="L173" s="163"/>
    </row>
    <row r="174" spans="1:18" s="129" customFormat="1" ht="12.75" customHeight="1">
      <c r="A174" s="230"/>
      <c r="B174" s="237"/>
      <c r="C174" s="238"/>
      <c r="D174" s="110"/>
      <c r="E174" s="245"/>
      <c r="F174" s="165">
        <f>SUM(F171:F173)</f>
        <v>1548.6853000000001</v>
      </c>
      <c r="G174" s="112"/>
      <c r="H174" s="97"/>
      <c r="I174" s="146"/>
      <c r="J174" s="130"/>
      <c r="L174" s="163"/>
    </row>
    <row r="175" spans="1:18" s="129" customFormat="1" ht="12.75" customHeight="1">
      <c r="A175" s="230"/>
      <c r="B175" s="237"/>
      <c r="C175" s="238"/>
      <c r="D175" s="110"/>
      <c r="E175" s="245"/>
      <c r="F175" s="165"/>
      <c r="G175" s="112"/>
      <c r="H175" s="97"/>
      <c r="I175" s="146"/>
      <c r="J175" s="130"/>
      <c r="L175" s="163"/>
    </row>
    <row r="176" spans="1:18" s="129" customFormat="1">
      <c r="A176" s="101">
        <f>MAX(A$1:A170)+1</f>
        <v>25</v>
      </c>
      <c r="B176" s="108"/>
      <c r="C176" s="109" t="s">
        <v>197</v>
      </c>
      <c r="D176" s="110"/>
      <c r="E176" s="103" t="s">
        <v>198</v>
      </c>
      <c r="F176" s="111"/>
      <c r="G176" s="112" t="s">
        <v>14</v>
      </c>
      <c r="H176" s="113">
        <v>217.5</v>
      </c>
      <c r="I176" s="146"/>
      <c r="J176" s="130"/>
      <c r="L176" s="163"/>
    </row>
    <row r="177" spans="1:12" s="129" customFormat="1">
      <c r="A177" s="164"/>
      <c r="B177" s="191"/>
      <c r="C177" s="120"/>
      <c r="D177" s="151" t="s">
        <v>199</v>
      </c>
      <c r="E177" s="100" t="s">
        <v>200</v>
      </c>
      <c r="F177" s="215"/>
      <c r="G177" s="121" t="s">
        <v>14</v>
      </c>
      <c r="H177" s="122">
        <v>217.5</v>
      </c>
      <c r="I177" s="146"/>
      <c r="J177" s="130"/>
      <c r="L177" s="163"/>
    </row>
    <row r="178" spans="1:12" s="129" customFormat="1" ht="39">
      <c r="A178" s="101"/>
      <c r="B178" s="91"/>
      <c r="C178" s="156"/>
      <c r="D178" s="157"/>
      <c r="E178" s="245" t="s">
        <v>201</v>
      </c>
      <c r="F178" s="165">
        <f>5*(23.2+20.3)</f>
        <v>217.5</v>
      </c>
      <c r="G178" s="112"/>
      <c r="H178" s="97"/>
      <c r="I178" s="146"/>
      <c r="J178" s="130"/>
      <c r="L178" s="163"/>
    </row>
    <row r="179" spans="1:12" s="129" customFormat="1" ht="15.5">
      <c r="A179" s="101"/>
      <c r="B179" s="91"/>
      <c r="C179" s="156"/>
      <c r="D179" s="157"/>
      <c r="E179" s="246"/>
      <c r="F179" s="165"/>
      <c r="G179" s="112"/>
      <c r="H179" s="97"/>
      <c r="I179" s="146"/>
      <c r="J179" s="130"/>
      <c r="L179" s="163"/>
    </row>
    <row r="180" spans="1:12" s="215" customFormat="1" ht="15" customHeight="1">
      <c r="A180" s="101">
        <f>MAX(A$1:A179)+1</f>
        <v>26</v>
      </c>
      <c r="B180" s="108"/>
      <c r="C180" s="138" t="s">
        <v>202</v>
      </c>
      <c r="D180" s="139"/>
      <c r="E180" s="140" t="s">
        <v>203</v>
      </c>
      <c r="F180" s="141"/>
      <c r="G180" s="142" t="s">
        <v>19</v>
      </c>
      <c r="H180" s="104">
        <v>263.62</v>
      </c>
      <c r="I180" s="68"/>
      <c r="J180" s="72"/>
      <c r="K180" s="72"/>
      <c r="L180" s="163"/>
    </row>
    <row r="181" spans="1:12" s="129" customFormat="1" ht="12.5">
      <c r="A181" s="176"/>
      <c r="B181" s="191"/>
      <c r="C181" s="120"/>
      <c r="D181" s="186" t="s">
        <v>204</v>
      </c>
      <c r="E181" s="187" t="s">
        <v>205</v>
      </c>
      <c r="F181" s="188"/>
      <c r="G181" s="189" t="s">
        <v>19</v>
      </c>
      <c r="H181" s="97">
        <v>108.75</v>
      </c>
      <c r="L181" s="163"/>
    </row>
    <row r="182" spans="1:12" s="129" customFormat="1">
      <c r="A182" s="176"/>
      <c r="B182" s="191"/>
      <c r="C182" s="120"/>
      <c r="D182" s="151"/>
      <c r="E182" s="123" t="s">
        <v>206</v>
      </c>
      <c r="F182" s="165">
        <f>F178*0.5</f>
        <v>108.75</v>
      </c>
      <c r="G182" s="121"/>
      <c r="H182" s="97"/>
      <c r="L182" s="163"/>
    </row>
    <row r="183" spans="1:12" s="129" customFormat="1" ht="16.5" customHeight="1">
      <c r="A183" s="176"/>
      <c r="B183" s="191"/>
      <c r="C183" s="120"/>
      <c r="D183" s="186" t="s">
        <v>207</v>
      </c>
      <c r="E183" s="187" t="s">
        <v>208</v>
      </c>
      <c r="F183" s="188"/>
      <c r="G183" s="189" t="s">
        <v>19</v>
      </c>
      <c r="H183" s="97">
        <v>154.87</v>
      </c>
      <c r="L183" s="163"/>
    </row>
    <row r="184" spans="1:12" s="129" customFormat="1">
      <c r="A184" s="176"/>
      <c r="B184" s="191"/>
      <c r="C184" s="120"/>
      <c r="D184" s="186"/>
      <c r="E184" s="147" t="s">
        <v>715</v>
      </c>
      <c r="F184" s="247">
        <f>F174*0.1</f>
        <v>154.86853000000002</v>
      </c>
      <c r="G184" s="189"/>
      <c r="H184" s="97"/>
      <c r="L184" s="163"/>
    </row>
    <row r="185" spans="1:12" s="129" customFormat="1" ht="12.5">
      <c r="A185" s="176"/>
      <c r="B185" s="191"/>
      <c r="C185" s="120"/>
      <c r="D185" s="151"/>
      <c r="E185" s="100"/>
      <c r="F185" s="248"/>
      <c r="G185" s="121"/>
      <c r="H185" s="97"/>
      <c r="L185" s="163"/>
    </row>
    <row r="186" spans="1:12" s="215" customFormat="1">
      <c r="A186" s="227"/>
      <c r="B186" s="191"/>
      <c r="C186" s="120"/>
      <c r="D186" s="151"/>
      <c r="E186" s="100"/>
      <c r="F186" s="165"/>
      <c r="G186" s="121"/>
      <c r="H186" s="97"/>
      <c r="I186" s="72"/>
      <c r="J186" s="72"/>
      <c r="K186" s="72"/>
      <c r="L186" s="163"/>
    </row>
    <row r="187" spans="1:12" s="129" customFormat="1">
      <c r="A187" s="227"/>
      <c r="B187" s="191"/>
      <c r="C187" s="120"/>
      <c r="D187" s="249"/>
      <c r="E187" s="250"/>
      <c r="F187" s="251"/>
      <c r="G187" s="189"/>
      <c r="H187" s="97"/>
      <c r="L187" s="163"/>
    </row>
    <row r="188" spans="1:12" s="129" customFormat="1">
      <c r="A188" s="230"/>
      <c r="B188" s="231" t="s">
        <v>209</v>
      </c>
      <c r="C188" s="232"/>
      <c r="D188" s="233"/>
      <c r="E188" s="252" t="s">
        <v>210</v>
      </c>
      <c r="F188" s="253"/>
      <c r="G188" s="112"/>
      <c r="H188" s="170"/>
      <c r="J188" s="130"/>
      <c r="L188" s="163"/>
    </row>
    <row r="189" spans="1:12" s="129" customFormat="1">
      <c r="A189" s="254"/>
      <c r="B189" s="231"/>
      <c r="C189" s="232"/>
      <c r="D189" s="233"/>
      <c r="E189" s="252"/>
      <c r="F189" s="255"/>
      <c r="G189" s="256"/>
      <c r="H189" s="170"/>
      <c r="J189" s="130"/>
      <c r="L189" s="163"/>
    </row>
    <row r="190" spans="1:12" s="163" customFormat="1">
      <c r="A190" s="101">
        <f>MAX(A$1:A189)+1</f>
        <v>27</v>
      </c>
      <c r="B190" s="161"/>
      <c r="C190" s="138" t="s">
        <v>211</v>
      </c>
      <c r="D190" s="139"/>
      <c r="E190" s="140" t="s">
        <v>212</v>
      </c>
      <c r="F190" s="141"/>
      <c r="G190" s="142" t="s">
        <v>19</v>
      </c>
      <c r="H190" s="113">
        <v>17.440000000000001</v>
      </c>
      <c r="I190" s="146"/>
      <c r="J190" s="167"/>
    </row>
    <row r="191" spans="1:12" s="163" customFormat="1">
      <c r="A191" s="168"/>
      <c r="B191" s="193"/>
      <c r="C191" s="194"/>
      <c r="D191" s="186" t="s">
        <v>213</v>
      </c>
      <c r="E191" s="187" t="s">
        <v>214</v>
      </c>
      <c r="F191" s="188"/>
      <c r="G191" s="189" t="s">
        <v>19</v>
      </c>
      <c r="H191" s="257">
        <v>17.440000000000001</v>
      </c>
      <c r="I191" s="146"/>
      <c r="J191" s="167"/>
    </row>
    <row r="192" spans="1:12" s="129" customFormat="1">
      <c r="A192" s="254"/>
      <c r="B192" s="231"/>
      <c r="C192" s="232"/>
      <c r="D192" s="233"/>
      <c r="E192" s="258" t="s">
        <v>677</v>
      </c>
      <c r="F192" s="165">
        <f>1.7*1.35*1.9*4</f>
        <v>17.442</v>
      </c>
      <c r="G192" s="256"/>
      <c r="H192" s="170"/>
      <c r="I192" s="146"/>
      <c r="J192" s="130"/>
      <c r="L192" s="163"/>
    </row>
    <row r="193" spans="1:12" s="129" customFormat="1">
      <c r="A193" s="254"/>
      <c r="B193" s="231"/>
      <c r="C193" s="232"/>
      <c r="D193" s="233"/>
      <c r="E193" s="252"/>
      <c r="F193" s="255"/>
      <c r="G193" s="256"/>
      <c r="H193" s="170"/>
      <c r="I193" s="146"/>
      <c r="J193" s="130"/>
      <c r="L193" s="163"/>
    </row>
    <row r="194" spans="1:12" s="129" customFormat="1">
      <c r="A194" s="101">
        <f>MAX(A$1:A192)+1</f>
        <v>28</v>
      </c>
      <c r="B194" s="161"/>
      <c r="C194" s="138" t="s">
        <v>215</v>
      </c>
      <c r="D194" s="139"/>
      <c r="E194" s="140" t="s">
        <v>216</v>
      </c>
      <c r="F194" s="141"/>
      <c r="G194" s="142" t="s">
        <v>19</v>
      </c>
      <c r="H194" s="240">
        <v>382.91</v>
      </c>
      <c r="I194" s="146"/>
      <c r="J194" s="130"/>
      <c r="L194" s="163"/>
    </row>
    <row r="195" spans="1:12" s="129" customFormat="1">
      <c r="A195" s="168"/>
      <c r="B195" s="193"/>
      <c r="C195" s="194"/>
      <c r="D195" s="186" t="s">
        <v>217</v>
      </c>
      <c r="E195" s="187" t="s">
        <v>218</v>
      </c>
      <c r="F195" s="188"/>
      <c r="G195" s="189" t="s">
        <v>19</v>
      </c>
      <c r="H195" s="242">
        <v>382.91</v>
      </c>
      <c r="I195" s="146"/>
      <c r="J195" s="130"/>
      <c r="L195" s="163"/>
    </row>
    <row r="196" spans="1:12" s="129" customFormat="1" ht="26">
      <c r="A196" s="259"/>
      <c r="B196" s="193"/>
      <c r="C196" s="194"/>
      <c r="D196" s="186"/>
      <c r="E196" s="220" t="s">
        <v>219</v>
      </c>
      <c r="F196" s="221">
        <f>(150.3+146.6)*1.1</f>
        <v>326.58999999999997</v>
      </c>
      <c r="G196" s="189"/>
      <c r="H196" s="242"/>
      <c r="I196" s="146"/>
      <c r="J196" s="130"/>
      <c r="L196" s="163"/>
    </row>
    <row r="197" spans="1:12" s="129" customFormat="1" ht="26">
      <c r="A197" s="259"/>
      <c r="B197" s="193"/>
      <c r="C197" s="194"/>
      <c r="D197" s="186"/>
      <c r="E197" s="220" t="s">
        <v>220</v>
      </c>
      <c r="F197" s="221">
        <f>0.6*1.4* 4.3*2</f>
        <v>7.2239999999999993</v>
      </c>
      <c r="G197" s="189"/>
      <c r="H197" s="242"/>
      <c r="I197" s="146"/>
      <c r="J197" s="130"/>
      <c r="L197" s="163"/>
    </row>
    <row r="198" spans="1:12" s="129" customFormat="1">
      <c r="A198" s="259"/>
      <c r="B198" s="193"/>
      <c r="C198" s="194"/>
      <c r="D198" s="186"/>
      <c r="E198" s="220" t="s">
        <v>714</v>
      </c>
      <c r="F198" s="221">
        <f>43.1*0.8*0.6*1.1</f>
        <v>22.756800000000005</v>
      </c>
      <c r="G198" s="189"/>
      <c r="H198" s="242"/>
      <c r="I198" s="146"/>
      <c r="J198" s="130"/>
      <c r="L198" s="163"/>
    </row>
    <row r="199" spans="1:12" s="129" customFormat="1">
      <c r="A199" s="227"/>
      <c r="B199" s="191"/>
      <c r="C199" s="120"/>
      <c r="D199" s="151"/>
      <c r="E199" s="127" t="s">
        <v>221</v>
      </c>
      <c r="F199" s="221">
        <f>5.4*1.1*0.8</f>
        <v>4.7520000000000016</v>
      </c>
      <c r="G199" s="121"/>
      <c r="H199" s="97"/>
      <c r="I199" s="146"/>
      <c r="J199" s="130"/>
      <c r="L199" s="163"/>
    </row>
    <row r="200" spans="1:12" s="129" customFormat="1" ht="25.5" customHeight="1">
      <c r="A200" s="219"/>
      <c r="B200" s="96"/>
      <c r="C200" s="96"/>
      <c r="D200" s="133"/>
      <c r="E200" s="220" t="s">
        <v>222</v>
      </c>
      <c r="F200" s="260">
        <f>0.385*30.69+0.644*4</f>
        <v>14.391650000000002</v>
      </c>
      <c r="G200" s="222"/>
      <c r="H200" s="223"/>
      <c r="I200" s="146"/>
      <c r="J200" s="130"/>
      <c r="L200" s="163"/>
    </row>
    <row r="201" spans="1:12" s="129" customFormat="1" ht="25.5" customHeight="1">
      <c r="A201" s="219"/>
      <c r="B201" s="96"/>
      <c r="C201" s="96"/>
      <c r="D201" s="133"/>
      <c r="E201" s="220" t="s">
        <v>223</v>
      </c>
      <c r="F201" s="261">
        <f>0.319*9+0.297*5+0.567*5</f>
        <v>7.1909999999999998</v>
      </c>
      <c r="G201" s="222"/>
      <c r="H201" s="223"/>
      <c r="I201" s="146"/>
      <c r="J201" s="130"/>
      <c r="L201" s="163"/>
    </row>
    <row r="202" spans="1:12" s="129" customFormat="1">
      <c r="A202" s="219"/>
      <c r="B202" s="96"/>
      <c r="C202" s="96"/>
      <c r="D202" s="133"/>
      <c r="E202" s="220"/>
      <c r="F202" s="221">
        <f>SUM(F196:F201)</f>
        <v>382.90544999999997</v>
      </c>
      <c r="G202" s="222"/>
      <c r="H202" s="223"/>
      <c r="I202" s="146"/>
      <c r="J202" s="130"/>
      <c r="L202" s="163"/>
    </row>
    <row r="203" spans="1:12" s="129" customFormat="1">
      <c r="A203" s="219"/>
      <c r="B203" s="96"/>
      <c r="C203" s="96"/>
      <c r="D203" s="133"/>
      <c r="E203" s="220"/>
      <c r="F203" s="221"/>
      <c r="G203" s="222"/>
      <c r="H203" s="223"/>
      <c r="I203" s="146"/>
      <c r="J203" s="130"/>
      <c r="L203" s="163"/>
    </row>
    <row r="204" spans="1:12" s="129" customFormat="1">
      <c r="A204" s="101">
        <f>MAX(A$1:A202)+1</f>
        <v>29</v>
      </c>
      <c r="B204" s="96"/>
      <c r="C204" s="138" t="s">
        <v>224</v>
      </c>
      <c r="D204" s="139"/>
      <c r="E204" s="140" t="s">
        <v>225</v>
      </c>
      <c r="F204" s="141"/>
      <c r="G204" s="142" t="s">
        <v>19</v>
      </c>
      <c r="H204" s="262">
        <v>14.49</v>
      </c>
      <c r="I204" s="146"/>
      <c r="J204" s="130"/>
      <c r="L204" s="163"/>
    </row>
    <row r="205" spans="1:12" s="129" customFormat="1">
      <c r="A205" s="219"/>
      <c r="B205" s="96"/>
      <c r="C205" s="96"/>
      <c r="D205" s="186" t="s">
        <v>226</v>
      </c>
      <c r="E205" s="187" t="s">
        <v>227</v>
      </c>
      <c r="F205" s="188"/>
      <c r="G205" s="189" t="s">
        <v>19</v>
      </c>
      <c r="H205" s="263">
        <v>14.49</v>
      </c>
      <c r="I205" s="146"/>
      <c r="J205" s="130"/>
      <c r="L205" s="163"/>
    </row>
    <row r="206" spans="1:12" s="129" customFormat="1" ht="39">
      <c r="A206" s="219"/>
      <c r="B206" s="96"/>
      <c r="C206" s="96"/>
      <c r="D206" s="186"/>
      <c r="E206" s="264" t="s">
        <v>678</v>
      </c>
      <c r="F206" s="247">
        <f>4*0.94*1.19*1.8</f>
        <v>8.0539199999999997</v>
      </c>
      <c r="G206" s="189"/>
      <c r="H206" s="223"/>
      <c r="I206" s="146"/>
      <c r="J206" s="130"/>
      <c r="L206" s="163"/>
    </row>
    <row r="207" spans="1:12" s="129" customFormat="1" ht="26">
      <c r="A207" s="219"/>
      <c r="B207" s="96"/>
      <c r="C207" s="96"/>
      <c r="D207" s="186"/>
      <c r="E207" s="127" t="s">
        <v>679</v>
      </c>
      <c r="F207" s="265">
        <f>4*1.15*1.4</f>
        <v>6.4399999999999995</v>
      </c>
      <c r="G207" s="189"/>
      <c r="H207" s="223"/>
      <c r="I207" s="146"/>
      <c r="J207" s="130"/>
      <c r="L207" s="163"/>
    </row>
    <row r="208" spans="1:12" s="129" customFormat="1">
      <c r="A208" s="219"/>
      <c r="B208" s="96"/>
      <c r="C208" s="96"/>
      <c r="D208" s="186"/>
      <c r="E208" s="264"/>
      <c r="F208" s="247">
        <f>SUM(F206:F207)</f>
        <v>14.493919999999999</v>
      </c>
      <c r="G208" s="189"/>
      <c r="H208" s="223"/>
      <c r="I208" s="146"/>
      <c r="J208" s="130"/>
      <c r="L208" s="163"/>
    </row>
    <row r="209" spans="1:18" s="129" customFormat="1">
      <c r="A209" s="219"/>
      <c r="B209" s="96"/>
      <c r="C209" s="96"/>
      <c r="D209" s="133"/>
      <c r="E209" s="220"/>
      <c r="F209" s="221"/>
      <c r="G209" s="222"/>
      <c r="H209" s="223"/>
      <c r="I209" s="146"/>
      <c r="J209" s="130"/>
      <c r="L209" s="163"/>
    </row>
    <row r="210" spans="1:18" s="129" customFormat="1">
      <c r="A210" s="101">
        <f>MAX(A$1:A205)+1</f>
        <v>30</v>
      </c>
      <c r="B210" s="96"/>
      <c r="C210" s="138" t="s">
        <v>228</v>
      </c>
      <c r="D210" s="139"/>
      <c r="E210" s="140" t="s">
        <v>229</v>
      </c>
      <c r="F210" s="141"/>
      <c r="G210" s="142" t="s">
        <v>19</v>
      </c>
      <c r="H210" s="262">
        <v>188.87</v>
      </c>
      <c r="I210" s="146"/>
      <c r="J210" s="130"/>
      <c r="L210" s="163"/>
    </row>
    <row r="211" spans="1:18" s="129" customFormat="1">
      <c r="A211" s="219"/>
      <c r="B211" s="96"/>
      <c r="C211" s="96"/>
      <c r="D211" s="186" t="s">
        <v>230</v>
      </c>
      <c r="E211" s="187" t="s">
        <v>231</v>
      </c>
      <c r="F211" s="188"/>
      <c r="G211" s="189" t="s">
        <v>19</v>
      </c>
      <c r="H211" s="263">
        <v>177.71</v>
      </c>
      <c r="I211" s="146"/>
      <c r="J211" s="130"/>
      <c r="L211" s="163"/>
    </row>
    <row r="212" spans="1:18" s="129" customFormat="1">
      <c r="A212" s="219"/>
      <c r="B212" s="96"/>
      <c r="C212" s="96"/>
      <c r="D212" s="133"/>
      <c r="E212" s="266" t="s">
        <v>232</v>
      </c>
      <c r="F212" s="221"/>
      <c r="G212" s="222"/>
      <c r="H212" s="223"/>
      <c r="I212" s="146"/>
      <c r="J212" s="130"/>
      <c r="L212" s="163"/>
    </row>
    <row r="213" spans="1:18" s="129" customFormat="1" ht="39">
      <c r="A213" s="219"/>
      <c r="B213" s="96"/>
      <c r="C213" s="96"/>
      <c r="D213" s="133"/>
      <c r="E213" s="127" t="s">
        <v>233</v>
      </c>
      <c r="F213" s="165">
        <f>((5.23+4.41)*(11.75+0.5)+2*20.5*1.06)*1.1</f>
        <v>177.70500000000004</v>
      </c>
      <c r="G213" s="222"/>
      <c r="H213" s="223"/>
      <c r="I213" s="146"/>
      <c r="J213" s="130"/>
      <c r="L213" s="163"/>
    </row>
    <row r="214" spans="1:18" s="129" customFormat="1">
      <c r="A214" s="219"/>
      <c r="B214" s="96"/>
      <c r="C214" s="96"/>
      <c r="D214" s="186" t="s">
        <v>234</v>
      </c>
      <c r="E214" s="187" t="s">
        <v>235</v>
      </c>
      <c r="F214" s="188"/>
      <c r="G214" s="189" t="s">
        <v>19</v>
      </c>
      <c r="H214" s="263">
        <v>11.16</v>
      </c>
      <c r="I214" s="146"/>
      <c r="J214" s="130"/>
      <c r="L214" s="163"/>
    </row>
    <row r="215" spans="1:18" s="129" customFormat="1" ht="26">
      <c r="A215" s="219"/>
      <c r="B215" s="96"/>
      <c r="C215" s="96"/>
      <c r="D215" s="133"/>
      <c r="E215" s="258" t="s">
        <v>236</v>
      </c>
      <c r="F215" s="165">
        <f>0.626*4</f>
        <v>2.504</v>
      </c>
      <c r="G215" s="222"/>
      <c r="H215" s="223"/>
      <c r="I215" s="146"/>
      <c r="J215" s="130"/>
      <c r="L215" s="163"/>
    </row>
    <row r="216" spans="1:18" s="129" customFormat="1" ht="26">
      <c r="A216" s="219"/>
      <c r="B216" s="96"/>
      <c r="C216" s="96"/>
      <c r="D216" s="133"/>
      <c r="E216" s="258" t="s">
        <v>237</v>
      </c>
      <c r="F216" s="267">
        <f>1.416*5+0.316*5</f>
        <v>8.66</v>
      </c>
      <c r="G216" s="222"/>
      <c r="H216" s="223"/>
      <c r="I216" s="146"/>
      <c r="J216" s="130"/>
      <c r="L216" s="163"/>
    </row>
    <row r="217" spans="1:18" s="129" customFormat="1">
      <c r="A217" s="219"/>
      <c r="B217" s="96"/>
      <c r="C217" s="96"/>
      <c r="D217" s="133"/>
      <c r="E217" s="268"/>
      <c r="F217" s="269">
        <f>SUM(F215:F216)</f>
        <v>11.164</v>
      </c>
      <c r="G217" s="222"/>
      <c r="H217" s="223"/>
      <c r="I217" s="146"/>
      <c r="J217" s="130"/>
      <c r="L217" s="163"/>
    </row>
    <row r="218" spans="1:18" s="129" customFormat="1">
      <c r="A218" s="219"/>
      <c r="B218" s="96"/>
      <c r="C218" s="96"/>
      <c r="D218" s="133"/>
      <c r="E218" s="127"/>
      <c r="F218" s="165"/>
      <c r="G218" s="222"/>
      <c r="H218" s="223"/>
      <c r="I218" s="146"/>
      <c r="J218" s="130"/>
      <c r="L218" s="163"/>
    </row>
    <row r="219" spans="1:18" s="129" customFormat="1">
      <c r="A219" s="219"/>
      <c r="B219" s="96"/>
      <c r="C219" s="96"/>
      <c r="D219" s="133"/>
      <c r="E219" s="220"/>
      <c r="F219" s="221"/>
      <c r="G219" s="222"/>
      <c r="H219" s="223"/>
      <c r="I219" s="146"/>
      <c r="J219" s="130"/>
      <c r="L219" s="163"/>
    </row>
    <row r="220" spans="1:18" s="129" customFormat="1">
      <c r="A220" s="219"/>
      <c r="B220" s="231" t="s">
        <v>238</v>
      </c>
      <c r="C220" s="232"/>
      <c r="D220" s="233"/>
      <c r="E220" s="234" t="s">
        <v>239</v>
      </c>
      <c r="F220" s="221"/>
      <c r="G220" s="222"/>
      <c r="H220" s="223"/>
      <c r="I220" s="146"/>
      <c r="J220" s="130"/>
      <c r="L220" s="163"/>
    </row>
    <row r="221" spans="1:18" s="129" customFormat="1">
      <c r="A221" s="219"/>
      <c r="B221" s="96"/>
      <c r="C221" s="96"/>
      <c r="D221" s="133"/>
      <c r="E221" s="220"/>
      <c r="F221" s="221"/>
      <c r="G221" s="222"/>
      <c r="H221" s="223"/>
      <c r="I221" s="146"/>
      <c r="J221" s="130"/>
      <c r="L221" s="163"/>
    </row>
    <row r="222" spans="1:18" s="241" customFormat="1">
      <c r="A222" s="101">
        <f>MAX(A$1:A202)+1</f>
        <v>29</v>
      </c>
      <c r="B222" s="161"/>
      <c r="C222" s="138" t="s">
        <v>240</v>
      </c>
      <c r="D222" s="139"/>
      <c r="E222" s="140" t="s">
        <v>241</v>
      </c>
      <c r="F222" s="141"/>
      <c r="G222" s="142" t="s">
        <v>19</v>
      </c>
      <c r="H222" s="240">
        <v>389.18</v>
      </c>
      <c r="I222" s="68"/>
      <c r="J222" s="73"/>
      <c r="K222" s="72"/>
      <c r="L222" s="163"/>
      <c r="M222" s="72"/>
      <c r="N222" s="72"/>
      <c r="O222" s="72"/>
      <c r="P222" s="72"/>
      <c r="Q222" s="72"/>
      <c r="R222" s="72"/>
    </row>
    <row r="223" spans="1:18" ht="12.5">
      <c r="A223" s="168"/>
      <c r="B223" s="193"/>
      <c r="C223" s="194"/>
      <c r="D223" s="186" t="s">
        <v>242</v>
      </c>
      <c r="E223" s="187" t="s">
        <v>243</v>
      </c>
      <c r="F223" s="188"/>
      <c r="G223" s="189" t="s">
        <v>19</v>
      </c>
      <c r="H223" s="242">
        <v>389.18</v>
      </c>
      <c r="L223" s="163"/>
    </row>
    <row r="224" spans="1:18">
      <c r="A224" s="168"/>
      <c r="B224" s="193"/>
      <c r="C224" s="194"/>
      <c r="D224" s="186"/>
      <c r="E224" s="147" t="s">
        <v>244</v>
      </c>
      <c r="F224" s="270">
        <f>F235</f>
        <v>389.18344999999999</v>
      </c>
      <c r="G224" s="189"/>
      <c r="H224" s="242"/>
      <c r="L224" s="163"/>
    </row>
    <row r="225" spans="1:12">
      <c r="A225" s="168"/>
      <c r="B225" s="193"/>
      <c r="C225" s="194"/>
      <c r="D225" s="186"/>
      <c r="E225" s="147"/>
      <c r="F225" s="270"/>
      <c r="G225" s="189"/>
      <c r="H225" s="242"/>
      <c r="L225" s="163"/>
    </row>
    <row r="226" spans="1:12">
      <c r="A226" s="101">
        <f>MAX(A$1:A206)+1</f>
        <v>30</v>
      </c>
      <c r="B226" s="193"/>
      <c r="C226" s="138" t="s">
        <v>245</v>
      </c>
      <c r="D226" s="139"/>
      <c r="E226" s="140" t="s">
        <v>246</v>
      </c>
      <c r="F226" s="141"/>
      <c r="G226" s="142" t="s">
        <v>19</v>
      </c>
      <c r="H226" s="162">
        <v>22.33</v>
      </c>
      <c r="I226" s="68"/>
      <c r="L226" s="163"/>
    </row>
    <row r="227" spans="1:12" ht="25">
      <c r="A227" s="168"/>
      <c r="B227" s="193"/>
      <c r="C227" s="194"/>
      <c r="D227" s="186" t="s">
        <v>247</v>
      </c>
      <c r="E227" s="187" t="s">
        <v>248</v>
      </c>
      <c r="F227" s="188"/>
      <c r="G227" s="189" t="s">
        <v>19</v>
      </c>
      <c r="H227" s="242">
        <v>22.33</v>
      </c>
      <c r="I227" s="68"/>
      <c r="L227" s="163"/>
    </row>
    <row r="228" spans="1:12">
      <c r="A228" s="168"/>
      <c r="B228" s="193"/>
      <c r="C228" s="194"/>
      <c r="D228" s="186"/>
      <c r="E228" s="147" t="s">
        <v>249</v>
      </c>
      <c r="F228" s="270">
        <f>F217*2</f>
        <v>22.327999999999999</v>
      </c>
      <c r="G228" s="189"/>
      <c r="H228" s="242"/>
      <c r="I228" s="68"/>
      <c r="L228" s="163"/>
    </row>
    <row r="229" spans="1:12">
      <c r="A229" s="168"/>
      <c r="B229" s="193"/>
      <c r="C229" s="194"/>
      <c r="D229" s="186"/>
      <c r="E229" s="187"/>
      <c r="F229" s="188"/>
      <c r="G229" s="189"/>
      <c r="H229" s="242"/>
      <c r="I229" s="68"/>
      <c r="L229" s="163"/>
    </row>
    <row r="230" spans="1:12" s="129" customFormat="1">
      <c r="A230" s="101">
        <f>MAX(A$1:A229)+1</f>
        <v>31</v>
      </c>
      <c r="B230" s="161"/>
      <c r="C230" s="138" t="s">
        <v>202</v>
      </c>
      <c r="D230" s="139"/>
      <c r="E230" s="140" t="s">
        <v>203</v>
      </c>
      <c r="F230" s="141"/>
      <c r="G230" s="142" t="s">
        <v>19</v>
      </c>
      <c r="H230" s="240">
        <v>389.18</v>
      </c>
      <c r="I230" s="146"/>
      <c r="J230" s="130"/>
      <c r="L230" s="163"/>
    </row>
    <row r="231" spans="1:12" s="129" customFormat="1" ht="25">
      <c r="A231" s="168"/>
      <c r="B231" s="193"/>
      <c r="C231" s="194"/>
      <c r="D231" s="186" t="s">
        <v>250</v>
      </c>
      <c r="E231" s="187" t="s">
        <v>251</v>
      </c>
      <c r="F231" s="188"/>
      <c r="G231" s="189" t="s">
        <v>19</v>
      </c>
      <c r="H231" s="242">
        <v>389.18</v>
      </c>
      <c r="I231" s="146"/>
      <c r="J231" s="130"/>
      <c r="L231" s="163"/>
    </row>
    <row r="232" spans="1:12" s="129" customFormat="1">
      <c r="A232" s="259"/>
      <c r="B232" s="193"/>
      <c r="C232" s="194"/>
      <c r="D232" s="186"/>
      <c r="E232" s="271" t="s">
        <v>252</v>
      </c>
      <c r="F232" s="270"/>
      <c r="G232" s="189"/>
      <c r="H232" s="242"/>
      <c r="I232" s="146"/>
      <c r="J232" s="130"/>
      <c r="L232" s="163"/>
    </row>
    <row r="233" spans="1:12" s="129" customFormat="1">
      <c r="A233" s="259"/>
      <c r="B233" s="193"/>
      <c r="C233" s="194"/>
      <c r="D233" s="186"/>
      <c r="E233" s="147" t="s">
        <v>253</v>
      </c>
      <c r="F233" s="270">
        <f>F192+F202</f>
        <v>400.34744999999998</v>
      </c>
      <c r="G233" s="189"/>
      <c r="H233" s="242"/>
      <c r="I233" s="146"/>
      <c r="J233" s="130"/>
      <c r="L233" s="163"/>
    </row>
    <row r="234" spans="1:12" s="129" customFormat="1">
      <c r="A234" s="259"/>
      <c r="B234" s="193"/>
      <c r="C234" s="194"/>
      <c r="D234" s="186"/>
      <c r="E234" s="147" t="s">
        <v>254</v>
      </c>
      <c r="F234" s="272">
        <f>-F217</f>
        <v>-11.164</v>
      </c>
      <c r="G234" s="189"/>
      <c r="H234" s="242"/>
      <c r="I234" s="146"/>
      <c r="J234" s="130"/>
      <c r="L234" s="163"/>
    </row>
    <row r="235" spans="1:12" s="129" customFormat="1">
      <c r="A235" s="259"/>
      <c r="B235" s="193"/>
      <c r="C235" s="194"/>
      <c r="D235" s="186"/>
      <c r="E235" s="187"/>
      <c r="F235" s="270">
        <f>SUM(F233:F234)</f>
        <v>389.18344999999999</v>
      </c>
      <c r="G235" s="189"/>
      <c r="H235" s="242"/>
      <c r="I235" s="146"/>
      <c r="J235" s="130"/>
      <c r="L235" s="163"/>
    </row>
    <row r="236" spans="1:12" s="129" customFormat="1">
      <c r="A236" s="259"/>
      <c r="B236" s="193"/>
      <c r="C236" s="194"/>
      <c r="D236" s="186"/>
      <c r="E236" s="187"/>
      <c r="F236" s="270"/>
      <c r="G236" s="189"/>
      <c r="H236" s="242"/>
      <c r="I236" s="146"/>
      <c r="J236" s="130"/>
      <c r="L236" s="163"/>
    </row>
    <row r="237" spans="1:12" s="129" customFormat="1">
      <c r="A237" s="101">
        <f>MAX(A$1:A236)+1</f>
        <v>32</v>
      </c>
      <c r="B237" s="193"/>
      <c r="C237" s="138" t="s">
        <v>255</v>
      </c>
      <c r="D237" s="139"/>
      <c r="E237" s="140" t="s">
        <v>256</v>
      </c>
      <c r="F237" s="141"/>
      <c r="G237" s="142" t="s">
        <v>19</v>
      </c>
      <c r="H237" s="162">
        <v>11.16</v>
      </c>
      <c r="I237" s="146"/>
      <c r="J237" s="130"/>
      <c r="L237" s="163"/>
    </row>
    <row r="238" spans="1:12" s="129" customFormat="1" ht="25">
      <c r="A238" s="259"/>
      <c r="B238" s="193"/>
      <c r="C238" s="194"/>
      <c r="D238" s="186" t="s">
        <v>257</v>
      </c>
      <c r="E238" s="187" t="s">
        <v>258</v>
      </c>
      <c r="F238" s="188"/>
      <c r="G238" s="189" t="s">
        <v>19</v>
      </c>
      <c r="H238" s="242">
        <v>11.16</v>
      </c>
      <c r="I238" s="146"/>
      <c r="J238" s="130"/>
      <c r="L238" s="163"/>
    </row>
    <row r="239" spans="1:12" s="129" customFormat="1">
      <c r="A239" s="259"/>
      <c r="B239" s="193"/>
      <c r="C239" s="194"/>
      <c r="D239" s="186"/>
      <c r="E239" s="147" t="s">
        <v>254</v>
      </c>
      <c r="F239" s="247">
        <f>F217</f>
        <v>11.164</v>
      </c>
      <c r="G239" s="189"/>
      <c r="H239" s="242"/>
      <c r="J239" s="130"/>
      <c r="L239" s="163"/>
    </row>
    <row r="240" spans="1:12" s="129" customFormat="1" ht="12.5">
      <c r="A240" s="259"/>
      <c r="B240" s="193"/>
      <c r="C240" s="194"/>
      <c r="D240" s="186"/>
      <c r="E240" s="187"/>
      <c r="F240" s="188"/>
      <c r="G240" s="189"/>
      <c r="H240" s="242"/>
      <c r="J240" s="130"/>
      <c r="L240" s="163"/>
    </row>
    <row r="241" spans="1:12" s="129" customFormat="1">
      <c r="A241" s="259"/>
      <c r="B241" s="193"/>
      <c r="C241" s="194"/>
      <c r="D241" s="186"/>
      <c r="E241" s="187"/>
      <c r="F241" s="270"/>
      <c r="G241" s="189"/>
      <c r="H241" s="242"/>
      <c r="J241" s="130"/>
      <c r="L241" s="163"/>
    </row>
    <row r="242" spans="1:12" s="129" customFormat="1">
      <c r="A242" s="178"/>
      <c r="B242" s="231" t="s">
        <v>81</v>
      </c>
      <c r="C242" s="231"/>
      <c r="D242" s="233"/>
      <c r="E242" s="252" t="s">
        <v>82</v>
      </c>
      <c r="F242" s="174"/>
      <c r="G242" s="121"/>
      <c r="H242" s="122"/>
      <c r="J242" s="130"/>
      <c r="L242" s="163"/>
    </row>
    <row r="243" spans="1:12" s="129" customFormat="1" ht="15.5">
      <c r="A243" s="178"/>
      <c r="B243" s="91"/>
      <c r="C243" s="156"/>
      <c r="D243" s="157"/>
      <c r="E243" s="158"/>
      <c r="F243" s="174"/>
      <c r="G243" s="121"/>
      <c r="H243" s="122"/>
      <c r="J243" s="130"/>
      <c r="L243" s="163"/>
    </row>
    <row r="244" spans="1:12" s="163" customFormat="1">
      <c r="A244" s="101">
        <f>MAX(A$1:A242)+1</f>
        <v>33</v>
      </c>
      <c r="B244" s="161"/>
      <c r="C244" s="138" t="s">
        <v>259</v>
      </c>
      <c r="D244" s="139"/>
      <c r="E244" s="140" t="s">
        <v>260</v>
      </c>
      <c r="F244" s="141"/>
      <c r="G244" s="142" t="s">
        <v>19</v>
      </c>
      <c r="H244" s="162">
        <v>25.33</v>
      </c>
      <c r="I244" s="180"/>
      <c r="J244" s="167"/>
    </row>
    <row r="245" spans="1:12" s="163" customFormat="1" ht="12.5">
      <c r="A245" s="168"/>
      <c r="B245" s="193"/>
      <c r="C245" s="194"/>
      <c r="D245" s="273" t="s">
        <v>261</v>
      </c>
      <c r="E245" s="274" t="s">
        <v>262</v>
      </c>
      <c r="F245" s="275"/>
      <c r="G245" s="133" t="s">
        <v>19</v>
      </c>
      <c r="H245" s="242">
        <v>7.53</v>
      </c>
      <c r="J245" s="167"/>
    </row>
    <row r="246" spans="1:12" s="163" customFormat="1" ht="26">
      <c r="A246" s="164"/>
      <c r="B246" s="191"/>
      <c r="C246" s="120"/>
      <c r="D246" s="276"/>
      <c r="E246" s="277" t="s">
        <v>263</v>
      </c>
      <c r="F246" s="197">
        <f>0.8*(4+0.6/2)*0.6</f>
        <v>2.0640000000000001</v>
      </c>
      <c r="G246" s="133"/>
      <c r="H246" s="166"/>
      <c r="J246" s="167"/>
    </row>
    <row r="247" spans="1:12" s="163" customFormat="1" ht="26">
      <c r="A247" s="168"/>
      <c r="B247" s="193"/>
      <c r="C247" s="194"/>
      <c r="D247" s="273"/>
      <c r="E247" s="278" t="s">
        <v>264</v>
      </c>
      <c r="F247" s="279">
        <f>1.718*(5+0.6/2)*0.6</f>
        <v>5.4632399999999999</v>
      </c>
      <c r="G247" s="133"/>
      <c r="H247" s="170"/>
      <c r="J247" s="167"/>
    </row>
    <row r="248" spans="1:12" s="163" customFormat="1">
      <c r="A248" s="168"/>
      <c r="B248" s="193"/>
      <c r="C248" s="194"/>
      <c r="D248" s="273"/>
      <c r="E248" s="274"/>
      <c r="F248" s="197">
        <f>SUM(F246:F247)</f>
        <v>7.5272399999999999</v>
      </c>
      <c r="G248" s="133"/>
      <c r="H248" s="170"/>
      <c r="J248" s="167"/>
    </row>
    <row r="249" spans="1:12" s="163" customFormat="1" ht="12.5">
      <c r="A249" s="168"/>
      <c r="B249" s="193"/>
      <c r="C249" s="194"/>
      <c r="D249" s="273" t="s">
        <v>265</v>
      </c>
      <c r="E249" s="274" t="s">
        <v>266</v>
      </c>
      <c r="F249" s="275"/>
      <c r="G249" s="133" t="s">
        <v>19</v>
      </c>
      <c r="H249" s="242">
        <v>17.8</v>
      </c>
      <c r="J249" s="167"/>
    </row>
    <row r="250" spans="1:12" s="129" customFormat="1" ht="39">
      <c r="A250" s="280"/>
      <c r="B250" s="281"/>
      <c r="C250" s="282"/>
      <c r="D250" s="283"/>
      <c r="E250" s="264" t="s">
        <v>707</v>
      </c>
      <c r="F250" s="284">
        <f>30.7*(0.3*0.6+0.1*0.58+0.3*0.15)+4*0.8*0.75</f>
        <v>11.088099999999999</v>
      </c>
      <c r="G250" s="121"/>
      <c r="H250" s="122"/>
      <c r="J250" s="130"/>
      <c r="L250" s="163"/>
    </row>
    <row r="251" spans="1:12" s="129" customFormat="1" ht="39">
      <c r="A251" s="280"/>
      <c r="B251" s="281"/>
      <c r="C251" s="282"/>
      <c r="D251" s="283"/>
      <c r="E251" s="264" t="s">
        <v>708</v>
      </c>
      <c r="F251" s="279">
        <f>14*(0.3*0.54+0.1*0.58+0.3*0.15)+5*0.8*0.75</f>
        <v>6.71</v>
      </c>
      <c r="G251" s="121"/>
      <c r="H251" s="122"/>
      <c r="J251" s="130"/>
      <c r="L251" s="163"/>
    </row>
    <row r="252" spans="1:12" s="129" customFormat="1" ht="15.5">
      <c r="A252" s="280"/>
      <c r="B252" s="281"/>
      <c r="C252" s="282"/>
      <c r="D252" s="283"/>
      <c r="E252" s="285"/>
      <c r="F252" s="284">
        <f>SUM(F250:F251)</f>
        <v>17.798099999999998</v>
      </c>
      <c r="G252" s="121"/>
      <c r="H252" s="122"/>
      <c r="J252" s="130"/>
      <c r="L252" s="163"/>
    </row>
    <row r="253" spans="1:12" s="129" customFormat="1" ht="15.5">
      <c r="A253" s="280"/>
      <c r="B253" s="281"/>
      <c r="C253" s="282"/>
      <c r="D253" s="283"/>
      <c r="E253" s="285"/>
      <c r="F253" s="284"/>
      <c r="G253" s="121"/>
      <c r="H253" s="122"/>
      <c r="J253" s="130"/>
      <c r="L253" s="163"/>
    </row>
    <row r="254" spans="1:12" s="163" customFormat="1">
      <c r="A254" s="101">
        <f>MAX(A$1:A252)+1</f>
        <v>34</v>
      </c>
      <c r="B254" s="161"/>
      <c r="C254" s="138" t="s">
        <v>267</v>
      </c>
      <c r="D254" s="139"/>
      <c r="E254" s="140" t="s">
        <v>268</v>
      </c>
      <c r="F254" s="141"/>
      <c r="G254" s="142" t="s">
        <v>19</v>
      </c>
      <c r="H254" s="162">
        <v>3.28</v>
      </c>
      <c r="I254" s="146"/>
      <c r="J254" s="167"/>
    </row>
    <row r="255" spans="1:12" s="163" customFormat="1" ht="12.5">
      <c r="A255" s="168"/>
      <c r="B255" s="193"/>
      <c r="C255" s="194"/>
      <c r="D255" s="273" t="s">
        <v>269</v>
      </c>
      <c r="E255" s="274" t="s">
        <v>270</v>
      </c>
      <c r="F255" s="275"/>
      <c r="G255" s="133" t="s">
        <v>19</v>
      </c>
      <c r="H255" s="242">
        <v>3.28</v>
      </c>
      <c r="J255" s="167"/>
    </row>
    <row r="256" spans="1:12" s="129" customFormat="1" ht="26">
      <c r="A256" s="280"/>
      <c r="B256" s="281"/>
      <c r="C256" s="282"/>
      <c r="D256" s="283"/>
      <c r="E256" s="264" t="s">
        <v>271</v>
      </c>
      <c r="F256" s="284">
        <f xml:space="preserve"> (7.8+5.3)*0.25</f>
        <v>3.2749999999999999</v>
      </c>
      <c r="G256" s="121"/>
      <c r="H256" s="122"/>
      <c r="J256" s="130"/>
      <c r="L256" s="163"/>
    </row>
    <row r="257" spans="1:12" s="129" customFormat="1" ht="15.5">
      <c r="A257" s="280"/>
      <c r="B257" s="281"/>
      <c r="C257" s="282"/>
      <c r="D257" s="283"/>
      <c r="E257" s="285"/>
      <c r="F257" s="284"/>
      <c r="G257" s="121"/>
      <c r="H257" s="122"/>
      <c r="J257" s="130"/>
      <c r="L257" s="163"/>
    </row>
    <row r="258" spans="1:12" s="163" customFormat="1" ht="26">
      <c r="A258" s="101">
        <f>MAX(A$1:A257)+1</f>
        <v>35</v>
      </c>
      <c r="B258" s="161"/>
      <c r="C258" s="138" t="s">
        <v>272</v>
      </c>
      <c r="D258" s="139"/>
      <c r="E258" s="140" t="s">
        <v>273</v>
      </c>
      <c r="F258" s="141"/>
      <c r="G258" s="142" t="s">
        <v>19</v>
      </c>
      <c r="H258" s="162">
        <v>15.82</v>
      </c>
      <c r="I258" s="180"/>
      <c r="J258" s="167"/>
    </row>
    <row r="259" spans="1:12" s="163" customFormat="1" ht="25">
      <c r="A259" s="168"/>
      <c r="B259" s="193"/>
      <c r="C259" s="194"/>
      <c r="D259" s="273" t="s">
        <v>274</v>
      </c>
      <c r="E259" s="274" t="s">
        <v>275</v>
      </c>
      <c r="F259" s="275"/>
      <c r="G259" s="133" t="s">
        <v>19</v>
      </c>
      <c r="H259" s="242">
        <v>1.65</v>
      </c>
      <c r="J259" s="167"/>
    </row>
    <row r="260" spans="1:12" s="163" customFormat="1">
      <c r="A260" s="101"/>
      <c r="B260" s="161"/>
      <c r="C260" s="138"/>
      <c r="D260" s="139"/>
      <c r="E260" s="147" t="s">
        <v>276</v>
      </c>
      <c r="F260" s="284">
        <f>6*1*1*0.25+0.15</f>
        <v>1.65</v>
      </c>
      <c r="G260" s="142"/>
      <c r="H260" s="162"/>
      <c r="J260" s="167"/>
    </row>
    <row r="261" spans="1:12" s="163" customFormat="1" ht="25">
      <c r="A261" s="168"/>
      <c r="B261" s="193"/>
      <c r="C261" s="194"/>
      <c r="D261" s="273" t="s">
        <v>277</v>
      </c>
      <c r="E261" s="274" t="s">
        <v>278</v>
      </c>
      <c r="F261" s="284"/>
      <c r="G261" s="133" t="s">
        <v>19</v>
      </c>
      <c r="H261" s="242">
        <v>14.17</v>
      </c>
      <c r="J261" s="167"/>
    </row>
    <row r="262" spans="1:12" s="163" customFormat="1">
      <c r="A262" s="168"/>
      <c r="B262" s="161"/>
      <c r="C262" s="138"/>
      <c r="D262" s="139"/>
      <c r="E262" s="147" t="s">
        <v>279</v>
      </c>
      <c r="F262" s="284">
        <f>6.7</f>
        <v>6.7</v>
      </c>
      <c r="G262" s="142"/>
      <c r="H262" s="170"/>
      <c r="J262" s="167"/>
    </row>
    <row r="263" spans="1:12" s="163" customFormat="1">
      <c r="A263" s="168"/>
      <c r="B263" s="161"/>
      <c r="C263" s="138"/>
      <c r="D263" s="139"/>
      <c r="E263" s="147" t="s">
        <v>280</v>
      </c>
      <c r="F263" s="279">
        <v>7.47</v>
      </c>
      <c r="G263" s="142"/>
      <c r="H263" s="170"/>
      <c r="J263" s="167"/>
    </row>
    <row r="264" spans="1:12" s="163" customFormat="1">
      <c r="A264" s="168"/>
      <c r="B264" s="161"/>
      <c r="C264" s="138"/>
      <c r="D264" s="139"/>
      <c r="E264" s="286"/>
      <c r="F264" s="284">
        <f>SUM(F261:F263)</f>
        <v>14.17</v>
      </c>
      <c r="G264" s="142"/>
      <c r="H264" s="170"/>
      <c r="J264" s="167"/>
    </row>
    <row r="265" spans="1:12" s="163" customFormat="1">
      <c r="A265" s="168"/>
      <c r="B265" s="161"/>
      <c r="C265" s="138"/>
      <c r="D265" s="139"/>
      <c r="E265" s="286"/>
      <c r="F265" s="284"/>
      <c r="G265" s="142"/>
      <c r="H265" s="170"/>
      <c r="J265" s="167"/>
    </row>
    <row r="266" spans="1:12" s="163" customFormat="1" ht="26">
      <c r="A266" s="101">
        <f>MAX(A$1:A264)+1</f>
        <v>36</v>
      </c>
      <c r="B266" s="161"/>
      <c r="C266" s="138" t="s">
        <v>281</v>
      </c>
      <c r="D266" s="139"/>
      <c r="E266" s="140" t="s">
        <v>282</v>
      </c>
      <c r="F266" s="141"/>
      <c r="G266" s="142" t="s">
        <v>14</v>
      </c>
      <c r="H266" s="162">
        <v>83</v>
      </c>
      <c r="I266" s="146"/>
      <c r="J266" s="167"/>
    </row>
    <row r="267" spans="1:12" s="163" customFormat="1" ht="25">
      <c r="A267" s="164"/>
      <c r="B267" s="191"/>
      <c r="C267" s="120"/>
      <c r="D267" s="151" t="s">
        <v>283</v>
      </c>
      <c r="E267" s="100" t="s">
        <v>284</v>
      </c>
      <c r="F267" s="215"/>
      <c r="G267" s="121" t="s">
        <v>14</v>
      </c>
      <c r="H267" s="122">
        <v>83</v>
      </c>
      <c r="J267" s="167"/>
    </row>
    <row r="268" spans="1:12" s="163" customFormat="1">
      <c r="A268" s="164"/>
      <c r="B268" s="191"/>
      <c r="C268" s="120"/>
      <c r="D268" s="151"/>
      <c r="E268" s="123" t="s">
        <v>285</v>
      </c>
      <c r="F268" s="284">
        <f>6</f>
        <v>6</v>
      </c>
      <c r="G268" s="121"/>
      <c r="H268" s="122"/>
      <c r="J268" s="167"/>
    </row>
    <row r="269" spans="1:12" s="163" customFormat="1" ht="12.75" customHeight="1">
      <c r="A269" s="168"/>
      <c r="B269" s="161"/>
      <c r="C269" s="138"/>
      <c r="D269" s="139"/>
      <c r="E269" s="147" t="s">
        <v>286</v>
      </c>
      <c r="F269" s="284">
        <f>35.2*1+5.5*0.6</f>
        <v>38.5</v>
      </c>
      <c r="G269" s="142"/>
      <c r="H269" s="170"/>
      <c r="J269" s="167"/>
    </row>
    <row r="270" spans="1:12" s="163" customFormat="1" ht="12.75" customHeight="1">
      <c r="A270" s="168"/>
      <c r="B270" s="161"/>
      <c r="C270" s="138"/>
      <c r="D270" s="139"/>
      <c r="E270" s="147" t="s">
        <v>287</v>
      </c>
      <c r="F270" s="279">
        <f>35.2*1+5.5*0.6</f>
        <v>38.5</v>
      </c>
      <c r="G270" s="142"/>
      <c r="H270" s="170"/>
      <c r="J270" s="167"/>
    </row>
    <row r="271" spans="1:12" s="163" customFormat="1" ht="12.75" customHeight="1">
      <c r="A271" s="168"/>
      <c r="B271" s="161"/>
      <c r="C271" s="138"/>
      <c r="D271" s="139"/>
      <c r="E271" s="286"/>
      <c r="F271" s="284">
        <f>SUM(F268:F270)</f>
        <v>83</v>
      </c>
      <c r="G271" s="142"/>
      <c r="H271" s="170"/>
      <c r="J271" s="167"/>
    </row>
    <row r="272" spans="1:12" s="163" customFormat="1" ht="26">
      <c r="A272" s="101">
        <f>MAX(A$1:A271)+1</f>
        <v>37</v>
      </c>
      <c r="B272" s="161"/>
      <c r="C272" s="138" t="s">
        <v>288</v>
      </c>
      <c r="D272" s="139"/>
      <c r="E272" s="140" t="s">
        <v>289</v>
      </c>
      <c r="F272" s="141"/>
      <c r="G272" s="142" t="s">
        <v>11</v>
      </c>
      <c r="H272" s="162">
        <v>2.39</v>
      </c>
      <c r="I272" s="180"/>
      <c r="J272" s="167"/>
    </row>
    <row r="273" spans="1:10" s="163" customFormat="1" ht="25">
      <c r="A273" s="168"/>
      <c r="B273" s="193"/>
      <c r="C273" s="194"/>
      <c r="D273" s="186" t="s">
        <v>290</v>
      </c>
      <c r="E273" s="187" t="s">
        <v>291</v>
      </c>
      <c r="F273" s="188"/>
      <c r="G273" s="189" t="s">
        <v>11</v>
      </c>
      <c r="H273" s="242">
        <v>2.34</v>
      </c>
      <c r="J273" s="167"/>
    </row>
    <row r="274" spans="1:10" s="163" customFormat="1">
      <c r="A274" s="168"/>
      <c r="B274" s="193"/>
      <c r="C274" s="194"/>
      <c r="D274" s="186"/>
      <c r="E274" s="147" t="s">
        <v>292</v>
      </c>
      <c r="F274" s="287">
        <v>0.03</v>
      </c>
      <c r="G274" s="189"/>
      <c r="H274" s="242"/>
      <c r="J274" s="167"/>
    </row>
    <row r="275" spans="1:10" s="163" customFormat="1" ht="39">
      <c r="A275" s="168"/>
      <c r="B275" s="161"/>
      <c r="C275" s="138"/>
      <c r="D275" s="139"/>
      <c r="E275" s="147" t="s">
        <v>293</v>
      </c>
      <c r="F275" s="284">
        <v>1.1599999999999999</v>
      </c>
      <c r="G275" s="142"/>
      <c r="H275" s="170"/>
      <c r="J275" s="167"/>
    </row>
    <row r="276" spans="1:10" s="163" customFormat="1" ht="39">
      <c r="A276" s="168"/>
      <c r="B276" s="161"/>
      <c r="C276" s="138"/>
      <c r="D276" s="139"/>
      <c r="E276" s="147" t="s">
        <v>294</v>
      </c>
      <c r="F276" s="279">
        <v>1.1499999999999999</v>
      </c>
      <c r="G276" s="142"/>
      <c r="H276" s="170"/>
      <c r="J276" s="167"/>
    </row>
    <row r="277" spans="1:10" s="163" customFormat="1">
      <c r="A277" s="168"/>
      <c r="B277" s="161"/>
      <c r="C277" s="138"/>
      <c r="D277" s="139"/>
      <c r="E277" s="286"/>
      <c r="F277" s="284">
        <f>SUM(F274:F276)</f>
        <v>2.34</v>
      </c>
      <c r="G277" s="142"/>
      <c r="H277" s="170"/>
      <c r="J277" s="167"/>
    </row>
    <row r="278" spans="1:10" s="163" customFormat="1" ht="25">
      <c r="A278" s="168"/>
      <c r="B278" s="193"/>
      <c r="C278" s="194"/>
      <c r="D278" s="186" t="s">
        <v>295</v>
      </c>
      <c r="E278" s="187" t="s">
        <v>296</v>
      </c>
      <c r="F278" s="188"/>
      <c r="G278" s="189" t="s">
        <v>11</v>
      </c>
      <c r="H278" s="242">
        <v>0.05</v>
      </c>
      <c r="J278" s="167"/>
    </row>
    <row r="279" spans="1:10" s="163" customFormat="1">
      <c r="A279" s="168"/>
      <c r="B279" s="161"/>
      <c r="C279" s="138"/>
      <c r="D279" s="139"/>
      <c r="E279" s="147" t="s">
        <v>297</v>
      </c>
      <c r="F279" s="284">
        <v>0.05</v>
      </c>
      <c r="G279" s="142"/>
      <c r="H279" s="170"/>
      <c r="J279" s="167"/>
    </row>
    <row r="280" spans="1:10" s="163" customFormat="1">
      <c r="A280" s="168"/>
      <c r="B280" s="161"/>
      <c r="C280" s="138"/>
      <c r="D280" s="139"/>
      <c r="E280" s="286"/>
      <c r="F280" s="284"/>
      <c r="G280" s="142"/>
      <c r="H280" s="170"/>
      <c r="J280" s="167"/>
    </row>
    <row r="281" spans="1:10" s="163" customFormat="1" ht="26">
      <c r="A281" s="101">
        <f>MAX(A$1:A280)+1</f>
        <v>38</v>
      </c>
      <c r="B281" s="161"/>
      <c r="C281" s="138" t="s">
        <v>50</v>
      </c>
      <c r="D281" s="139"/>
      <c r="E281" s="140" t="s">
        <v>51</v>
      </c>
      <c r="F281" s="141"/>
      <c r="G281" s="142" t="s">
        <v>19</v>
      </c>
      <c r="H281" s="162">
        <v>41.81</v>
      </c>
      <c r="I281" s="146"/>
      <c r="J281" s="288"/>
    </row>
    <row r="282" spans="1:10" s="163" customFormat="1" ht="25">
      <c r="A282" s="168"/>
      <c r="B282" s="193"/>
      <c r="C282" s="194"/>
      <c r="D282" s="273" t="s">
        <v>298</v>
      </c>
      <c r="E282" s="274" t="s">
        <v>299</v>
      </c>
      <c r="F282" s="275"/>
      <c r="G282" s="133" t="s">
        <v>19</v>
      </c>
      <c r="H282" s="242">
        <v>41.81</v>
      </c>
      <c r="J282" s="130"/>
    </row>
    <row r="283" spans="1:10" s="163" customFormat="1" ht="26">
      <c r="A283" s="168"/>
      <c r="B283" s="193"/>
      <c r="C283" s="194"/>
      <c r="D283" s="273"/>
      <c r="E283" s="289" t="s">
        <v>300</v>
      </c>
      <c r="F283" s="284">
        <f xml:space="preserve"> (3.3+3.5+7.4+4.2)*0.25</f>
        <v>4.5999999999999996</v>
      </c>
      <c r="G283" s="133"/>
      <c r="H283" s="242"/>
      <c r="J283" s="167"/>
    </row>
    <row r="284" spans="1:10" s="163" customFormat="1">
      <c r="A284" s="168"/>
      <c r="B284" s="161"/>
      <c r="C284" s="138"/>
      <c r="D284" s="139"/>
      <c r="E284" s="147" t="s">
        <v>301</v>
      </c>
      <c r="F284" s="284">
        <f>0.184*65.03</f>
        <v>11.96552</v>
      </c>
      <c r="G284" s="142"/>
      <c r="H284" s="170"/>
      <c r="J284" s="167"/>
    </row>
    <row r="285" spans="1:10" s="163" customFormat="1">
      <c r="A285" s="168"/>
      <c r="B285" s="161"/>
      <c r="C285" s="138"/>
      <c r="D285" s="139"/>
      <c r="E285" s="147" t="s">
        <v>302</v>
      </c>
      <c r="F285" s="279">
        <f xml:space="preserve"> 0.362*69.74</f>
        <v>25.245879999999996</v>
      </c>
      <c r="G285" s="142"/>
      <c r="H285" s="170"/>
      <c r="J285" s="167"/>
    </row>
    <row r="286" spans="1:10" s="163" customFormat="1">
      <c r="A286" s="168"/>
      <c r="B286" s="161"/>
      <c r="C286" s="138"/>
      <c r="D286" s="139"/>
      <c r="E286" s="286"/>
      <c r="F286" s="284">
        <f>SUM(F283:F285)</f>
        <v>41.811399999999992</v>
      </c>
      <c r="G286" s="142"/>
      <c r="H286" s="170"/>
      <c r="J286" s="167"/>
    </row>
    <row r="287" spans="1:10" s="163" customFormat="1">
      <c r="A287" s="168"/>
      <c r="B287" s="161"/>
      <c r="C287" s="138"/>
      <c r="D287" s="139"/>
      <c r="E287" s="286"/>
      <c r="F287" s="284"/>
      <c r="G287" s="142"/>
      <c r="H287" s="170"/>
      <c r="J287" s="167"/>
    </row>
    <row r="288" spans="1:10" s="163" customFormat="1" ht="26">
      <c r="A288" s="101">
        <f>MAX(A$1:A287)+1</f>
        <v>39</v>
      </c>
      <c r="B288" s="161"/>
      <c r="C288" s="138" t="s">
        <v>34</v>
      </c>
      <c r="D288" s="139"/>
      <c r="E288" s="140" t="s">
        <v>35</v>
      </c>
      <c r="F288" s="141"/>
      <c r="G288" s="142" t="s">
        <v>14</v>
      </c>
      <c r="H288" s="162">
        <v>33.020000000000003</v>
      </c>
      <c r="I288" s="146"/>
      <c r="J288" s="167"/>
    </row>
    <row r="289" spans="1:10" s="163" customFormat="1" ht="25">
      <c r="A289" s="168"/>
      <c r="B289" s="193"/>
      <c r="C289" s="194"/>
      <c r="D289" s="186" t="s">
        <v>303</v>
      </c>
      <c r="E289" s="187" t="s">
        <v>304</v>
      </c>
      <c r="F289" s="188"/>
      <c r="G289" s="189" t="s">
        <v>14</v>
      </c>
      <c r="H289" s="242">
        <v>33.020000000000003</v>
      </c>
      <c r="J289" s="167"/>
    </row>
    <row r="290" spans="1:10" s="163" customFormat="1">
      <c r="A290" s="168"/>
      <c r="B290" s="161"/>
      <c r="C290" s="138"/>
      <c r="D290" s="139"/>
      <c r="E290" s="147" t="s">
        <v>305</v>
      </c>
      <c r="F290" s="284">
        <f>0.245*(65.03+69.73)</f>
        <v>33.016199999999998</v>
      </c>
      <c r="G290" s="142"/>
      <c r="H290" s="170"/>
      <c r="J290" s="167"/>
    </row>
    <row r="291" spans="1:10" s="163" customFormat="1">
      <c r="A291" s="168"/>
      <c r="B291" s="161"/>
      <c r="C291" s="138"/>
      <c r="D291" s="139"/>
      <c r="E291" s="286"/>
      <c r="F291" s="284"/>
      <c r="G291" s="142"/>
      <c r="H291" s="170"/>
      <c r="J291" s="167"/>
    </row>
    <row r="292" spans="1:10" s="163" customFormat="1" ht="26">
      <c r="A292" s="101">
        <f>MAX(A$1:A291)+1</f>
        <v>40</v>
      </c>
      <c r="B292" s="161"/>
      <c r="C292" s="138" t="s">
        <v>52</v>
      </c>
      <c r="D292" s="139"/>
      <c r="E292" s="140" t="s">
        <v>53</v>
      </c>
      <c r="F292" s="141"/>
      <c r="G292" s="142" t="s">
        <v>11</v>
      </c>
      <c r="H292" s="162">
        <v>6.4</v>
      </c>
      <c r="I292" s="146"/>
      <c r="J292" s="167"/>
    </row>
    <row r="293" spans="1:10" s="163" customFormat="1" ht="25">
      <c r="A293" s="168"/>
      <c r="B293" s="193"/>
      <c r="C293" s="194"/>
      <c r="D293" s="186" t="s">
        <v>306</v>
      </c>
      <c r="E293" s="187" t="s">
        <v>307</v>
      </c>
      <c r="F293" s="188"/>
      <c r="G293" s="189" t="s">
        <v>11</v>
      </c>
      <c r="H293" s="242">
        <v>6.4</v>
      </c>
      <c r="I293" s="146"/>
      <c r="J293" s="167"/>
    </row>
    <row r="294" spans="1:10" s="163" customFormat="1">
      <c r="A294" s="168"/>
      <c r="B294" s="161"/>
      <c r="C294" s="138"/>
      <c r="D294" s="139"/>
      <c r="E294" s="147" t="s">
        <v>308</v>
      </c>
      <c r="F294" s="284">
        <f>6.402</f>
        <v>6.4020000000000001</v>
      </c>
      <c r="G294" s="142"/>
      <c r="H294" s="170"/>
      <c r="I294" s="146"/>
      <c r="J294" s="167"/>
    </row>
    <row r="295" spans="1:10" s="163" customFormat="1">
      <c r="A295" s="168"/>
      <c r="B295" s="161"/>
      <c r="C295" s="138"/>
      <c r="D295" s="139"/>
      <c r="E295" s="286"/>
      <c r="F295" s="284"/>
      <c r="G295" s="142"/>
      <c r="H295" s="170"/>
      <c r="I295" s="146"/>
      <c r="J295" s="167"/>
    </row>
    <row r="296" spans="1:10" s="163" customFormat="1" ht="26">
      <c r="A296" s="101">
        <f>MAX(A$1:A295)+1</f>
        <v>41</v>
      </c>
      <c r="B296" s="161"/>
      <c r="C296" s="138" t="s">
        <v>309</v>
      </c>
      <c r="D296" s="139"/>
      <c r="E296" s="95" t="s">
        <v>310</v>
      </c>
      <c r="F296" s="141"/>
      <c r="G296" s="142" t="s">
        <v>19</v>
      </c>
      <c r="H296" s="162">
        <v>57.92</v>
      </c>
      <c r="I296" s="146"/>
      <c r="J296" s="167"/>
    </row>
    <row r="297" spans="1:10" s="163" customFormat="1" ht="25">
      <c r="A297" s="168"/>
      <c r="B297" s="193"/>
      <c r="C297" s="194"/>
      <c r="D297" s="273" t="s">
        <v>311</v>
      </c>
      <c r="E297" s="274" t="s">
        <v>312</v>
      </c>
      <c r="F297" s="275"/>
      <c r="G297" s="189" t="s">
        <v>19</v>
      </c>
      <c r="H297" s="242">
        <v>57.92</v>
      </c>
      <c r="I297" s="146"/>
      <c r="J297" s="167"/>
    </row>
    <row r="298" spans="1:10" s="163" customFormat="1">
      <c r="A298" s="168"/>
      <c r="B298" s="193"/>
      <c r="C298" s="194"/>
      <c r="D298" s="273"/>
      <c r="E298" s="278" t="s">
        <v>672</v>
      </c>
      <c r="F298" s="284">
        <v>28.64</v>
      </c>
      <c r="G298" s="189"/>
      <c r="H298" s="170"/>
      <c r="I298" s="146"/>
      <c r="J298" s="167"/>
    </row>
    <row r="299" spans="1:10" s="163" customFormat="1">
      <c r="A299" s="168"/>
      <c r="B299" s="193"/>
      <c r="C299" s="194"/>
      <c r="D299" s="273"/>
      <c r="E299" s="278" t="s">
        <v>673</v>
      </c>
      <c r="F299" s="279">
        <f>91.5*0.32</f>
        <v>29.28</v>
      </c>
      <c r="G299" s="133"/>
      <c r="H299" s="170"/>
      <c r="I299" s="146"/>
      <c r="J299" s="167"/>
    </row>
    <row r="300" spans="1:10" s="163" customFormat="1">
      <c r="A300" s="168"/>
      <c r="B300" s="193"/>
      <c r="C300" s="194"/>
      <c r="D300" s="273"/>
      <c r="E300" s="274"/>
      <c r="F300" s="284">
        <f>SUM(F298:F299)</f>
        <v>57.92</v>
      </c>
      <c r="G300" s="133"/>
      <c r="H300" s="170"/>
      <c r="I300" s="146"/>
      <c r="J300" s="167"/>
    </row>
    <row r="301" spans="1:10" s="163" customFormat="1">
      <c r="A301" s="168"/>
      <c r="B301" s="193"/>
      <c r="C301" s="194"/>
      <c r="D301" s="273"/>
      <c r="E301" s="274"/>
      <c r="F301" s="275"/>
      <c r="G301" s="133"/>
      <c r="H301" s="170"/>
      <c r="I301" s="146"/>
      <c r="J301" s="167"/>
    </row>
    <row r="302" spans="1:10" s="163" customFormat="1" ht="26">
      <c r="A302" s="101">
        <f>MAX(A$1:A301)+1</f>
        <v>42</v>
      </c>
      <c r="B302" s="161"/>
      <c r="C302" s="138" t="s">
        <v>313</v>
      </c>
      <c r="D302" s="139"/>
      <c r="E302" s="140" t="s">
        <v>314</v>
      </c>
      <c r="F302" s="141"/>
      <c r="G302" s="142" t="s">
        <v>14</v>
      </c>
      <c r="H302" s="162">
        <v>24.84</v>
      </c>
      <c r="I302" s="146"/>
      <c r="J302" s="167"/>
    </row>
    <row r="303" spans="1:10" s="163" customFormat="1" ht="25">
      <c r="A303" s="168"/>
      <c r="B303" s="193"/>
      <c r="C303" s="194"/>
      <c r="D303" s="186" t="s">
        <v>315</v>
      </c>
      <c r="E303" s="187" t="s">
        <v>316</v>
      </c>
      <c r="F303" s="188"/>
      <c r="G303" s="189" t="s">
        <v>14</v>
      </c>
      <c r="H303" s="242">
        <v>24.84</v>
      </c>
      <c r="J303" s="167"/>
    </row>
    <row r="304" spans="1:10" s="163" customFormat="1" ht="26">
      <c r="A304" s="168"/>
      <c r="B304" s="193"/>
      <c r="C304" s="194"/>
      <c r="D304" s="273"/>
      <c r="E304" s="278" t="s">
        <v>674</v>
      </c>
      <c r="F304" s="284">
        <f>(8.24*2+13.04)*0.32+(8.24*2+13.24)*0.1</f>
        <v>12.4184</v>
      </c>
      <c r="G304" s="133"/>
      <c r="H304" s="170"/>
      <c r="J304" s="167"/>
    </row>
    <row r="305" spans="1:10" s="163" customFormat="1" ht="26">
      <c r="A305" s="168"/>
      <c r="B305" s="193"/>
      <c r="C305" s="194"/>
      <c r="D305" s="273"/>
      <c r="E305" s="278" t="s">
        <v>675</v>
      </c>
      <c r="F305" s="279">
        <f>(8.24*2+13.04)*0.32+(8.24*2+13.24)*0.1</f>
        <v>12.4184</v>
      </c>
      <c r="G305" s="133"/>
      <c r="H305" s="170"/>
      <c r="J305" s="167"/>
    </row>
    <row r="306" spans="1:10" s="163" customFormat="1">
      <c r="A306" s="168"/>
      <c r="B306" s="193"/>
      <c r="C306" s="194"/>
      <c r="D306" s="273"/>
      <c r="E306" s="274"/>
      <c r="F306" s="290">
        <f>SUM(F304:F305)</f>
        <v>24.8368</v>
      </c>
      <c r="G306" s="133"/>
      <c r="H306" s="170"/>
      <c r="J306" s="167"/>
    </row>
    <row r="307" spans="1:10" s="163" customFormat="1">
      <c r="A307" s="168"/>
      <c r="B307" s="193"/>
      <c r="C307" s="194"/>
      <c r="D307" s="273"/>
      <c r="E307" s="274"/>
      <c r="F307" s="290"/>
      <c r="G307" s="133"/>
      <c r="H307" s="170"/>
      <c r="J307" s="167"/>
    </row>
    <row r="308" spans="1:10" s="163" customFormat="1" ht="26">
      <c r="A308" s="101">
        <f>MAX(A$1:A306)+1</f>
        <v>43</v>
      </c>
      <c r="B308" s="161"/>
      <c r="C308" s="138" t="s">
        <v>317</v>
      </c>
      <c r="D308" s="139"/>
      <c r="E308" s="140" t="s">
        <v>318</v>
      </c>
      <c r="F308" s="141"/>
      <c r="G308" s="142" t="s">
        <v>11</v>
      </c>
      <c r="H308" s="162">
        <v>11.57</v>
      </c>
      <c r="I308" s="146"/>
      <c r="J308" s="167"/>
    </row>
    <row r="309" spans="1:10" s="163" customFormat="1" ht="25">
      <c r="A309" s="168"/>
      <c r="B309" s="193"/>
      <c r="C309" s="194"/>
      <c r="D309" s="186" t="s">
        <v>319</v>
      </c>
      <c r="E309" s="187" t="s">
        <v>320</v>
      </c>
      <c r="F309" s="188"/>
      <c r="G309" s="189" t="s">
        <v>11</v>
      </c>
      <c r="H309" s="242">
        <v>11.57</v>
      </c>
      <c r="J309" s="167"/>
    </row>
    <row r="310" spans="1:10" s="163" customFormat="1">
      <c r="A310" s="168"/>
      <c r="B310" s="193"/>
      <c r="C310" s="194"/>
      <c r="D310" s="186"/>
      <c r="E310" s="147" t="s">
        <v>670</v>
      </c>
      <c r="F310" s="284">
        <v>5.78</v>
      </c>
      <c r="G310" s="189"/>
      <c r="H310" s="170"/>
      <c r="J310" s="167"/>
    </row>
    <row r="311" spans="1:10" s="163" customFormat="1">
      <c r="A311" s="168"/>
      <c r="B311" s="193"/>
      <c r="C311" s="194"/>
      <c r="D311" s="273"/>
      <c r="E311" s="147" t="s">
        <v>671</v>
      </c>
      <c r="F311" s="279">
        <v>5.79</v>
      </c>
      <c r="G311" s="133"/>
      <c r="H311" s="170"/>
      <c r="J311" s="167"/>
    </row>
    <row r="312" spans="1:10" s="163" customFormat="1">
      <c r="A312" s="168"/>
      <c r="B312" s="193"/>
      <c r="C312" s="194"/>
      <c r="D312" s="273"/>
      <c r="E312" s="187"/>
      <c r="F312" s="284">
        <f>SUM(F310:F311)</f>
        <v>11.57</v>
      </c>
      <c r="G312" s="133"/>
      <c r="H312" s="170"/>
      <c r="J312" s="167"/>
    </row>
    <row r="313" spans="1:10" s="163" customFormat="1">
      <c r="A313" s="168"/>
      <c r="B313" s="193"/>
      <c r="C313" s="194"/>
      <c r="D313" s="273"/>
      <c r="E313" s="187"/>
      <c r="F313" s="284"/>
      <c r="G313" s="133"/>
      <c r="H313" s="170"/>
      <c r="J313" s="167"/>
    </row>
    <row r="314" spans="1:10" s="163" customFormat="1" ht="26">
      <c r="A314" s="101">
        <f>MAX(A$1:A313)+1</f>
        <v>44</v>
      </c>
      <c r="B314" s="161"/>
      <c r="C314" s="138" t="s">
        <v>321</v>
      </c>
      <c r="D314" s="139"/>
      <c r="E314" s="140" t="s">
        <v>322</v>
      </c>
      <c r="F314" s="141"/>
      <c r="G314" s="142" t="s">
        <v>19</v>
      </c>
      <c r="H314" s="162">
        <v>149.12</v>
      </c>
      <c r="I314" s="180"/>
      <c r="J314" s="167"/>
    </row>
    <row r="315" spans="1:10" s="163" customFormat="1" ht="25">
      <c r="A315" s="168"/>
      <c r="B315" s="161"/>
      <c r="C315" s="139"/>
      <c r="D315" s="273" t="s">
        <v>323</v>
      </c>
      <c r="E315" s="274" t="s">
        <v>324</v>
      </c>
      <c r="F315" s="275"/>
      <c r="G315" s="133" t="s">
        <v>19</v>
      </c>
      <c r="H315" s="242">
        <v>8.6999999999999993</v>
      </c>
      <c r="J315" s="167"/>
    </row>
    <row r="316" spans="1:10" s="163" customFormat="1">
      <c r="A316" s="164"/>
      <c r="B316" s="108"/>
      <c r="C316" s="110"/>
      <c r="D316" s="276"/>
      <c r="E316" s="291" t="s">
        <v>325</v>
      </c>
      <c r="F316" s="292">
        <f>0.2*0.5*10.5+0.2*0.3*5.5</f>
        <v>1.38</v>
      </c>
      <c r="G316" s="133"/>
      <c r="H316" s="122"/>
      <c r="J316" s="167"/>
    </row>
    <row r="317" spans="1:10" s="163" customFormat="1" ht="26">
      <c r="A317" s="164"/>
      <c r="B317" s="108"/>
      <c r="C317" s="110"/>
      <c r="D317" s="276"/>
      <c r="E317" s="123" t="s">
        <v>326</v>
      </c>
      <c r="F317" s="284">
        <f xml:space="preserve">  0.115*34.7</f>
        <v>3.9905000000000004</v>
      </c>
      <c r="G317" s="133"/>
      <c r="H317" s="122"/>
      <c r="J317" s="167"/>
    </row>
    <row r="318" spans="1:10" s="163" customFormat="1">
      <c r="A318" s="168"/>
      <c r="B318" s="161"/>
      <c r="C318" s="139"/>
      <c r="D318" s="273"/>
      <c r="E318" s="289" t="s">
        <v>327</v>
      </c>
      <c r="F318" s="293">
        <f>0.2*0.5*9.7</f>
        <v>0.97</v>
      </c>
      <c r="G318" s="133"/>
      <c r="H318" s="170"/>
      <c r="J318" s="167"/>
    </row>
    <row r="319" spans="1:10" s="163" customFormat="1" ht="12.75" customHeight="1">
      <c r="A319" s="294"/>
      <c r="B319" s="295"/>
      <c r="C319" s="296"/>
      <c r="D319" s="297"/>
      <c r="E319" s="147" t="s">
        <v>328</v>
      </c>
      <c r="F319" s="279">
        <f xml:space="preserve"> 0.124*19</f>
        <v>2.3559999999999999</v>
      </c>
      <c r="G319" s="142"/>
      <c r="H319" s="162"/>
      <c r="J319" s="167"/>
    </row>
    <row r="320" spans="1:10" s="163" customFormat="1" ht="12.75" customHeight="1">
      <c r="A320" s="294"/>
      <c r="B320" s="295"/>
      <c r="C320" s="296"/>
      <c r="D320" s="297"/>
      <c r="E320" s="286"/>
      <c r="F320" s="284">
        <f>SUM(F316:F319)</f>
        <v>8.6965000000000003</v>
      </c>
      <c r="G320" s="142"/>
      <c r="H320" s="162"/>
      <c r="J320" s="167"/>
    </row>
    <row r="321" spans="1:12" s="163" customFormat="1" ht="25">
      <c r="A321" s="168"/>
      <c r="B321" s="193"/>
      <c r="C321" s="194"/>
      <c r="D321" s="273" t="s">
        <v>329</v>
      </c>
      <c r="E321" s="274" t="s">
        <v>330</v>
      </c>
      <c r="F321" s="284"/>
      <c r="G321" s="133" t="s">
        <v>19</v>
      </c>
      <c r="H321" s="242">
        <v>140.41999999999999</v>
      </c>
      <c r="J321" s="167"/>
    </row>
    <row r="322" spans="1:12" s="163" customFormat="1" ht="24.75" customHeight="1">
      <c r="A322" s="168"/>
      <c r="B322" s="161"/>
      <c r="C322" s="138"/>
      <c r="D322" s="139"/>
      <c r="E322" s="147" t="s">
        <v>331</v>
      </c>
      <c r="F322" s="284">
        <f>2.017*63.1</f>
        <v>127.2727</v>
      </c>
      <c r="G322" s="142"/>
      <c r="H322" s="170"/>
      <c r="J322" s="167"/>
    </row>
    <row r="323" spans="1:12" ht="26">
      <c r="A323" s="176"/>
      <c r="B323" s="191"/>
      <c r="C323" s="120"/>
      <c r="D323" s="276"/>
      <c r="E323" s="277" t="s">
        <v>332</v>
      </c>
      <c r="F323" s="298">
        <f>10*0.15*0.4*0.7</f>
        <v>0.42000000000000004</v>
      </c>
      <c r="G323" s="133"/>
      <c r="H323" s="122"/>
      <c r="L323" s="163"/>
    </row>
    <row r="324" spans="1:12" s="163" customFormat="1">
      <c r="A324" s="168"/>
      <c r="B324" s="161"/>
      <c r="C324" s="138"/>
      <c r="D324" s="139"/>
      <c r="E324" s="147" t="s">
        <v>333</v>
      </c>
      <c r="F324" s="279">
        <f>127.27*0.1</f>
        <v>12.727</v>
      </c>
      <c r="G324" s="142"/>
      <c r="H324" s="170"/>
      <c r="J324" s="167"/>
    </row>
    <row r="325" spans="1:12" s="163" customFormat="1">
      <c r="A325" s="168"/>
      <c r="B325" s="161"/>
      <c r="C325" s="138"/>
      <c r="D325" s="139"/>
      <c r="E325" s="286"/>
      <c r="F325" s="284">
        <f>SUM(F321:F324)</f>
        <v>140.41970000000001</v>
      </c>
      <c r="G325" s="142"/>
      <c r="H325" s="170"/>
      <c r="J325" s="167"/>
    </row>
    <row r="326" spans="1:12" s="163" customFormat="1">
      <c r="A326" s="168"/>
      <c r="B326" s="161"/>
      <c r="C326" s="138"/>
      <c r="D326" s="139"/>
      <c r="E326" s="286"/>
      <c r="F326" s="284"/>
      <c r="G326" s="142"/>
      <c r="H326" s="170"/>
      <c r="J326" s="167"/>
    </row>
    <row r="327" spans="1:12" s="163" customFormat="1" ht="26">
      <c r="A327" s="101">
        <f>MAX(A$1:A326)+1</f>
        <v>45</v>
      </c>
      <c r="B327" s="161"/>
      <c r="C327" s="138" t="s">
        <v>334</v>
      </c>
      <c r="D327" s="139"/>
      <c r="E327" s="140" t="s">
        <v>335</v>
      </c>
      <c r="F327" s="141"/>
      <c r="G327" s="142" t="s">
        <v>14</v>
      </c>
      <c r="H327" s="162">
        <v>33.71</v>
      </c>
      <c r="I327" s="146"/>
      <c r="J327" s="167"/>
    </row>
    <row r="328" spans="1:12" s="163" customFormat="1" ht="25">
      <c r="A328" s="168"/>
      <c r="B328" s="193"/>
      <c r="C328" s="194"/>
      <c r="D328" s="186" t="s">
        <v>336</v>
      </c>
      <c r="E328" s="187" t="s">
        <v>337</v>
      </c>
      <c r="F328" s="188"/>
      <c r="G328" s="189" t="s">
        <v>14</v>
      </c>
      <c r="H328" s="242">
        <v>33.71</v>
      </c>
      <c r="I328" s="146"/>
      <c r="J328" s="167"/>
    </row>
    <row r="329" spans="1:12" s="163" customFormat="1">
      <c r="A329" s="168"/>
      <c r="B329" s="193"/>
      <c r="C329" s="194"/>
      <c r="D329" s="186"/>
      <c r="E329" s="147" t="s">
        <v>338</v>
      </c>
      <c r="F329" s="284">
        <f>9.7*0.2</f>
        <v>1.94</v>
      </c>
      <c r="G329" s="189"/>
      <c r="H329" s="242"/>
      <c r="I329" s="146"/>
      <c r="J329" s="167"/>
    </row>
    <row r="330" spans="1:12" s="163" customFormat="1" ht="26">
      <c r="A330" s="168"/>
      <c r="B330" s="193"/>
      <c r="C330" s="194"/>
      <c r="D330" s="186"/>
      <c r="E330" s="147" t="s">
        <v>339</v>
      </c>
      <c r="F330" s="287">
        <f>(19+0.75)*0.2</f>
        <v>3.95</v>
      </c>
      <c r="G330" s="189"/>
      <c r="H330" s="242"/>
      <c r="I330" s="146"/>
      <c r="J330" s="167"/>
    </row>
    <row r="331" spans="1:12" s="163" customFormat="1">
      <c r="A331" s="168"/>
      <c r="B331" s="161"/>
      <c r="C331" s="138"/>
      <c r="D331" s="139"/>
      <c r="E331" s="147" t="s">
        <v>340</v>
      </c>
      <c r="F331" s="279">
        <f>2*2.017+61*(0.15+0.24)</f>
        <v>27.823999999999998</v>
      </c>
      <c r="G331" s="142"/>
      <c r="H331" s="170"/>
      <c r="I331" s="146"/>
      <c r="J331" s="167"/>
    </row>
    <row r="332" spans="1:12" s="163" customFormat="1">
      <c r="A332" s="168"/>
      <c r="B332" s="161"/>
      <c r="C332" s="138"/>
      <c r="D332" s="139"/>
      <c r="E332" s="286"/>
      <c r="F332" s="284">
        <f>SUM(F329:F331)</f>
        <v>33.713999999999999</v>
      </c>
      <c r="G332" s="142"/>
      <c r="H332" s="170"/>
      <c r="I332" s="146"/>
      <c r="J332" s="167"/>
    </row>
    <row r="333" spans="1:12" s="163" customFormat="1">
      <c r="A333" s="168"/>
      <c r="B333" s="161"/>
      <c r="C333" s="138"/>
      <c r="D333" s="139"/>
      <c r="E333" s="286"/>
      <c r="F333" s="284"/>
      <c r="G333" s="142"/>
      <c r="H333" s="170"/>
      <c r="I333" s="146"/>
      <c r="J333" s="167"/>
    </row>
    <row r="334" spans="1:12" s="163" customFormat="1" ht="26">
      <c r="A334" s="101">
        <f>MAX(A$1:A333)+1</f>
        <v>46</v>
      </c>
      <c r="B334" s="161"/>
      <c r="C334" s="138" t="s">
        <v>341</v>
      </c>
      <c r="D334" s="139"/>
      <c r="E334" s="140" t="s">
        <v>342</v>
      </c>
      <c r="F334" s="141"/>
      <c r="G334" s="142" t="s">
        <v>14</v>
      </c>
      <c r="H334" s="162">
        <v>2.8</v>
      </c>
      <c r="I334" s="146"/>
      <c r="J334" s="167"/>
    </row>
    <row r="335" spans="1:12" s="163" customFormat="1" ht="25">
      <c r="A335" s="168"/>
      <c r="B335" s="193"/>
      <c r="C335" s="194"/>
      <c r="D335" s="186" t="s">
        <v>343</v>
      </c>
      <c r="E335" s="187" t="s">
        <v>344</v>
      </c>
      <c r="F335" s="188"/>
      <c r="G335" s="189" t="s">
        <v>14</v>
      </c>
      <c r="H335" s="242">
        <v>2.8</v>
      </c>
      <c r="I335" s="146"/>
      <c r="J335" s="167"/>
    </row>
    <row r="336" spans="1:12" s="163" customFormat="1" ht="26">
      <c r="A336" s="168"/>
      <c r="B336" s="161"/>
      <c r="C336" s="138"/>
      <c r="D336" s="139"/>
      <c r="E336" s="277" t="s">
        <v>345</v>
      </c>
      <c r="F336" s="284">
        <f>10*0.4*0.7</f>
        <v>2.8</v>
      </c>
      <c r="G336" s="142"/>
      <c r="H336" s="170"/>
      <c r="J336" s="167"/>
    </row>
    <row r="337" spans="1:17" s="163" customFormat="1">
      <c r="A337" s="168"/>
      <c r="B337" s="161"/>
      <c r="C337" s="138"/>
      <c r="D337" s="139"/>
      <c r="E337" s="286"/>
      <c r="F337" s="279"/>
      <c r="G337" s="142"/>
      <c r="H337" s="170"/>
      <c r="J337" s="167"/>
    </row>
    <row r="338" spans="1:17" s="163" customFormat="1" ht="26">
      <c r="A338" s="101">
        <f>MAX(A$1:A337)+1</f>
        <v>47</v>
      </c>
      <c r="B338" s="161"/>
      <c r="C338" s="138" t="s">
        <v>346</v>
      </c>
      <c r="D338" s="139"/>
      <c r="E338" s="140" t="s">
        <v>347</v>
      </c>
      <c r="F338" s="141"/>
      <c r="G338" s="142" t="s">
        <v>11</v>
      </c>
      <c r="H338" s="162">
        <v>13.02</v>
      </c>
      <c r="I338" s="180"/>
      <c r="J338" s="167"/>
    </row>
    <row r="339" spans="1:17" s="163" customFormat="1" ht="25">
      <c r="A339" s="168"/>
      <c r="B339" s="193"/>
      <c r="C339" s="194"/>
      <c r="D339" s="186" t="s">
        <v>348</v>
      </c>
      <c r="E339" s="187" t="s">
        <v>349</v>
      </c>
      <c r="F339" s="188"/>
      <c r="G339" s="189" t="s">
        <v>11</v>
      </c>
      <c r="H339" s="242">
        <v>4.05</v>
      </c>
      <c r="J339" s="167"/>
    </row>
    <row r="340" spans="1:17" s="163" customFormat="1" ht="26">
      <c r="A340" s="168"/>
      <c r="B340" s="193"/>
      <c r="C340" s="194"/>
      <c r="D340" s="186"/>
      <c r="E340" s="123" t="s">
        <v>350</v>
      </c>
      <c r="F340" s="216">
        <f>0.47</f>
        <v>0.47</v>
      </c>
      <c r="G340" s="189"/>
      <c r="H340" s="242"/>
      <c r="J340" s="167"/>
    </row>
    <row r="341" spans="1:17" s="163" customFormat="1" ht="26">
      <c r="A341" s="168"/>
      <c r="B341" s="193"/>
      <c r="C341" s="194"/>
      <c r="D341" s="186"/>
      <c r="E341" s="123" t="s">
        <v>351</v>
      </c>
      <c r="F341" s="216">
        <v>0.03</v>
      </c>
      <c r="G341" s="189"/>
      <c r="H341" s="170"/>
      <c r="J341" s="167"/>
    </row>
    <row r="342" spans="1:17" s="163" customFormat="1" ht="39">
      <c r="A342" s="168"/>
      <c r="B342" s="193"/>
      <c r="C342" s="194"/>
      <c r="D342" s="186"/>
      <c r="E342" s="123" t="s">
        <v>713</v>
      </c>
      <c r="F342" s="299">
        <v>3.55</v>
      </c>
      <c r="G342" s="189"/>
      <c r="H342" s="170"/>
      <c r="J342" s="167"/>
    </row>
    <row r="343" spans="1:17" s="163" customFormat="1">
      <c r="A343" s="168"/>
      <c r="B343" s="193"/>
      <c r="C343" s="194"/>
      <c r="D343" s="186"/>
      <c r="E343" s="123"/>
      <c r="F343" s="124">
        <f>SUM(F340:F342)</f>
        <v>4.05</v>
      </c>
      <c r="G343" s="189"/>
      <c r="H343" s="170"/>
      <c r="J343" s="167"/>
    </row>
    <row r="344" spans="1:17" s="163" customFormat="1" ht="25">
      <c r="A344" s="168"/>
      <c r="B344" s="193"/>
      <c r="C344" s="194"/>
      <c r="D344" s="186" t="s">
        <v>352</v>
      </c>
      <c r="E344" s="136" t="s">
        <v>353</v>
      </c>
      <c r="F344" s="300"/>
      <c r="G344" s="189" t="s">
        <v>11</v>
      </c>
      <c r="H344" s="242">
        <v>8.9700000000000006</v>
      </c>
      <c r="J344" s="167"/>
    </row>
    <row r="345" spans="1:17" s="163" customFormat="1">
      <c r="A345" s="168"/>
      <c r="B345" s="161"/>
      <c r="C345" s="138"/>
      <c r="D345" s="139"/>
      <c r="E345" s="123" t="s">
        <v>613</v>
      </c>
      <c r="F345" s="301">
        <v>8.25</v>
      </c>
      <c r="G345" s="142"/>
      <c r="H345" s="170"/>
      <c r="J345" s="167"/>
    </row>
    <row r="346" spans="1:17" s="163" customFormat="1">
      <c r="A346" s="168"/>
      <c r="B346" s="161"/>
      <c r="C346" s="138"/>
      <c r="D346" s="139"/>
      <c r="E346" s="123" t="s">
        <v>354</v>
      </c>
      <c r="F346" s="301">
        <v>0.1</v>
      </c>
      <c r="G346" s="142"/>
      <c r="H346" s="170"/>
      <c r="J346" s="167"/>
    </row>
    <row r="347" spans="1:17" s="163" customFormat="1">
      <c r="A347" s="168"/>
      <c r="B347" s="161"/>
      <c r="C347" s="138"/>
      <c r="D347" s="139"/>
      <c r="E347" s="123" t="s">
        <v>355</v>
      </c>
      <c r="F347" s="301">
        <v>0.1</v>
      </c>
      <c r="G347" s="142"/>
      <c r="H347" s="170"/>
      <c r="J347" s="167"/>
    </row>
    <row r="348" spans="1:17" s="163" customFormat="1" ht="26">
      <c r="A348" s="168"/>
      <c r="B348" s="161"/>
      <c r="C348" s="138"/>
      <c r="D348" s="139"/>
      <c r="E348" s="123" t="s">
        <v>356</v>
      </c>
      <c r="F348" s="301">
        <v>0.28000000000000003</v>
      </c>
      <c r="G348" s="142"/>
      <c r="H348" s="170"/>
      <c r="J348" s="167"/>
    </row>
    <row r="349" spans="1:17" s="163" customFormat="1" ht="26">
      <c r="A349" s="168"/>
      <c r="B349" s="161"/>
      <c r="C349" s="138"/>
      <c r="D349" s="139"/>
      <c r="E349" s="123" t="s">
        <v>357</v>
      </c>
      <c r="F349" s="299">
        <v>0.24</v>
      </c>
      <c r="G349" s="142"/>
      <c r="H349" s="170"/>
      <c r="J349" s="167"/>
    </row>
    <row r="350" spans="1:17" s="163" customFormat="1">
      <c r="A350" s="168"/>
      <c r="B350" s="161"/>
      <c r="C350" s="138"/>
      <c r="D350" s="139"/>
      <c r="E350" s="147"/>
      <c r="F350" s="124">
        <f>SUM(F345:F349)</f>
        <v>8.9699999999999989</v>
      </c>
      <c r="G350" s="142"/>
      <c r="H350" s="170"/>
      <c r="J350" s="167"/>
    </row>
    <row r="351" spans="1:17" s="163" customFormat="1">
      <c r="A351" s="168"/>
      <c r="B351" s="161"/>
      <c r="C351" s="138"/>
      <c r="D351" s="139"/>
      <c r="E351" s="286"/>
      <c r="F351" s="284"/>
      <c r="G351" s="142"/>
      <c r="H351" s="170"/>
      <c r="J351" s="167"/>
    </row>
    <row r="352" spans="1:17" s="163" customFormat="1">
      <c r="A352" s="101">
        <f>MAX(A$1:A351)+1</f>
        <v>48</v>
      </c>
      <c r="B352" s="108"/>
      <c r="C352" s="109" t="s">
        <v>358</v>
      </c>
      <c r="D352" s="110"/>
      <c r="E352" s="103" t="s">
        <v>359</v>
      </c>
      <c r="F352" s="111"/>
      <c r="G352" s="112" t="s">
        <v>19</v>
      </c>
      <c r="H352" s="173">
        <v>32.159999999999997</v>
      </c>
      <c r="I352" s="146"/>
      <c r="J352" s="130"/>
      <c r="M352" s="302"/>
      <c r="N352" s="154"/>
      <c r="O352" s="154"/>
      <c r="P352" s="154"/>
      <c r="Q352" s="154"/>
    </row>
    <row r="353" spans="1:18" s="241" customFormat="1" ht="26">
      <c r="A353" s="101"/>
      <c r="B353" s="303"/>
      <c r="C353" s="120"/>
      <c r="D353" s="276"/>
      <c r="E353" s="304" t="s">
        <v>360</v>
      </c>
      <c r="F353" s="305"/>
      <c r="G353" s="133"/>
      <c r="H353" s="122"/>
      <c r="I353" s="72"/>
      <c r="J353" s="73"/>
      <c r="K353" s="72"/>
      <c r="L353" s="163"/>
      <c r="M353" s="72"/>
      <c r="N353" s="72"/>
      <c r="O353" s="72"/>
      <c r="P353" s="72"/>
      <c r="Q353" s="72"/>
      <c r="R353" s="72"/>
    </row>
    <row r="354" spans="1:18" s="316" customFormat="1" ht="12.75" customHeight="1">
      <c r="A354" s="306"/>
      <c r="B354" s="307"/>
      <c r="C354" s="308"/>
      <c r="D354" s="309"/>
      <c r="E354" s="310" t="s">
        <v>361</v>
      </c>
      <c r="F354" s="311">
        <f>(67+65+2)*1*0.6*0.4</f>
        <v>32.159999999999997</v>
      </c>
      <c r="G354" s="312"/>
      <c r="H354" s="313"/>
      <c r="I354" s="314"/>
      <c r="J354" s="315"/>
      <c r="K354" s="314"/>
      <c r="L354" s="163"/>
      <c r="M354" s="314"/>
      <c r="N354" s="314"/>
      <c r="O354" s="314"/>
      <c r="P354" s="314"/>
      <c r="Q354" s="314"/>
      <c r="R354" s="314"/>
    </row>
    <row r="355" spans="1:18" s="241" customFormat="1" ht="39">
      <c r="A355" s="317"/>
      <c r="B355" s="318"/>
      <c r="C355" s="319"/>
      <c r="D355" s="320"/>
      <c r="E355" s="321" t="s">
        <v>362</v>
      </c>
      <c r="F355" s="311"/>
      <c r="G355" s="133"/>
      <c r="H355" s="313"/>
      <c r="I355" s="72"/>
      <c r="J355" s="73"/>
      <c r="K355" s="72"/>
      <c r="L355" s="163"/>
      <c r="M355" s="72"/>
      <c r="N355" s="72"/>
      <c r="O355" s="72"/>
      <c r="P355" s="72"/>
      <c r="Q355" s="72"/>
      <c r="R355" s="72"/>
    </row>
    <row r="356" spans="1:18" s="241" customFormat="1">
      <c r="A356" s="317"/>
      <c r="B356" s="318"/>
      <c r="C356" s="319"/>
      <c r="D356" s="320"/>
      <c r="E356" s="321"/>
      <c r="F356" s="311"/>
      <c r="G356" s="133"/>
      <c r="H356" s="313"/>
      <c r="I356" s="72"/>
      <c r="J356" s="73"/>
      <c r="K356" s="72"/>
      <c r="L356" s="163"/>
      <c r="M356" s="72"/>
      <c r="N356" s="72"/>
      <c r="O356" s="72"/>
      <c r="P356" s="72"/>
      <c r="Q356" s="72"/>
      <c r="R356" s="72"/>
    </row>
    <row r="357" spans="1:18" s="163" customFormat="1">
      <c r="A357" s="101">
        <f>MAX(A$1:A353)+1</f>
        <v>49</v>
      </c>
      <c r="B357" s="161"/>
      <c r="C357" s="138" t="s">
        <v>363</v>
      </c>
      <c r="D357" s="139"/>
      <c r="E357" s="140" t="s">
        <v>20</v>
      </c>
      <c r="F357" s="141"/>
      <c r="G357" s="142" t="s">
        <v>16</v>
      </c>
      <c r="H357" s="190">
        <v>171</v>
      </c>
      <c r="I357" s="180"/>
      <c r="J357" s="167"/>
    </row>
    <row r="358" spans="1:18" s="163" customFormat="1">
      <c r="A358" s="168"/>
      <c r="B358" s="161"/>
      <c r="C358" s="139"/>
      <c r="D358" s="186" t="s">
        <v>364</v>
      </c>
      <c r="E358" s="187" t="s">
        <v>365</v>
      </c>
      <c r="F358" s="188"/>
      <c r="G358" s="189" t="s">
        <v>16</v>
      </c>
      <c r="H358" s="242">
        <v>171</v>
      </c>
      <c r="J358" s="167"/>
    </row>
    <row r="359" spans="1:18" s="241" customFormat="1" ht="26">
      <c r="A359" s="322"/>
      <c r="B359" s="108"/>
      <c r="C359" s="110"/>
      <c r="D359" s="151"/>
      <c r="E359" s="127" t="s">
        <v>366</v>
      </c>
      <c r="F359" s="165">
        <f>70+2*12</f>
        <v>94</v>
      </c>
      <c r="G359" s="121"/>
      <c r="H359" s="97"/>
      <c r="I359" s="72"/>
      <c r="J359" s="73"/>
      <c r="K359" s="72"/>
      <c r="L359" s="163"/>
      <c r="M359" s="72"/>
      <c r="N359" s="72"/>
      <c r="O359" s="72"/>
      <c r="P359" s="72"/>
      <c r="Q359" s="72"/>
      <c r="R359" s="72"/>
    </row>
    <row r="360" spans="1:18" s="241" customFormat="1">
      <c r="A360" s="322"/>
      <c r="B360" s="108"/>
      <c r="C360" s="110"/>
      <c r="D360" s="151"/>
      <c r="E360" s="127" t="s">
        <v>367</v>
      </c>
      <c r="F360" s="135"/>
      <c r="G360" s="121"/>
      <c r="H360" s="97"/>
      <c r="I360" s="72"/>
      <c r="J360" s="73"/>
      <c r="K360" s="72"/>
      <c r="L360" s="163"/>
      <c r="M360" s="72"/>
      <c r="N360" s="72"/>
      <c r="O360" s="72"/>
      <c r="P360" s="72"/>
      <c r="Q360" s="72"/>
      <c r="R360" s="72"/>
    </row>
    <row r="361" spans="1:18" s="241" customFormat="1">
      <c r="A361" s="322"/>
      <c r="B361" s="108"/>
      <c r="C361" s="110"/>
      <c r="D361" s="151"/>
      <c r="E361" s="127" t="s">
        <v>368</v>
      </c>
      <c r="F361" s="128"/>
      <c r="G361" s="121"/>
      <c r="H361" s="97"/>
      <c r="I361" s="72"/>
      <c r="J361" s="73"/>
      <c r="K361" s="72"/>
      <c r="L361" s="163"/>
      <c r="M361" s="72"/>
      <c r="N361" s="72"/>
      <c r="O361" s="72"/>
      <c r="P361" s="72"/>
      <c r="Q361" s="72"/>
      <c r="R361" s="72"/>
    </row>
    <row r="362" spans="1:18" s="241" customFormat="1">
      <c r="A362" s="219"/>
      <c r="B362" s="96"/>
      <c r="C362" s="96"/>
      <c r="D362" s="133"/>
      <c r="E362" s="323" t="s">
        <v>369</v>
      </c>
      <c r="F362" s="221"/>
      <c r="G362" s="222"/>
      <c r="H362" s="324"/>
      <c r="I362" s="72"/>
      <c r="J362" s="73"/>
      <c r="K362" s="72"/>
      <c r="L362" s="163"/>
      <c r="M362" s="72"/>
      <c r="N362" s="72"/>
      <c r="O362" s="72"/>
      <c r="P362" s="72"/>
      <c r="Q362" s="72"/>
      <c r="R362" s="72"/>
    </row>
    <row r="363" spans="1:18" s="241" customFormat="1">
      <c r="A363" s="219"/>
      <c r="B363" s="96"/>
      <c r="C363" s="96"/>
      <c r="D363" s="133"/>
      <c r="E363" s="323" t="s">
        <v>370</v>
      </c>
      <c r="F363" s="260"/>
      <c r="G363" s="225"/>
      <c r="H363" s="324"/>
      <c r="I363" s="72"/>
      <c r="J363" s="73"/>
      <c r="K363" s="72"/>
      <c r="L363" s="163"/>
      <c r="M363" s="72"/>
      <c r="N363" s="72"/>
      <c r="O363" s="72"/>
      <c r="P363" s="72"/>
      <c r="Q363" s="72"/>
      <c r="R363" s="72"/>
    </row>
    <row r="364" spans="1:18" s="241" customFormat="1" ht="26">
      <c r="A364" s="219"/>
      <c r="B364" s="96"/>
      <c r="C364" s="96"/>
      <c r="D364" s="133"/>
      <c r="E364" s="323" t="s">
        <v>371</v>
      </c>
      <c r="F364" s="221"/>
      <c r="G364" s="222"/>
      <c r="H364" s="324"/>
      <c r="I364" s="72"/>
      <c r="J364" s="73"/>
      <c r="K364" s="72"/>
      <c r="L364" s="163"/>
      <c r="M364" s="72"/>
      <c r="N364" s="72"/>
      <c r="O364" s="72"/>
      <c r="P364" s="72"/>
      <c r="Q364" s="72"/>
      <c r="R364" s="72"/>
    </row>
    <row r="365" spans="1:18" s="116" customFormat="1">
      <c r="A365" s="322"/>
      <c r="B365" s="108"/>
      <c r="C365" s="110"/>
      <c r="D365" s="151"/>
      <c r="E365" s="127"/>
      <c r="F365" s="128"/>
      <c r="G365" s="121"/>
      <c r="H365" s="97"/>
      <c r="J365" s="73"/>
      <c r="L365" s="163"/>
    </row>
    <row r="366" spans="1:18" s="129" customFormat="1" ht="26">
      <c r="A366" s="322"/>
      <c r="B366" s="108"/>
      <c r="C366" s="110"/>
      <c r="D366" s="151"/>
      <c r="E366" s="127" t="s">
        <v>372</v>
      </c>
      <c r="F366" s="185">
        <f>77</f>
        <v>77</v>
      </c>
      <c r="G366" s="121"/>
      <c r="H366" s="97"/>
      <c r="J366" s="73"/>
      <c r="L366" s="163"/>
    </row>
    <row r="367" spans="1:18" s="241" customFormat="1">
      <c r="A367" s="322"/>
      <c r="B367" s="108"/>
      <c r="C367" s="110"/>
      <c r="D367" s="151"/>
      <c r="E367" s="127" t="s">
        <v>367</v>
      </c>
      <c r="F367" s="135"/>
      <c r="G367" s="121"/>
      <c r="H367" s="97"/>
      <c r="I367" s="72"/>
      <c r="J367" s="73"/>
      <c r="K367" s="72"/>
      <c r="L367" s="163"/>
      <c r="M367" s="72"/>
      <c r="N367" s="72"/>
      <c r="O367" s="72"/>
      <c r="P367" s="72"/>
      <c r="Q367" s="72"/>
      <c r="R367" s="72"/>
    </row>
    <row r="368" spans="1:18" s="241" customFormat="1">
      <c r="A368" s="322"/>
      <c r="B368" s="108"/>
      <c r="C368" s="110"/>
      <c r="D368" s="151"/>
      <c r="E368" s="127" t="s">
        <v>368</v>
      </c>
      <c r="F368" s="128"/>
      <c r="G368" s="121"/>
      <c r="H368" s="97"/>
      <c r="I368" s="72"/>
      <c r="J368" s="73"/>
      <c r="K368" s="72"/>
      <c r="L368" s="163"/>
      <c r="M368" s="72"/>
      <c r="N368" s="72"/>
      <c r="O368" s="72"/>
      <c r="P368" s="72"/>
      <c r="Q368" s="72"/>
      <c r="R368" s="72"/>
    </row>
    <row r="369" spans="1:18" s="241" customFormat="1">
      <c r="A369" s="219"/>
      <c r="B369" s="96"/>
      <c r="C369" s="96"/>
      <c r="D369" s="133"/>
      <c r="E369" s="323" t="s">
        <v>369</v>
      </c>
      <c r="F369" s="221"/>
      <c r="G369" s="222"/>
      <c r="H369" s="324"/>
      <c r="I369" s="72"/>
      <c r="J369" s="73"/>
      <c r="K369" s="72"/>
      <c r="L369" s="163"/>
      <c r="M369" s="72"/>
      <c r="N369" s="72"/>
      <c r="O369" s="72"/>
      <c r="P369" s="72"/>
      <c r="Q369" s="72"/>
      <c r="R369" s="72"/>
    </row>
    <row r="370" spans="1:18" s="241" customFormat="1">
      <c r="A370" s="219"/>
      <c r="B370" s="96"/>
      <c r="C370" s="96"/>
      <c r="D370" s="133"/>
      <c r="E370" s="323" t="s">
        <v>373</v>
      </c>
      <c r="F370" s="260"/>
      <c r="G370" s="225"/>
      <c r="H370" s="324"/>
      <c r="I370" s="72"/>
      <c r="J370" s="73"/>
      <c r="K370" s="72"/>
      <c r="L370" s="163"/>
      <c r="M370" s="72"/>
      <c r="N370" s="72"/>
      <c r="O370" s="72"/>
      <c r="P370" s="72"/>
      <c r="Q370" s="72"/>
      <c r="R370" s="72"/>
    </row>
    <row r="371" spans="1:18" s="241" customFormat="1" ht="26">
      <c r="A371" s="219"/>
      <c r="B371" s="96"/>
      <c r="C371" s="96"/>
      <c r="D371" s="133"/>
      <c r="E371" s="323" t="s">
        <v>371</v>
      </c>
      <c r="F371" s="260"/>
      <c r="G371" s="222"/>
      <c r="H371" s="324"/>
      <c r="I371" s="72"/>
      <c r="J371" s="73"/>
      <c r="K371" s="72"/>
      <c r="L371" s="163"/>
      <c r="M371" s="72"/>
      <c r="N371" s="72"/>
      <c r="O371" s="72"/>
      <c r="P371" s="72"/>
      <c r="Q371" s="72"/>
      <c r="R371" s="72"/>
    </row>
    <row r="372" spans="1:18" s="241" customFormat="1">
      <c r="A372" s="219"/>
      <c r="B372" s="96"/>
      <c r="C372" s="96"/>
      <c r="D372" s="133"/>
      <c r="E372" s="220"/>
      <c r="F372" s="284">
        <f>SUM(F359:F371)</f>
        <v>171</v>
      </c>
      <c r="G372" s="222"/>
      <c r="H372" s="324"/>
      <c r="I372" s="72"/>
      <c r="J372" s="73"/>
      <c r="K372" s="72"/>
      <c r="L372" s="163"/>
      <c r="M372" s="72"/>
      <c r="N372" s="72"/>
      <c r="O372" s="72"/>
      <c r="P372" s="72"/>
      <c r="Q372" s="72"/>
      <c r="R372" s="72"/>
    </row>
    <row r="373" spans="1:18" s="241" customFormat="1">
      <c r="A373" s="219"/>
      <c r="B373" s="96"/>
      <c r="C373" s="96"/>
      <c r="D373" s="133"/>
      <c r="E373" s="220"/>
      <c r="F373" s="284"/>
      <c r="G373" s="222"/>
      <c r="H373" s="324"/>
      <c r="I373" s="72"/>
      <c r="J373" s="73"/>
      <c r="K373" s="72"/>
      <c r="L373" s="163"/>
      <c r="M373" s="72"/>
      <c r="N373" s="72"/>
      <c r="O373" s="72"/>
      <c r="P373" s="72"/>
      <c r="Q373" s="72"/>
      <c r="R373" s="72"/>
    </row>
    <row r="374" spans="1:18" s="241" customFormat="1">
      <c r="A374" s="101">
        <f>MAX(A$1:A372)+1</f>
        <v>50</v>
      </c>
      <c r="B374" s="108"/>
      <c r="C374" s="109" t="s">
        <v>374</v>
      </c>
      <c r="D374" s="110"/>
      <c r="E374" s="103" t="s">
        <v>375</v>
      </c>
      <c r="F374" s="111"/>
      <c r="G374" s="112" t="s">
        <v>16</v>
      </c>
      <c r="H374" s="104">
        <v>126.13</v>
      </c>
      <c r="I374" s="210"/>
      <c r="J374" s="73"/>
      <c r="K374" s="72"/>
      <c r="L374" s="163"/>
      <c r="M374" s="72"/>
      <c r="N374" s="72"/>
      <c r="O374" s="72"/>
      <c r="P374" s="72"/>
      <c r="Q374" s="72"/>
      <c r="R374" s="72"/>
    </row>
    <row r="375" spans="1:18" s="241" customFormat="1" ht="52">
      <c r="A375" s="164"/>
      <c r="B375" s="191"/>
      <c r="C375" s="120"/>
      <c r="D375" s="151"/>
      <c r="E375" s="127" t="s">
        <v>376</v>
      </c>
      <c r="F375" s="215"/>
      <c r="G375" s="121"/>
      <c r="H375" s="104"/>
      <c r="I375" s="72"/>
      <c r="J375" s="73"/>
      <c r="K375" s="72"/>
      <c r="L375" s="163"/>
      <c r="M375" s="72"/>
      <c r="N375" s="72"/>
      <c r="O375" s="72"/>
      <c r="P375" s="72"/>
      <c r="Q375" s="72"/>
      <c r="R375" s="72"/>
    </row>
    <row r="376" spans="1:18" s="241" customFormat="1">
      <c r="A376" s="164"/>
      <c r="B376" s="191"/>
      <c r="C376" s="120"/>
      <c r="D376" s="151"/>
      <c r="E376" s="127" t="s">
        <v>377</v>
      </c>
      <c r="F376" s="215"/>
      <c r="G376" s="121"/>
      <c r="H376" s="104"/>
      <c r="I376" s="72"/>
      <c r="J376" s="73"/>
      <c r="K376" s="72"/>
      <c r="L376" s="163"/>
      <c r="M376" s="72"/>
      <c r="N376" s="72"/>
      <c r="O376" s="72"/>
      <c r="P376" s="72"/>
      <c r="Q376" s="72"/>
      <c r="R376" s="72"/>
    </row>
    <row r="377" spans="1:18" s="241" customFormat="1" ht="39">
      <c r="A377" s="164"/>
      <c r="B377" s="191"/>
      <c r="C377" s="120"/>
      <c r="D377" s="151"/>
      <c r="E377" s="127" t="s">
        <v>378</v>
      </c>
      <c r="F377" s="215"/>
      <c r="G377" s="121"/>
      <c r="H377" s="104"/>
      <c r="I377" s="72"/>
      <c r="J377" s="73"/>
      <c r="K377" s="72"/>
      <c r="L377" s="163"/>
      <c r="M377" s="72"/>
      <c r="N377" s="72"/>
      <c r="O377" s="72"/>
      <c r="P377" s="72"/>
      <c r="Q377" s="72"/>
      <c r="R377" s="72"/>
    </row>
    <row r="378" spans="1:18" s="241" customFormat="1">
      <c r="A378" s="164"/>
      <c r="B378" s="191"/>
      <c r="C378" s="120"/>
      <c r="D378" s="151"/>
      <c r="E378" s="325" t="s">
        <v>379</v>
      </c>
      <c r="F378" s="216">
        <f>69.73-11.45</f>
        <v>58.28</v>
      </c>
      <c r="G378" s="121"/>
      <c r="H378" s="104"/>
      <c r="I378" s="72"/>
      <c r="J378" s="73"/>
      <c r="K378" s="72"/>
      <c r="L378" s="163"/>
      <c r="M378" s="72"/>
      <c r="N378" s="72"/>
      <c r="O378" s="72"/>
      <c r="P378" s="72"/>
      <c r="Q378" s="72"/>
      <c r="R378" s="72"/>
    </row>
    <row r="379" spans="1:18" s="241" customFormat="1">
      <c r="A379" s="164"/>
      <c r="B379" s="191"/>
      <c r="C379" s="120"/>
      <c r="D379" s="151"/>
      <c r="E379" s="325"/>
      <c r="F379" s="215"/>
      <c r="G379" s="121"/>
      <c r="H379" s="104"/>
      <c r="I379" s="72"/>
      <c r="J379" s="73"/>
      <c r="K379" s="72"/>
      <c r="L379" s="163"/>
      <c r="M379" s="72"/>
      <c r="N379" s="72"/>
      <c r="O379" s="72"/>
      <c r="P379" s="72"/>
      <c r="Q379" s="72"/>
      <c r="R379" s="72"/>
    </row>
    <row r="380" spans="1:18" s="241" customFormat="1" ht="39">
      <c r="A380" s="164"/>
      <c r="B380" s="191"/>
      <c r="C380" s="120"/>
      <c r="D380" s="151"/>
      <c r="E380" s="127" t="s">
        <v>380</v>
      </c>
      <c r="F380" s="128"/>
      <c r="G380" s="121"/>
      <c r="H380" s="173"/>
      <c r="I380" s="72"/>
      <c r="J380" s="73"/>
      <c r="K380" s="72"/>
      <c r="L380" s="163"/>
      <c r="M380" s="72"/>
      <c r="N380" s="72"/>
      <c r="O380" s="72"/>
      <c r="P380" s="72"/>
      <c r="Q380" s="72"/>
      <c r="R380" s="72"/>
    </row>
    <row r="381" spans="1:18" s="241" customFormat="1">
      <c r="A381" s="164"/>
      <c r="B381" s="191"/>
      <c r="C381" s="120"/>
      <c r="D381" s="151"/>
      <c r="E381" s="127" t="s">
        <v>377</v>
      </c>
      <c r="F381" s="72"/>
      <c r="G381" s="121"/>
      <c r="H381" s="104"/>
      <c r="I381" s="72"/>
      <c r="J381" s="73"/>
      <c r="K381" s="72"/>
      <c r="L381" s="163"/>
      <c r="M381" s="72"/>
      <c r="N381" s="72"/>
      <c r="O381" s="72"/>
      <c r="P381" s="72"/>
      <c r="Q381" s="72"/>
      <c r="R381" s="72"/>
    </row>
    <row r="382" spans="1:18" s="241" customFormat="1" ht="65">
      <c r="A382" s="164"/>
      <c r="B382" s="191"/>
      <c r="C382" s="120"/>
      <c r="D382" s="151"/>
      <c r="E382" s="127" t="s">
        <v>381</v>
      </c>
      <c r="F382" s="135"/>
      <c r="G382" s="121"/>
      <c r="H382" s="104"/>
      <c r="I382" s="72"/>
      <c r="J382" s="73"/>
      <c r="K382" s="72"/>
      <c r="L382" s="163"/>
      <c r="M382" s="72"/>
      <c r="N382" s="72"/>
      <c r="O382" s="72"/>
      <c r="P382" s="72"/>
      <c r="Q382" s="72"/>
      <c r="R382" s="72"/>
    </row>
    <row r="383" spans="1:18" s="241" customFormat="1">
      <c r="A383" s="164"/>
      <c r="B383" s="191"/>
      <c r="C383" s="120"/>
      <c r="D383" s="151"/>
      <c r="E383" s="325" t="s">
        <v>379</v>
      </c>
      <c r="F383" s="326"/>
      <c r="G383" s="121"/>
      <c r="H383" s="104"/>
      <c r="I383" s="72"/>
      <c r="J383" s="73"/>
      <c r="K383" s="72"/>
      <c r="L383" s="163"/>
      <c r="M383" s="72"/>
      <c r="N383" s="72"/>
      <c r="O383" s="72"/>
      <c r="P383" s="72"/>
      <c r="Q383" s="72"/>
      <c r="R383" s="72"/>
    </row>
    <row r="384" spans="1:18" s="241" customFormat="1">
      <c r="A384" s="164"/>
      <c r="B384" s="191"/>
      <c r="C384" s="120"/>
      <c r="D384" s="151"/>
      <c r="E384" s="325" t="s">
        <v>382</v>
      </c>
      <c r="F384" s="327">
        <f>34.07+33.78</f>
        <v>67.849999999999994</v>
      </c>
      <c r="G384" s="121"/>
      <c r="H384" s="104"/>
      <c r="I384" s="72"/>
      <c r="J384" s="73"/>
      <c r="K384" s="72"/>
      <c r="L384" s="163"/>
      <c r="M384" s="72"/>
      <c r="N384" s="72"/>
      <c r="O384" s="72"/>
      <c r="P384" s="72"/>
      <c r="Q384" s="72"/>
      <c r="R384" s="72"/>
    </row>
    <row r="385" spans="1:18" s="241" customFormat="1">
      <c r="A385" s="164"/>
      <c r="B385" s="191"/>
      <c r="C385" s="120"/>
      <c r="D385" s="151"/>
      <c r="E385" s="325"/>
      <c r="F385" s="328">
        <f>SUM(F378:F384)</f>
        <v>126.13</v>
      </c>
      <c r="G385" s="121"/>
      <c r="H385" s="104"/>
      <c r="I385" s="72"/>
      <c r="J385" s="73"/>
      <c r="K385" s="72"/>
      <c r="L385" s="163"/>
      <c r="M385" s="72"/>
      <c r="N385" s="72"/>
      <c r="O385" s="72"/>
      <c r="P385" s="72"/>
      <c r="Q385" s="72"/>
      <c r="R385" s="72"/>
    </row>
    <row r="386" spans="1:18" s="241" customFormat="1">
      <c r="A386" s="219"/>
      <c r="B386" s="96"/>
      <c r="C386" s="96"/>
      <c r="D386" s="133"/>
      <c r="E386" s="220"/>
      <c r="F386" s="284"/>
      <c r="G386" s="222"/>
      <c r="H386" s="324"/>
      <c r="I386" s="72"/>
      <c r="J386" s="73"/>
      <c r="K386" s="72"/>
      <c r="L386" s="163"/>
      <c r="M386" s="72"/>
      <c r="N386" s="72"/>
      <c r="O386" s="72"/>
      <c r="P386" s="72"/>
      <c r="Q386" s="72"/>
      <c r="R386" s="72"/>
    </row>
    <row r="387" spans="1:18" s="241" customFormat="1">
      <c r="A387" s="219"/>
      <c r="B387" s="96"/>
      <c r="C387" s="96"/>
      <c r="D387" s="133"/>
      <c r="E387" s="220"/>
      <c r="F387" s="284"/>
      <c r="G387" s="222"/>
      <c r="H387" s="324"/>
      <c r="I387" s="72"/>
      <c r="J387" s="73"/>
      <c r="K387" s="72"/>
      <c r="L387" s="163"/>
      <c r="M387" s="72"/>
      <c r="N387" s="72"/>
      <c r="O387" s="72"/>
      <c r="P387" s="72"/>
      <c r="Q387" s="72"/>
      <c r="R387" s="72"/>
    </row>
    <row r="388" spans="1:18">
      <c r="A388" s="101">
        <f>MAX(A$1:A387)+1</f>
        <v>51</v>
      </c>
      <c r="B388" s="108"/>
      <c r="C388" s="109" t="s">
        <v>383</v>
      </c>
      <c r="D388" s="110"/>
      <c r="E388" s="103" t="s">
        <v>384</v>
      </c>
      <c r="F388" s="203"/>
      <c r="G388" s="112" t="s">
        <v>12</v>
      </c>
      <c r="H388" s="113">
        <v>17</v>
      </c>
      <c r="I388" s="210"/>
      <c r="L388" s="163"/>
    </row>
    <row r="389" spans="1:18">
      <c r="A389" s="176"/>
      <c r="B389" s="108"/>
      <c r="C389" s="109"/>
      <c r="D389" s="110"/>
      <c r="E389" s="323" t="s">
        <v>385</v>
      </c>
      <c r="F389" s="165">
        <v>11</v>
      </c>
      <c r="G389" s="112"/>
      <c r="H389" s="122"/>
      <c r="I389" s="210"/>
      <c r="L389" s="163"/>
    </row>
    <row r="390" spans="1:18">
      <c r="A390" s="176"/>
      <c r="B390" s="108"/>
      <c r="C390" s="109"/>
      <c r="D390" s="110"/>
      <c r="E390" s="220" t="s">
        <v>681</v>
      </c>
      <c r="F390" s="329">
        <v>6</v>
      </c>
      <c r="G390" s="112"/>
      <c r="H390" s="122"/>
      <c r="I390" s="210"/>
      <c r="L390" s="163"/>
    </row>
    <row r="391" spans="1:18">
      <c r="A391" s="176"/>
      <c r="B391" s="108"/>
      <c r="C391" s="109"/>
      <c r="D391" s="110"/>
      <c r="E391" s="220"/>
      <c r="F391" s="165">
        <f>SUM(F389:F390)</f>
        <v>17</v>
      </c>
      <c r="G391" s="112"/>
      <c r="H391" s="122"/>
      <c r="I391" s="210"/>
      <c r="L391" s="163"/>
    </row>
    <row r="392" spans="1:18">
      <c r="A392" s="176"/>
      <c r="B392" s="108"/>
      <c r="C392" s="109"/>
      <c r="D392" s="110"/>
      <c r="E392" s="103"/>
      <c r="F392" s="203"/>
      <c r="G392" s="112"/>
      <c r="H392" s="122"/>
      <c r="I392" s="210"/>
      <c r="L392" s="163"/>
    </row>
    <row r="393" spans="1:18" ht="26">
      <c r="A393" s="101">
        <f>MAX(A$1:A392)+1</f>
        <v>52</v>
      </c>
      <c r="B393" s="108"/>
      <c r="C393" s="109" t="s">
        <v>386</v>
      </c>
      <c r="D393" s="110"/>
      <c r="E393" s="103" t="s">
        <v>387</v>
      </c>
      <c r="F393" s="203"/>
      <c r="G393" s="112" t="s">
        <v>16</v>
      </c>
      <c r="H393" s="113">
        <v>63.3</v>
      </c>
      <c r="I393" s="210"/>
      <c r="L393" s="163"/>
    </row>
    <row r="394" spans="1:18" ht="39">
      <c r="A394" s="176"/>
      <c r="B394" s="108"/>
      <c r="C394" s="109"/>
      <c r="D394" s="110"/>
      <c r="E394" s="323" t="s">
        <v>388</v>
      </c>
      <c r="F394" s="165">
        <f>21.7+27.6</f>
        <v>49.3</v>
      </c>
      <c r="G394" s="112"/>
      <c r="H394" s="122"/>
      <c r="I394" s="210"/>
      <c r="L394" s="163"/>
    </row>
    <row r="395" spans="1:18">
      <c r="A395" s="219"/>
      <c r="B395" s="96"/>
      <c r="C395" s="96"/>
      <c r="D395" s="133"/>
      <c r="E395" s="220" t="s">
        <v>389</v>
      </c>
      <c r="F395" s="330"/>
      <c r="G395" s="222"/>
      <c r="H395" s="331"/>
      <c r="I395" s="210"/>
      <c r="L395" s="163"/>
    </row>
    <row r="396" spans="1:18">
      <c r="A396" s="322"/>
      <c r="B396" s="108"/>
      <c r="C396" s="110"/>
      <c r="D396" s="151"/>
      <c r="E396" s="127" t="s">
        <v>390</v>
      </c>
      <c r="F396" s="165"/>
      <c r="G396" s="121"/>
      <c r="H396" s="122"/>
      <c r="I396" s="210"/>
      <c r="L396" s="163"/>
    </row>
    <row r="397" spans="1:18">
      <c r="A397" s="322"/>
      <c r="B397" s="119"/>
      <c r="C397" s="110"/>
      <c r="D397" s="151"/>
      <c r="E397" s="127" t="s">
        <v>391</v>
      </c>
      <c r="F397" s="165"/>
      <c r="G397" s="121"/>
      <c r="H397" s="122"/>
      <c r="I397" s="210"/>
      <c r="L397" s="163"/>
    </row>
    <row r="398" spans="1:18" ht="38.25" customHeight="1">
      <c r="A398" s="322"/>
      <c r="B398" s="119"/>
      <c r="C398" s="110"/>
      <c r="D398" s="151"/>
      <c r="E398" s="323" t="s">
        <v>712</v>
      </c>
      <c r="F398" s="185">
        <f>2*(5+2*1)</f>
        <v>14</v>
      </c>
      <c r="G398" s="121"/>
      <c r="H398" s="122"/>
      <c r="I398" s="210"/>
      <c r="L398" s="163"/>
    </row>
    <row r="399" spans="1:18">
      <c r="A399" s="322"/>
      <c r="B399" s="119"/>
      <c r="C399" s="110"/>
      <c r="D399" s="151"/>
      <c r="E399" s="127"/>
      <c r="F399" s="165">
        <f>SUM(F394:F398)</f>
        <v>63.3</v>
      </c>
      <c r="G399" s="121"/>
      <c r="H399" s="122"/>
      <c r="I399" s="210"/>
      <c r="L399" s="163"/>
    </row>
    <row r="400" spans="1:18">
      <c r="A400" s="322"/>
      <c r="B400" s="119"/>
      <c r="C400" s="110"/>
      <c r="D400" s="151"/>
      <c r="E400" s="127"/>
      <c r="F400" s="165"/>
      <c r="G400" s="121"/>
      <c r="H400" s="122"/>
      <c r="I400" s="210"/>
      <c r="L400" s="163"/>
    </row>
    <row r="401" spans="1:256" ht="26">
      <c r="A401" s="101">
        <f>MAX(A$1:A400)+1</f>
        <v>53</v>
      </c>
      <c r="B401" s="332"/>
      <c r="C401" s="109" t="s">
        <v>36</v>
      </c>
      <c r="D401" s="110"/>
      <c r="E401" s="103" t="s">
        <v>392</v>
      </c>
      <c r="F401" s="103"/>
      <c r="G401" s="112" t="s">
        <v>16</v>
      </c>
      <c r="H401" s="113">
        <v>32.200000000000003</v>
      </c>
      <c r="I401" s="210"/>
      <c r="L401" s="163"/>
    </row>
    <row r="402" spans="1:256" ht="25">
      <c r="A402" s="178"/>
      <c r="B402" s="333"/>
      <c r="C402" s="120"/>
      <c r="D402" s="151" t="s">
        <v>393</v>
      </c>
      <c r="E402" s="100" t="s">
        <v>394</v>
      </c>
      <c r="F402" s="100"/>
      <c r="G402" s="121" t="s">
        <v>16</v>
      </c>
      <c r="H402" s="122">
        <v>32.200000000000003</v>
      </c>
      <c r="I402" s="210"/>
      <c r="L402" s="163"/>
    </row>
    <row r="403" spans="1:256" ht="78">
      <c r="A403" s="101"/>
      <c r="B403" s="108"/>
      <c r="C403" s="109"/>
      <c r="D403" s="110"/>
      <c r="E403" s="323" t="s">
        <v>395</v>
      </c>
      <c r="F403" s="165">
        <f>2*16.1</f>
        <v>32.200000000000003</v>
      </c>
      <c r="G403" s="112"/>
      <c r="H403" s="334"/>
      <c r="I403" s="210"/>
      <c r="L403" s="163"/>
    </row>
    <row r="404" spans="1:256">
      <c r="A404" s="322"/>
      <c r="B404" s="119"/>
      <c r="C404" s="110"/>
      <c r="D404" s="151"/>
      <c r="E404" s="127"/>
      <c r="F404" s="165"/>
      <c r="G404" s="121"/>
      <c r="H404" s="122"/>
      <c r="I404" s="210"/>
      <c r="L404" s="163"/>
    </row>
    <row r="405" spans="1:256">
      <c r="A405" s="322"/>
      <c r="B405" s="119"/>
      <c r="C405" s="110"/>
      <c r="D405" s="151"/>
      <c r="E405" s="127"/>
      <c r="F405" s="165"/>
      <c r="G405" s="121"/>
      <c r="H405" s="122"/>
      <c r="I405" s="210"/>
      <c r="L405" s="163"/>
    </row>
    <row r="406" spans="1:256" s="98" customFormat="1" ht="26">
      <c r="A406" s="101">
        <f>MAX(A$1:A405)+1</f>
        <v>54</v>
      </c>
      <c r="B406" s="108"/>
      <c r="C406" s="109" t="s">
        <v>66</v>
      </c>
      <c r="D406" s="110"/>
      <c r="E406" s="103" t="s">
        <v>67</v>
      </c>
      <c r="F406" s="111"/>
      <c r="G406" s="112" t="s">
        <v>14</v>
      </c>
      <c r="H406" s="113">
        <v>42.45</v>
      </c>
      <c r="I406" s="204"/>
      <c r="J406" s="130"/>
      <c r="K406" s="72"/>
      <c r="L406" s="163"/>
      <c r="M406" s="72"/>
      <c r="N406" s="72"/>
      <c r="O406" s="72"/>
      <c r="P406" s="72"/>
      <c r="Q406" s="72"/>
      <c r="R406" s="72"/>
      <c r="S406" s="72"/>
      <c r="T406" s="72"/>
      <c r="U406" s="72"/>
      <c r="V406" s="72"/>
      <c r="W406" s="72"/>
      <c r="X406" s="72"/>
      <c r="Y406" s="72"/>
      <c r="Z406" s="72"/>
      <c r="AA406" s="72"/>
      <c r="AB406" s="72"/>
      <c r="AC406" s="72"/>
      <c r="AD406" s="72"/>
      <c r="AE406" s="72"/>
      <c r="AF406" s="72"/>
      <c r="AG406" s="72"/>
      <c r="AH406" s="72"/>
      <c r="AI406" s="72"/>
      <c r="AJ406" s="72"/>
      <c r="AK406" s="72"/>
      <c r="AL406" s="72"/>
      <c r="AM406" s="72"/>
      <c r="AN406" s="72"/>
      <c r="AO406" s="72"/>
      <c r="AP406" s="72"/>
      <c r="AQ406" s="72"/>
      <c r="AR406" s="72"/>
      <c r="AS406" s="72"/>
      <c r="AT406" s="72"/>
      <c r="AU406" s="72"/>
      <c r="AV406" s="72"/>
      <c r="AW406" s="72"/>
      <c r="AX406" s="72"/>
      <c r="AY406" s="72"/>
      <c r="AZ406" s="72"/>
      <c r="BA406" s="72"/>
      <c r="BB406" s="72"/>
      <c r="BC406" s="72"/>
      <c r="BD406" s="72"/>
      <c r="BE406" s="72"/>
      <c r="BF406" s="72"/>
      <c r="BG406" s="72"/>
      <c r="BH406" s="72"/>
      <c r="BI406" s="72"/>
      <c r="BJ406" s="72"/>
      <c r="BK406" s="72"/>
      <c r="BL406" s="72"/>
      <c r="BM406" s="72"/>
      <c r="BN406" s="72"/>
      <c r="BO406" s="72"/>
      <c r="BP406" s="72"/>
      <c r="BQ406" s="72"/>
      <c r="BR406" s="72"/>
      <c r="BS406" s="72"/>
      <c r="BT406" s="72"/>
      <c r="BU406" s="72"/>
      <c r="BV406" s="72"/>
      <c r="BW406" s="72"/>
      <c r="BX406" s="72"/>
      <c r="BY406" s="72"/>
      <c r="BZ406" s="72"/>
      <c r="CA406" s="72"/>
      <c r="CB406" s="72"/>
      <c r="CC406" s="72"/>
      <c r="CD406" s="72"/>
      <c r="CE406" s="72"/>
      <c r="CF406" s="72"/>
      <c r="CG406" s="72"/>
      <c r="CH406" s="72"/>
      <c r="CI406" s="72"/>
      <c r="CJ406" s="72"/>
      <c r="CK406" s="72"/>
      <c r="CL406" s="72"/>
      <c r="CM406" s="72"/>
      <c r="CN406" s="72"/>
      <c r="CO406" s="72"/>
      <c r="CP406" s="72"/>
      <c r="CQ406" s="72"/>
      <c r="CR406" s="72"/>
      <c r="CS406" s="72"/>
      <c r="CT406" s="72"/>
      <c r="CU406" s="72"/>
      <c r="CV406" s="72"/>
      <c r="CW406" s="72"/>
      <c r="CX406" s="72"/>
      <c r="CY406" s="72"/>
      <c r="CZ406" s="72"/>
      <c r="DA406" s="72"/>
      <c r="DB406" s="72"/>
      <c r="DC406" s="72"/>
      <c r="DD406" s="72"/>
      <c r="DE406" s="72"/>
      <c r="DF406" s="72"/>
      <c r="DG406" s="72"/>
      <c r="DH406" s="72"/>
      <c r="DI406" s="72"/>
      <c r="DJ406" s="72"/>
      <c r="DK406" s="72"/>
      <c r="DL406" s="72"/>
      <c r="DM406" s="72"/>
      <c r="DN406" s="72"/>
      <c r="DO406" s="72"/>
      <c r="DP406" s="72"/>
      <c r="DQ406" s="72"/>
      <c r="DR406" s="72"/>
      <c r="DS406" s="72"/>
      <c r="DT406" s="72"/>
      <c r="DU406" s="72"/>
      <c r="DV406" s="72"/>
      <c r="DW406" s="72"/>
      <c r="DX406" s="72"/>
      <c r="DY406" s="72"/>
      <c r="DZ406" s="72"/>
      <c r="EA406" s="72"/>
      <c r="EB406" s="72"/>
      <c r="EC406" s="72"/>
      <c r="ED406" s="72"/>
      <c r="EE406" s="72"/>
      <c r="EF406" s="72"/>
      <c r="EG406" s="72"/>
      <c r="EH406" s="72"/>
      <c r="EI406" s="72"/>
      <c r="EJ406" s="72"/>
      <c r="EK406" s="72"/>
      <c r="EL406" s="72"/>
      <c r="EM406" s="72"/>
      <c r="EN406" s="72"/>
      <c r="EO406" s="72"/>
      <c r="EP406" s="72"/>
      <c r="EQ406" s="72"/>
      <c r="ER406" s="72"/>
      <c r="ES406" s="72"/>
      <c r="ET406" s="72"/>
      <c r="EU406" s="72"/>
      <c r="EV406" s="72"/>
      <c r="EW406" s="72"/>
      <c r="EX406" s="72"/>
      <c r="EY406" s="72"/>
      <c r="EZ406" s="72"/>
      <c r="FA406" s="72"/>
      <c r="FB406" s="72"/>
      <c r="FC406" s="72"/>
      <c r="FD406" s="72"/>
      <c r="FE406" s="72"/>
      <c r="FF406" s="72"/>
      <c r="FG406" s="72"/>
      <c r="FH406" s="72"/>
      <c r="FI406" s="72"/>
      <c r="FJ406" s="72"/>
      <c r="FK406" s="72"/>
      <c r="FL406" s="72"/>
      <c r="FM406" s="72"/>
      <c r="FN406" s="72"/>
      <c r="FO406" s="72"/>
      <c r="FP406" s="72"/>
      <c r="FQ406" s="72"/>
      <c r="FR406" s="72"/>
      <c r="FS406" s="72"/>
      <c r="FT406" s="72"/>
      <c r="FU406" s="72"/>
      <c r="FV406" s="72"/>
      <c r="FW406" s="72"/>
      <c r="FX406" s="72"/>
      <c r="FY406" s="72"/>
      <c r="FZ406" s="72"/>
      <c r="GA406" s="72"/>
      <c r="GB406" s="72"/>
      <c r="GC406" s="72"/>
      <c r="GD406" s="72"/>
      <c r="GE406" s="72"/>
      <c r="GF406" s="72"/>
      <c r="GG406" s="72"/>
      <c r="GH406" s="72"/>
      <c r="GI406" s="72"/>
      <c r="GJ406" s="72"/>
      <c r="GK406" s="72"/>
      <c r="GL406" s="72"/>
      <c r="GM406" s="72"/>
      <c r="GN406" s="72"/>
      <c r="GO406" s="72"/>
      <c r="GP406" s="72"/>
      <c r="GQ406" s="72"/>
      <c r="GR406" s="72"/>
      <c r="GS406" s="72"/>
      <c r="GT406" s="72"/>
      <c r="GU406" s="72"/>
      <c r="GV406" s="72"/>
      <c r="GW406" s="72"/>
      <c r="GX406" s="72"/>
      <c r="GY406" s="72"/>
      <c r="GZ406" s="72"/>
      <c r="HA406" s="72"/>
      <c r="HB406" s="72"/>
      <c r="HC406" s="72"/>
      <c r="HD406" s="72"/>
      <c r="HE406" s="72"/>
      <c r="HF406" s="72"/>
      <c r="HG406" s="72"/>
      <c r="HH406" s="72"/>
      <c r="HI406" s="72"/>
      <c r="HJ406" s="72"/>
      <c r="HK406" s="72"/>
      <c r="HL406" s="72"/>
      <c r="HM406" s="72"/>
      <c r="HN406" s="72"/>
      <c r="HO406" s="72"/>
      <c r="HP406" s="72"/>
      <c r="HQ406" s="72"/>
      <c r="HR406" s="72"/>
      <c r="HS406" s="72"/>
      <c r="HT406" s="72"/>
      <c r="HU406" s="72"/>
      <c r="HV406" s="72"/>
      <c r="HW406" s="72"/>
      <c r="HX406" s="72"/>
      <c r="HY406" s="72"/>
      <c r="HZ406" s="72"/>
      <c r="IA406" s="72"/>
      <c r="IB406" s="72"/>
      <c r="IC406" s="72"/>
      <c r="ID406" s="72"/>
      <c r="IE406" s="72"/>
      <c r="IF406" s="72"/>
      <c r="IG406" s="72"/>
      <c r="IH406" s="72"/>
      <c r="II406" s="72"/>
      <c r="IJ406" s="72"/>
      <c r="IK406" s="72"/>
      <c r="IL406" s="72"/>
      <c r="IM406" s="72"/>
      <c r="IN406" s="72"/>
      <c r="IO406" s="72"/>
      <c r="IP406" s="72"/>
      <c r="IQ406" s="72"/>
      <c r="IR406" s="72"/>
      <c r="IS406" s="72"/>
      <c r="IT406" s="72"/>
      <c r="IU406" s="72"/>
      <c r="IV406" s="72"/>
    </row>
    <row r="407" spans="1:256" s="98" customFormat="1" ht="25">
      <c r="A407" s="164"/>
      <c r="B407" s="191"/>
      <c r="C407" s="120"/>
      <c r="D407" s="151" t="s">
        <v>83</v>
      </c>
      <c r="E407" s="100" t="s">
        <v>396</v>
      </c>
      <c r="F407" s="215"/>
      <c r="G407" s="121" t="s">
        <v>14</v>
      </c>
      <c r="H407" s="122">
        <v>42.45</v>
      </c>
      <c r="J407" s="130"/>
      <c r="L407" s="163"/>
    </row>
    <row r="408" spans="1:256" s="98" customFormat="1" ht="26">
      <c r="A408" s="164"/>
      <c r="B408" s="191"/>
      <c r="C408" s="120"/>
      <c r="D408" s="151"/>
      <c r="E408" s="335" t="s">
        <v>397</v>
      </c>
      <c r="F408" s="215"/>
      <c r="G408" s="121"/>
      <c r="H408" s="122"/>
      <c r="J408" s="130"/>
      <c r="L408" s="163"/>
    </row>
    <row r="409" spans="1:256" s="98" customFormat="1">
      <c r="A409" s="101"/>
      <c r="B409" s="108"/>
      <c r="C409" s="109"/>
      <c r="D409" s="110"/>
      <c r="E409" s="127" t="s">
        <v>398</v>
      </c>
      <c r="G409" s="112"/>
      <c r="H409" s="97"/>
      <c r="J409" s="130"/>
      <c r="L409" s="163"/>
    </row>
    <row r="410" spans="1:256" s="98" customFormat="1" ht="25.5" customHeight="1">
      <c r="A410" s="101"/>
      <c r="B410" s="108"/>
      <c r="C410" s="109"/>
      <c r="D410" s="110"/>
      <c r="E410" s="127" t="s">
        <v>75</v>
      </c>
      <c r="F410" s="128"/>
      <c r="G410" s="112"/>
      <c r="H410" s="97"/>
      <c r="J410" s="130"/>
      <c r="L410" s="163"/>
    </row>
    <row r="411" spans="1:256" s="98" customFormat="1" ht="25.5" customHeight="1">
      <c r="A411" s="101"/>
      <c r="B411" s="108"/>
      <c r="C411" s="109"/>
      <c r="D411" s="110"/>
      <c r="E411" s="323" t="s">
        <v>399</v>
      </c>
      <c r="F411" s="128"/>
      <c r="G411" s="112"/>
      <c r="H411" s="97"/>
      <c r="J411" s="130"/>
      <c r="L411" s="163"/>
    </row>
    <row r="412" spans="1:256" s="98" customFormat="1">
      <c r="A412" s="101"/>
      <c r="B412" s="108"/>
      <c r="C412" s="109"/>
      <c r="D412" s="110"/>
      <c r="E412" s="127" t="s">
        <v>73</v>
      </c>
      <c r="F412" s="128"/>
      <c r="G412" s="112"/>
      <c r="H412" s="97"/>
      <c r="J412" s="130"/>
      <c r="L412" s="163"/>
    </row>
    <row r="413" spans="1:256" s="98" customFormat="1" ht="26">
      <c r="A413" s="101"/>
      <c r="B413" s="108"/>
      <c r="C413" s="109"/>
      <c r="D413" s="110"/>
      <c r="E413" s="127" t="s">
        <v>74</v>
      </c>
      <c r="F413" s="128">
        <f>11.45*1.8</f>
        <v>20.61</v>
      </c>
      <c r="G413" s="112"/>
      <c r="H413" s="97"/>
      <c r="J413" s="130"/>
      <c r="L413" s="163"/>
    </row>
    <row r="414" spans="1:256" s="98" customFormat="1">
      <c r="A414" s="101"/>
      <c r="B414" s="108"/>
      <c r="C414" s="109"/>
      <c r="D414" s="110"/>
      <c r="E414" s="127" t="s">
        <v>400</v>
      </c>
      <c r="F414" s="128"/>
      <c r="G414" s="112"/>
      <c r="H414" s="97"/>
      <c r="J414" s="130"/>
      <c r="L414" s="163"/>
    </row>
    <row r="415" spans="1:256" s="98" customFormat="1" ht="26">
      <c r="A415" s="101"/>
      <c r="B415" s="108"/>
      <c r="C415" s="109"/>
      <c r="D415" s="110"/>
      <c r="E415" s="127" t="s">
        <v>75</v>
      </c>
      <c r="F415" s="128"/>
      <c r="G415" s="112"/>
      <c r="H415" s="97"/>
      <c r="J415" s="130"/>
      <c r="L415" s="163"/>
    </row>
    <row r="416" spans="1:256" s="98" customFormat="1" ht="25.5" customHeight="1">
      <c r="A416" s="101"/>
      <c r="B416" s="108"/>
      <c r="C416" s="109"/>
      <c r="D416" s="110"/>
      <c r="E416" s="323" t="s">
        <v>401</v>
      </c>
      <c r="F416" s="128"/>
      <c r="G416" s="112"/>
      <c r="H416" s="97"/>
      <c r="J416" s="130"/>
      <c r="L416" s="163"/>
    </row>
    <row r="417" spans="1:18" s="98" customFormat="1">
      <c r="A417" s="101"/>
      <c r="B417" s="108"/>
      <c r="C417" s="109"/>
      <c r="D417" s="110"/>
      <c r="E417" s="127" t="s">
        <v>73</v>
      </c>
      <c r="F417" s="128"/>
      <c r="G417" s="112"/>
      <c r="H417" s="97"/>
      <c r="J417" s="130"/>
      <c r="L417" s="163"/>
    </row>
    <row r="418" spans="1:18" s="98" customFormat="1" ht="26">
      <c r="A418" s="101"/>
      <c r="B418" s="108"/>
      <c r="C418" s="109"/>
      <c r="D418" s="110"/>
      <c r="E418" s="127" t="s">
        <v>74</v>
      </c>
      <c r="F418" s="135">
        <f>12*1.82</f>
        <v>21.84</v>
      </c>
      <c r="G418" s="112"/>
      <c r="H418" s="97"/>
      <c r="J418" s="130"/>
      <c r="L418" s="163"/>
    </row>
    <row r="419" spans="1:18" s="98" customFormat="1">
      <c r="A419" s="101"/>
      <c r="B419" s="108"/>
      <c r="C419" s="109"/>
      <c r="D419" s="110"/>
      <c r="E419" s="127"/>
      <c r="F419" s="128">
        <f>SUM(F413:F418)</f>
        <v>42.45</v>
      </c>
      <c r="G419" s="112"/>
      <c r="H419" s="97"/>
      <c r="J419" s="130"/>
      <c r="L419" s="163"/>
    </row>
    <row r="420" spans="1:18" s="98" customFormat="1">
      <c r="A420" s="101"/>
      <c r="B420" s="108"/>
      <c r="C420" s="109"/>
      <c r="D420" s="110"/>
      <c r="E420" s="127"/>
      <c r="F420" s="128"/>
      <c r="G420" s="112"/>
      <c r="H420" s="97"/>
      <c r="J420" s="130"/>
      <c r="L420" s="163"/>
    </row>
    <row r="421" spans="1:18" s="98" customFormat="1" ht="26">
      <c r="A421" s="101">
        <f>MAX(A$1:A419)+1</f>
        <v>55</v>
      </c>
      <c r="B421" s="161"/>
      <c r="C421" s="138" t="s">
        <v>402</v>
      </c>
      <c r="D421" s="139"/>
      <c r="E421" s="140" t="s">
        <v>403</v>
      </c>
      <c r="F421" s="141"/>
      <c r="G421" s="142" t="s">
        <v>14</v>
      </c>
      <c r="H421" s="190">
        <v>128.25</v>
      </c>
      <c r="I421" s="107"/>
      <c r="J421" s="130"/>
      <c r="L421" s="163"/>
    </row>
    <row r="422" spans="1:18" s="98" customFormat="1" ht="25">
      <c r="A422" s="168"/>
      <c r="B422" s="193"/>
      <c r="C422" s="194"/>
      <c r="D422" s="186" t="s">
        <v>404</v>
      </c>
      <c r="E422" s="187" t="s">
        <v>405</v>
      </c>
      <c r="F422" s="188"/>
      <c r="G422" s="189" t="s">
        <v>14</v>
      </c>
      <c r="H422" s="170">
        <v>128.25</v>
      </c>
      <c r="I422" s="107"/>
      <c r="J422" s="130"/>
      <c r="L422" s="163"/>
    </row>
    <row r="423" spans="1:18" s="98" customFormat="1">
      <c r="A423" s="336"/>
      <c r="B423" s="193"/>
      <c r="C423" s="186"/>
      <c r="D423" s="194"/>
      <c r="E423" s="147" t="s">
        <v>406</v>
      </c>
      <c r="F423" s="287">
        <f>1.8*(65.25+2*3)</f>
        <v>128.25</v>
      </c>
      <c r="G423" s="189"/>
      <c r="H423" s="337"/>
      <c r="I423" s="107"/>
      <c r="J423" s="130"/>
      <c r="L423" s="163"/>
    </row>
    <row r="424" spans="1:18" s="98" customFormat="1">
      <c r="A424" s="101"/>
      <c r="B424" s="108"/>
      <c r="C424" s="109"/>
      <c r="D424" s="110"/>
      <c r="E424" s="127"/>
      <c r="F424" s="128"/>
      <c r="G424" s="112"/>
      <c r="H424" s="97"/>
      <c r="I424" s="107"/>
      <c r="J424" s="130"/>
      <c r="L424" s="163"/>
    </row>
    <row r="425" spans="1:18" s="241" customFormat="1">
      <c r="A425" s="101">
        <f>MAX(A$1:A424)+1</f>
        <v>56</v>
      </c>
      <c r="B425" s="108"/>
      <c r="C425" s="109" t="s">
        <v>407</v>
      </c>
      <c r="D425" s="110"/>
      <c r="E425" s="103" t="s">
        <v>408</v>
      </c>
      <c r="F425" s="338"/>
      <c r="G425" s="112" t="s">
        <v>12</v>
      </c>
      <c r="H425" s="104">
        <v>6</v>
      </c>
      <c r="I425" s="210"/>
      <c r="J425" s="72"/>
      <c r="K425" s="72"/>
      <c r="L425" s="163"/>
      <c r="M425" s="72"/>
      <c r="N425" s="72"/>
      <c r="O425" s="72"/>
      <c r="P425" s="72"/>
      <c r="Q425" s="72"/>
      <c r="R425" s="72"/>
    </row>
    <row r="426" spans="1:18" s="241" customFormat="1" ht="12.75" customHeight="1">
      <c r="A426" s="101"/>
      <c r="B426" s="108"/>
      <c r="C426" s="109"/>
      <c r="D426" s="110"/>
      <c r="E426" s="127" t="s">
        <v>409</v>
      </c>
      <c r="F426" s="128"/>
      <c r="G426" s="112"/>
      <c r="H426" s="104"/>
      <c r="I426" s="210"/>
      <c r="J426" s="72"/>
      <c r="K426" s="72"/>
      <c r="L426" s="163"/>
      <c r="M426" s="72"/>
      <c r="N426" s="72"/>
      <c r="O426" s="72"/>
      <c r="P426" s="72"/>
      <c r="Q426" s="72"/>
      <c r="R426" s="72"/>
    </row>
    <row r="427" spans="1:18" s="241" customFormat="1" ht="12.75" customHeight="1">
      <c r="A427" s="101"/>
      <c r="B427" s="108"/>
      <c r="C427" s="109"/>
      <c r="D427" s="110"/>
      <c r="E427" s="127" t="s">
        <v>410</v>
      </c>
      <c r="F427" s="128"/>
      <c r="G427" s="112"/>
      <c r="H427" s="104"/>
      <c r="I427" s="210"/>
      <c r="J427" s="72"/>
      <c r="K427" s="72"/>
      <c r="L427" s="163"/>
      <c r="M427" s="72"/>
      <c r="N427" s="72"/>
      <c r="O427" s="72"/>
      <c r="P427" s="72"/>
      <c r="Q427" s="72"/>
      <c r="R427" s="72"/>
    </row>
    <row r="428" spans="1:18" s="241" customFormat="1">
      <c r="A428" s="101"/>
      <c r="B428" s="108"/>
      <c r="C428" s="109"/>
      <c r="D428" s="110"/>
      <c r="E428" s="127" t="s">
        <v>411</v>
      </c>
      <c r="F428" s="128"/>
      <c r="G428" s="112"/>
      <c r="H428" s="104"/>
      <c r="I428" s="210"/>
      <c r="J428" s="72"/>
      <c r="K428" s="72"/>
      <c r="L428" s="163"/>
      <c r="M428" s="72"/>
      <c r="N428" s="72"/>
      <c r="O428" s="72"/>
      <c r="P428" s="72"/>
      <c r="Q428" s="72"/>
      <c r="R428" s="72"/>
    </row>
    <row r="429" spans="1:18" s="241" customFormat="1">
      <c r="A429" s="101"/>
      <c r="B429" s="119"/>
      <c r="C429" s="109"/>
      <c r="D429" s="110"/>
      <c r="E429" s="127" t="s">
        <v>412</v>
      </c>
      <c r="F429" s="128"/>
      <c r="G429" s="112"/>
      <c r="H429" s="104"/>
      <c r="I429" s="210"/>
      <c r="J429" s="72"/>
      <c r="K429" s="72"/>
      <c r="L429" s="163"/>
      <c r="M429" s="72"/>
      <c r="N429" s="72"/>
      <c r="O429" s="72"/>
      <c r="P429" s="72"/>
      <c r="Q429" s="72"/>
      <c r="R429" s="72"/>
    </row>
    <row r="430" spans="1:18" s="241" customFormat="1" ht="12.75" customHeight="1">
      <c r="A430" s="101"/>
      <c r="B430" s="119"/>
      <c r="C430" s="109"/>
      <c r="D430" s="110"/>
      <c r="E430" s="127" t="s">
        <v>413</v>
      </c>
      <c r="F430" s="128">
        <v>6</v>
      </c>
      <c r="G430" s="112"/>
      <c r="H430" s="104"/>
      <c r="I430" s="210"/>
      <c r="J430" s="72"/>
      <c r="K430" s="72"/>
      <c r="L430" s="163"/>
      <c r="M430" s="72"/>
      <c r="N430" s="72"/>
      <c r="O430" s="72"/>
      <c r="P430" s="72"/>
      <c r="Q430" s="72"/>
      <c r="R430" s="72"/>
    </row>
    <row r="431" spans="1:18" s="98" customFormat="1">
      <c r="A431" s="101"/>
      <c r="B431" s="108"/>
      <c r="C431" s="109"/>
      <c r="D431" s="110"/>
      <c r="E431" s="127"/>
      <c r="F431" s="128"/>
      <c r="G431" s="112"/>
      <c r="H431" s="97"/>
      <c r="I431" s="107"/>
      <c r="J431" s="130"/>
      <c r="L431" s="163"/>
    </row>
    <row r="432" spans="1:18" s="100" customFormat="1" ht="12.75" customHeight="1">
      <c r="A432" s="101">
        <f>MAX(A$1:A431)+1</f>
        <v>57</v>
      </c>
      <c r="B432" s="91"/>
      <c r="C432" s="109" t="s">
        <v>414</v>
      </c>
      <c r="D432" s="93"/>
      <c r="E432" s="103" t="s">
        <v>415</v>
      </c>
      <c r="F432" s="95"/>
      <c r="G432" s="96" t="s">
        <v>19</v>
      </c>
      <c r="H432" s="104">
        <v>5019.42</v>
      </c>
      <c r="I432" s="107"/>
      <c r="J432" s="99"/>
      <c r="K432" s="98"/>
      <c r="L432" s="163"/>
    </row>
    <row r="433" spans="1:18" s="100" customFormat="1" ht="12.75" customHeight="1">
      <c r="A433" s="101"/>
      <c r="B433" s="91"/>
      <c r="C433" s="109"/>
      <c r="D433" s="339" t="s">
        <v>416</v>
      </c>
      <c r="E433" s="340" t="s">
        <v>417</v>
      </c>
      <c r="F433" s="341"/>
      <c r="G433" s="342" t="s">
        <v>19</v>
      </c>
      <c r="H433" s="226">
        <v>5019.42</v>
      </c>
      <c r="I433" s="107"/>
      <c r="J433" s="99"/>
      <c r="K433" s="98"/>
      <c r="L433" s="163"/>
    </row>
    <row r="434" spans="1:18" s="100" customFormat="1" ht="39">
      <c r="A434" s="101"/>
      <c r="B434" s="91"/>
      <c r="C434" s="102"/>
      <c r="D434" s="343"/>
      <c r="E434" s="123" t="s">
        <v>418</v>
      </c>
      <c r="F434" s="344">
        <f>(14.15+2*1)*(61.1-8.6-2*10.5/2)*7.4</f>
        <v>5019.42</v>
      </c>
      <c r="G434" s="96"/>
      <c r="H434" s="104"/>
      <c r="I434" s="107"/>
      <c r="J434" s="99"/>
      <c r="K434" s="98"/>
      <c r="L434" s="163"/>
    </row>
    <row r="435" spans="1:18" s="100" customFormat="1">
      <c r="A435" s="217"/>
      <c r="B435" s="91"/>
      <c r="C435" s="102"/>
      <c r="D435" s="343"/>
      <c r="E435" s="345"/>
      <c r="F435" s="95"/>
      <c r="G435" s="96"/>
      <c r="H435" s="104"/>
      <c r="I435" s="107"/>
      <c r="J435" s="99"/>
      <c r="K435" s="98"/>
      <c r="L435" s="163"/>
    </row>
    <row r="436" spans="1:18" s="241" customFormat="1" ht="26">
      <c r="A436" s="101">
        <f>MAX(A$1:A435)+1</f>
        <v>58</v>
      </c>
      <c r="B436" s="108"/>
      <c r="C436" s="110" t="s">
        <v>37</v>
      </c>
      <c r="D436" s="109"/>
      <c r="E436" s="95" t="s">
        <v>38</v>
      </c>
      <c r="F436" s="111"/>
      <c r="G436" s="112" t="s">
        <v>14</v>
      </c>
      <c r="H436" s="104">
        <v>79.78</v>
      </c>
      <c r="I436" s="210"/>
      <c r="J436" s="72"/>
      <c r="K436" s="72"/>
      <c r="L436" s="163"/>
      <c r="M436" s="72"/>
      <c r="N436" s="72"/>
      <c r="O436" s="72"/>
      <c r="P436" s="72"/>
      <c r="Q436" s="72"/>
      <c r="R436" s="72"/>
    </row>
    <row r="437" spans="1:18" s="241" customFormat="1" ht="26">
      <c r="A437" s="164"/>
      <c r="B437" s="191"/>
      <c r="C437" s="120"/>
      <c r="D437" s="151"/>
      <c r="E437" s="127" t="s">
        <v>419</v>
      </c>
      <c r="F437" s="165">
        <f>8*0.43*(63-2*0.75)*0.1+5</f>
        <v>26.156000000000002</v>
      </c>
      <c r="G437" s="121"/>
      <c r="H437" s="97"/>
      <c r="I437" s="210"/>
      <c r="J437" s="72"/>
      <c r="K437" s="72"/>
      <c r="L437" s="163"/>
      <c r="M437" s="72"/>
      <c r="N437" s="72"/>
      <c r="O437" s="72"/>
      <c r="P437" s="72"/>
      <c r="Q437" s="72"/>
      <c r="R437" s="72"/>
    </row>
    <row r="438" spans="1:18" s="241" customFormat="1" ht="26">
      <c r="A438" s="346"/>
      <c r="B438" s="191"/>
      <c r="C438" s="120"/>
      <c r="D438" s="151"/>
      <c r="E438" s="127" t="s">
        <v>420</v>
      </c>
      <c r="F438" s="185">
        <f>(81.42+42.11+25.71+288.4+98.58)*0.1</f>
        <v>53.622000000000007</v>
      </c>
      <c r="G438" s="121"/>
      <c r="H438" s="97"/>
      <c r="I438" s="210"/>
      <c r="J438" s="72"/>
      <c r="K438" s="72"/>
      <c r="L438" s="163"/>
      <c r="M438" s="72"/>
      <c r="N438" s="72"/>
      <c r="O438" s="72"/>
      <c r="P438" s="72"/>
      <c r="Q438" s="72"/>
      <c r="R438" s="72"/>
    </row>
    <row r="439" spans="1:18" s="100" customFormat="1">
      <c r="A439" s="217"/>
      <c r="B439" s="91"/>
      <c r="C439" s="102"/>
      <c r="D439" s="343"/>
      <c r="E439" s="345"/>
      <c r="F439" s="218">
        <f>SUM(F437:F438)</f>
        <v>79.778000000000006</v>
      </c>
      <c r="G439" s="96"/>
      <c r="H439" s="104"/>
      <c r="I439" s="107"/>
      <c r="J439" s="99"/>
      <c r="K439" s="98"/>
      <c r="L439" s="163"/>
    </row>
    <row r="440" spans="1:18" s="100" customFormat="1">
      <c r="A440" s="217"/>
      <c r="B440" s="91"/>
      <c r="C440" s="102"/>
      <c r="D440" s="343"/>
      <c r="E440" s="345"/>
      <c r="F440" s="347"/>
      <c r="G440" s="96"/>
      <c r="H440" s="104"/>
      <c r="I440" s="107"/>
      <c r="J440" s="99"/>
      <c r="K440" s="98"/>
      <c r="L440" s="163"/>
    </row>
    <row r="441" spans="1:18" s="98" customFormat="1">
      <c r="A441" s="217"/>
      <c r="B441" s="108"/>
      <c r="C441" s="109"/>
      <c r="D441" s="110"/>
      <c r="E441" s="127"/>
      <c r="F441" s="328"/>
      <c r="G441" s="112"/>
      <c r="H441" s="97"/>
      <c r="I441" s="107"/>
      <c r="J441" s="130"/>
      <c r="L441" s="163"/>
    </row>
    <row r="442" spans="1:18" s="98" customFormat="1">
      <c r="A442" s="217"/>
      <c r="B442" s="231" t="s">
        <v>421</v>
      </c>
      <c r="C442" s="231"/>
      <c r="D442" s="233"/>
      <c r="E442" s="252" t="s">
        <v>422</v>
      </c>
      <c r="F442" s="328"/>
      <c r="G442" s="112"/>
      <c r="H442" s="97"/>
      <c r="I442" s="107"/>
      <c r="J442" s="130"/>
      <c r="L442" s="163"/>
    </row>
    <row r="443" spans="1:18" s="98" customFormat="1">
      <c r="A443" s="217"/>
      <c r="B443" s="108"/>
      <c r="C443" s="109"/>
      <c r="D443" s="110"/>
      <c r="E443" s="127"/>
      <c r="F443" s="328"/>
      <c r="G443" s="112"/>
      <c r="H443" s="97"/>
      <c r="I443" s="107"/>
      <c r="J443" s="130"/>
      <c r="L443" s="163"/>
    </row>
    <row r="444" spans="1:18" s="98" customFormat="1" ht="18.75" customHeight="1">
      <c r="A444" s="101">
        <f>MAX(A$1:A443)+1</f>
        <v>59</v>
      </c>
      <c r="B444" s="108"/>
      <c r="C444" s="109" t="s">
        <v>423</v>
      </c>
      <c r="D444" s="110"/>
      <c r="E444" s="103" t="s">
        <v>424</v>
      </c>
      <c r="F444" s="111"/>
      <c r="G444" s="112" t="s">
        <v>19</v>
      </c>
      <c r="H444" s="173">
        <v>0.83</v>
      </c>
      <c r="I444" s="107"/>
      <c r="J444" s="130"/>
      <c r="L444" s="163"/>
      <c r="N444" s="348"/>
    </row>
    <row r="445" spans="1:18" s="98" customFormat="1" ht="26">
      <c r="A445" s="217"/>
      <c r="B445" s="108"/>
      <c r="C445" s="109"/>
      <c r="D445" s="110"/>
      <c r="E445" s="277" t="s">
        <v>676</v>
      </c>
      <c r="F445" s="124">
        <f>0.175*0.35*0.75*18</f>
        <v>0.8268749999999998</v>
      </c>
      <c r="G445" s="112"/>
      <c r="H445" s="97"/>
      <c r="J445" s="130"/>
      <c r="L445" s="163"/>
    </row>
    <row r="446" spans="1:18" s="98" customFormat="1">
      <c r="A446" s="217"/>
      <c r="B446" s="108"/>
      <c r="C446" s="109"/>
      <c r="D446" s="110"/>
      <c r="E446" s="277"/>
      <c r="F446" s="124"/>
      <c r="G446" s="112"/>
      <c r="H446" s="97"/>
      <c r="J446" s="130"/>
      <c r="L446" s="163"/>
    </row>
    <row r="447" spans="1:18" s="98" customFormat="1">
      <c r="A447" s="217"/>
      <c r="B447" s="108"/>
      <c r="C447" s="109"/>
      <c r="D447" s="110"/>
      <c r="E447" s="277"/>
      <c r="F447" s="124"/>
      <c r="G447" s="112"/>
      <c r="H447" s="97"/>
      <c r="J447" s="130"/>
      <c r="L447" s="163"/>
    </row>
    <row r="448" spans="1:18" s="98" customFormat="1" ht="26">
      <c r="A448" s="217"/>
      <c r="B448" s="231" t="s">
        <v>425</v>
      </c>
      <c r="C448" s="231"/>
      <c r="D448" s="233"/>
      <c r="E448" s="252" t="s">
        <v>426</v>
      </c>
      <c r="F448" s="124"/>
      <c r="G448" s="112"/>
      <c r="H448" s="97"/>
      <c r="J448" s="130"/>
      <c r="L448" s="163"/>
    </row>
    <row r="449" spans="1:12" s="98" customFormat="1">
      <c r="A449" s="217"/>
      <c r="B449" s="231"/>
      <c r="C449" s="231"/>
      <c r="D449" s="233"/>
      <c r="E449" s="252"/>
      <c r="F449" s="124"/>
      <c r="G449" s="112"/>
      <c r="H449" s="97"/>
      <c r="J449" s="130"/>
      <c r="L449" s="163"/>
    </row>
    <row r="450" spans="1:12" s="98" customFormat="1" ht="26">
      <c r="A450" s="101">
        <f>MAX(A$1:A449)+1</f>
        <v>60</v>
      </c>
      <c r="B450" s="231"/>
      <c r="C450" s="138" t="s">
        <v>427</v>
      </c>
      <c r="D450" s="139"/>
      <c r="E450" s="349" t="s">
        <v>428</v>
      </c>
      <c r="F450" s="141"/>
      <c r="G450" s="142" t="s">
        <v>12</v>
      </c>
      <c r="H450" s="173">
        <v>4</v>
      </c>
      <c r="I450" s="175"/>
      <c r="J450" s="130"/>
      <c r="L450" s="163"/>
    </row>
    <row r="451" spans="1:12" s="98" customFormat="1" ht="25">
      <c r="A451" s="217"/>
      <c r="B451" s="231"/>
      <c r="C451" s="194"/>
      <c r="D451" s="186" t="s">
        <v>429</v>
      </c>
      <c r="E451" s="350" t="s">
        <v>430</v>
      </c>
      <c r="F451" s="188"/>
      <c r="G451" s="189" t="s">
        <v>12</v>
      </c>
      <c r="H451" s="97">
        <v>4</v>
      </c>
      <c r="I451" s="175"/>
      <c r="J451" s="130"/>
      <c r="L451" s="163"/>
    </row>
    <row r="452" spans="1:12" s="98" customFormat="1" ht="39">
      <c r="A452" s="217"/>
      <c r="B452" s="231"/>
      <c r="C452" s="194"/>
      <c r="D452" s="186"/>
      <c r="E452" s="264" t="s">
        <v>680</v>
      </c>
      <c r="F452" s="128">
        <v>4</v>
      </c>
      <c r="G452" s="189"/>
      <c r="H452" s="97"/>
      <c r="I452" s="175"/>
      <c r="J452" s="130"/>
      <c r="L452" s="163"/>
    </row>
    <row r="453" spans="1:12" s="98" customFormat="1">
      <c r="A453" s="217"/>
      <c r="B453" s="231"/>
      <c r="C453" s="194"/>
      <c r="D453" s="186"/>
      <c r="E453" s="351"/>
      <c r="F453" s="188"/>
      <c r="G453" s="189"/>
      <c r="H453" s="97"/>
      <c r="I453" s="175"/>
      <c r="J453" s="130"/>
      <c r="L453" s="163"/>
    </row>
    <row r="454" spans="1:12" s="98" customFormat="1">
      <c r="A454" s="101">
        <f>MAX(A$1:A453)+1</f>
        <v>61</v>
      </c>
      <c r="B454" s="161"/>
      <c r="C454" s="138" t="s">
        <v>431</v>
      </c>
      <c r="D454" s="139"/>
      <c r="E454" s="140" t="s">
        <v>432</v>
      </c>
      <c r="F454" s="141"/>
      <c r="G454" s="142" t="s">
        <v>12</v>
      </c>
      <c r="H454" s="104">
        <v>2</v>
      </c>
      <c r="I454" s="175"/>
      <c r="J454" s="130"/>
      <c r="L454" s="163"/>
    </row>
    <row r="455" spans="1:12" s="98" customFormat="1" ht="25">
      <c r="A455" s="164"/>
      <c r="B455" s="193"/>
      <c r="C455" s="194"/>
      <c r="D455" s="186" t="s">
        <v>433</v>
      </c>
      <c r="E455" s="187" t="s">
        <v>434</v>
      </c>
      <c r="F455" s="188"/>
      <c r="G455" s="189" t="s">
        <v>12</v>
      </c>
      <c r="H455" s="97">
        <v>2</v>
      </c>
      <c r="I455" s="175"/>
      <c r="J455" s="130"/>
      <c r="L455" s="163"/>
    </row>
    <row r="456" spans="1:12" s="98" customFormat="1" ht="26">
      <c r="A456" s="254"/>
      <c r="B456" s="231"/>
      <c r="C456" s="231"/>
      <c r="D456" s="233"/>
      <c r="E456" s="264" t="s">
        <v>435</v>
      </c>
      <c r="F456" s="128">
        <v>2</v>
      </c>
      <c r="G456" s="236"/>
      <c r="H456" s="166"/>
      <c r="I456" s="175"/>
      <c r="J456" s="130"/>
      <c r="L456" s="163"/>
    </row>
    <row r="457" spans="1:12" s="98" customFormat="1">
      <c r="A457" s="217"/>
      <c r="B457" s="108"/>
      <c r="C457" s="109"/>
      <c r="D457" s="110"/>
      <c r="E457" s="277"/>
      <c r="F457" s="124"/>
      <c r="G457" s="112"/>
      <c r="H457" s="97"/>
      <c r="I457" s="175"/>
      <c r="J457" s="130"/>
      <c r="L457" s="163"/>
    </row>
    <row r="458" spans="1:12" s="98" customFormat="1">
      <c r="A458" s="101">
        <f>MAX(A$1:A457)+1</f>
        <v>62</v>
      </c>
      <c r="B458" s="108"/>
      <c r="C458" s="138" t="s">
        <v>436</v>
      </c>
      <c r="D458" s="139"/>
      <c r="E458" s="140" t="s">
        <v>437</v>
      </c>
      <c r="F458" s="141"/>
      <c r="G458" s="142" t="s">
        <v>12</v>
      </c>
      <c r="H458" s="173">
        <v>2</v>
      </c>
      <c r="I458" s="175"/>
      <c r="J458" s="130"/>
      <c r="L458" s="163"/>
    </row>
    <row r="459" spans="1:12" s="98" customFormat="1">
      <c r="A459" s="217"/>
      <c r="B459" s="108"/>
      <c r="C459" s="194"/>
      <c r="D459" s="186" t="s">
        <v>438</v>
      </c>
      <c r="E459" s="187" t="s">
        <v>439</v>
      </c>
      <c r="F459" s="188"/>
      <c r="G459" s="189" t="s">
        <v>12</v>
      </c>
      <c r="H459" s="97">
        <v>2</v>
      </c>
      <c r="I459" s="175"/>
      <c r="J459" s="130"/>
      <c r="L459" s="163"/>
    </row>
    <row r="460" spans="1:12" s="98" customFormat="1">
      <c r="A460" s="217"/>
      <c r="B460" s="108"/>
      <c r="C460" s="194"/>
      <c r="D460" s="186"/>
      <c r="E460" s="187"/>
      <c r="F460" s="188"/>
      <c r="G460" s="189"/>
      <c r="H460" s="97"/>
      <c r="I460" s="175"/>
      <c r="J460" s="130"/>
      <c r="L460" s="163"/>
    </row>
    <row r="461" spans="1:12" s="98" customFormat="1">
      <c r="A461" s="217"/>
      <c r="B461" s="108"/>
      <c r="C461" s="109"/>
      <c r="D461" s="110"/>
      <c r="E461" s="127"/>
      <c r="F461" s="352"/>
      <c r="G461" s="112"/>
      <c r="H461" s="97"/>
      <c r="I461" s="175"/>
      <c r="J461" s="130"/>
      <c r="L461" s="163"/>
    </row>
    <row r="462" spans="1:12" s="354" customFormat="1" ht="26">
      <c r="A462" s="254"/>
      <c r="B462" s="231" t="s">
        <v>84</v>
      </c>
      <c r="C462" s="231"/>
      <c r="D462" s="233"/>
      <c r="E462" s="252" t="s">
        <v>440</v>
      </c>
      <c r="F462" s="255"/>
      <c r="G462" s="236"/>
      <c r="H462" s="170"/>
      <c r="I462" s="146"/>
      <c r="J462" s="353"/>
      <c r="K462" s="163"/>
      <c r="L462" s="163"/>
    </row>
    <row r="463" spans="1:12">
      <c r="A463" s="355"/>
      <c r="B463" s="356"/>
      <c r="C463" s="357"/>
      <c r="D463" s="358"/>
      <c r="E463" s="359"/>
      <c r="F463" s="360"/>
      <c r="G463" s="133"/>
      <c r="H463" s="122"/>
      <c r="I463" s="68"/>
      <c r="L463" s="163"/>
    </row>
    <row r="464" spans="1:12" ht="26">
      <c r="A464" s="101">
        <f>MAX(A$1:A461)+1</f>
        <v>63</v>
      </c>
      <c r="B464" s="108"/>
      <c r="C464" s="109" t="s">
        <v>21</v>
      </c>
      <c r="D464" s="110"/>
      <c r="E464" s="103" t="s">
        <v>78</v>
      </c>
      <c r="F464" s="361"/>
      <c r="G464" s="112" t="s">
        <v>14</v>
      </c>
      <c r="H464" s="113">
        <v>3292.67</v>
      </c>
      <c r="I464" s="68"/>
      <c r="L464" s="163"/>
    </row>
    <row r="465" spans="1:12" ht="25.5" customHeight="1">
      <c r="A465" s="322"/>
      <c r="B465" s="191"/>
      <c r="C465" s="120"/>
      <c r="D465" s="151" t="s">
        <v>77</v>
      </c>
      <c r="E465" s="100" t="s">
        <v>79</v>
      </c>
      <c r="F465" s="215"/>
      <c r="G465" s="121" t="s">
        <v>14</v>
      </c>
      <c r="H465" s="122">
        <v>3292.67</v>
      </c>
      <c r="I465" s="68"/>
      <c r="L465" s="163"/>
    </row>
    <row r="466" spans="1:12" ht="12.75" customHeight="1">
      <c r="A466" s="230"/>
      <c r="B466" s="191"/>
      <c r="C466" s="120"/>
      <c r="D466" s="151"/>
      <c r="E466" s="127" t="s">
        <v>441</v>
      </c>
      <c r="F466" s="165">
        <f>2*62.5*11.75</f>
        <v>1468.75</v>
      </c>
      <c r="G466" s="121"/>
      <c r="H466" s="122"/>
      <c r="I466" s="68"/>
      <c r="L466" s="163"/>
    </row>
    <row r="467" spans="1:12" ht="26">
      <c r="A467" s="230"/>
      <c r="B467" s="191"/>
      <c r="C467" s="120"/>
      <c r="D467" s="151"/>
      <c r="E467" s="127" t="s">
        <v>442</v>
      </c>
      <c r="F467" s="165">
        <f>2*2*137</f>
        <v>548</v>
      </c>
      <c r="G467" s="121"/>
      <c r="H467" s="122"/>
      <c r="I467" s="68"/>
      <c r="L467" s="163"/>
    </row>
    <row r="468" spans="1:12" ht="26">
      <c r="A468" s="230"/>
      <c r="B468" s="191"/>
      <c r="C468" s="120"/>
      <c r="D468" s="151"/>
      <c r="E468" s="127" t="s">
        <v>443</v>
      </c>
      <c r="F468" s="185">
        <f>2.5*7.6+4.2*7.6+2*50*(11.75+0.5)</f>
        <v>1275.92</v>
      </c>
      <c r="G468" s="121"/>
      <c r="H468" s="122"/>
      <c r="I468" s="68"/>
      <c r="L468" s="163"/>
    </row>
    <row r="469" spans="1:12">
      <c r="A469" s="230"/>
      <c r="B469" s="191"/>
      <c r="C469" s="120"/>
      <c r="D469" s="151"/>
      <c r="E469" s="127"/>
      <c r="F469" s="165">
        <f>SUM(F466:F468)</f>
        <v>3292.67</v>
      </c>
      <c r="G469" s="121"/>
      <c r="H469" s="122"/>
      <c r="I469" s="68"/>
      <c r="L469" s="163"/>
    </row>
    <row r="470" spans="1:12">
      <c r="A470" s="322"/>
      <c r="B470" s="191"/>
      <c r="C470" s="120"/>
      <c r="D470" s="151"/>
      <c r="E470" s="100"/>
      <c r="F470" s="165"/>
      <c r="G470" s="121"/>
      <c r="H470" s="122"/>
      <c r="I470" s="68"/>
      <c r="L470" s="163"/>
    </row>
    <row r="471" spans="1:12" ht="26">
      <c r="A471" s="101">
        <f>MAX(A$1:A470)+1</f>
        <v>64</v>
      </c>
      <c r="B471" s="108"/>
      <c r="C471" s="109" t="s">
        <v>42</v>
      </c>
      <c r="D471" s="110"/>
      <c r="E471" s="103" t="s">
        <v>444</v>
      </c>
      <c r="F471" s="203"/>
      <c r="G471" s="112" t="s">
        <v>14</v>
      </c>
      <c r="H471" s="113">
        <v>3239.9</v>
      </c>
      <c r="I471" s="68"/>
      <c r="L471" s="163"/>
    </row>
    <row r="472" spans="1:12" ht="25">
      <c r="A472" s="101"/>
      <c r="B472" s="191"/>
      <c r="C472" s="120"/>
      <c r="D472" s="151" t="s">
        <v>445</v>
      </c>
      <c r="E472" s="100" t="s">
        <v>446</v>
      </c>
      <c r="F472" s="248"/>
      <c r="G472" s="121" t="s">
        <v>14</v>
      </c>
      <c r="H472" s="122">
        <v>3239.9</v>
      </c>
      <c r="L472" s="163"/>
    </row>
    <row r="473" spans="1:12">
      <c r="A473" s="101"/>
      <c r="B473" s="191"/>
      <c r="C473" s="120"/>
      <c r="D473" s="151"/>
      <c r="E473" s="127" t="s">
        <v>447</v>
      </c>
      <c r="F473" s="362">
        <v>3239.9</v>
      </c>
      <c r="G473" s="121"/>
      <c r="H473" s="122"/>
      <c r="L473" s="163"/>
    </row>
    <row r="474" spans="1:12">
      <c r="A474" s="101"/>
      <c r="B474" s="191"/>
      <c r="C474" s="120"/>
      <c r="D474" s="151"/>
      <c r="E474" s="127"/>
      <c r="F474" s="362"/>
      <c r="G474" s="121"/>
      <c r="H474" s="122"/>
      <c r="L474" s="163"/>
    </row>
    <row r="475" spans="1:12" ht="26">
      <c r="A475" s="101">
        <f>MAX(A$1:A474)+1</f>
        <v>65</v>
      </c>
      <c r="B475" s="108"/>
      <c r="C475" s="109" t="s">
        <v>25</v>
      </c>
      <c r="D475" s="110"/>
      <c r="E475" s="103" t="s">
        <v>26</v>
      </c>
      <c r="F475" s="361"/>
      <c r="G475" s="112" t="s">
        <v>19</v>
      </c>
      <c r="H475" s="113">
        <v>16.440000000000001</v>
      </c>
      <c r="I475" s="210"/>
      <c r="L475" s="163"/>
    </row>
    <row r="476" spans="1:12" ht="25">
      <c r="A476" s="322"/>
      <c r="B476" s="191"/>
      <c r="C476" s="120"/>
      <c r="D476" s="151" t="s">
        <v>448</v>
      </c>
      <c r="E476" s="100" t="s">
        <v>449</v>
      </c>
      <c r="F476" s="165"/>
      <c r="G476" s="121" t="s">
        <v>19</v>
      </c>
      <c r="H476" s="122">
        <v>16.440000000000001</v>
      </c>
      <c r="L476" s="163"/>
    </row>
    <row r="477" spans="1:12" ht="26">
      <c r="A477" s="230"/>
      <c r="B477" s="191"/>
      <c r="C477" s="120"/>
      <c r="D477" s="151"/>
      <c r="E477" s="127" t="s">
        <v>450</v>
      </c>
      <c r="F477" s="171">
        <f>2*(137)*0.06</f>
        <v>16.439999999999998</v>
      </c>
      <c r="G477" s="121"/>
      <c r="H477" s="122"/>
      <c r="L477" s="163"/>
    </row>
    <row r="478" spans="1:12">
      <c r="A478" s="230"/>
      <c r="B478" s="191"/>
      <c r="C478" s="120"/>
      <c r="D478" s="151"/>
      <c r="E478" s="127"/>
      <c r="F478" s="171"/>
      <c r="G478" s="121"/>
      <c r="H478" s="122"/>
      <c r="L478" s="163"/>
    </row>
    <row r="479" spans="1:12" ht="26">
      <c r="A479" s="101">
        <f>MAX(A$1:A478)+1</f>
        <v>66</v>
      </c>
      <c r="B479" s="108"/>
      <c r="C479" s="109" t="s">
        <v>451</v>
      </c>
      <c r="D479" s="110"/>
      <c r="E479" s="103" t="s">
        <v>452</v>
      </c>
      <c r="F479" s="203"/>
      <c r="G479" s="112" t="s">
        <v>19</v>
      </c>
      <c r="H479" s="113">
        <v>421.67</v>
      </c>
      <c r="I479" s="204"/>
      <c r="L479" s="163"/>
    </row>
    <row r="480" spans="1:12" ht="25">
      <c r="A480" s="176"/>
      <c r="B480" s="191"/>
      <c r="C480" s="120"/>
      <c r="D480" s="151" t="s">
        <v>453</v>
      </c>
      <c r="E480" s="100" t="s">
        <v>454</v>
      </c>
      <c r="F480" s="248"/>
      <c r="G480" s="121" t="s">
        <v>19</v>
      </c>
      <c r="H480" s="122">
        <v>421.67</v>
      </c>
      <c r="L480" s="163"/>
    </row>
    <row r="481" spans="1:12" ht="26">
      <c r="A481" s="322"/>
      <c r="B481" s="191"/>
      <c r="C481" s="120"/>
      <c r="D481" s="151"/>
      <c r="E481" s="127" t="s">
        <v>455</v>
      </c>
      <c r="F481" s="165">
        <f>62.5*11.75*0.04</f>
        <v>29.375</v>
      </c>
      <c r="G481" s="121"/>
      <c r="H481" s="122"/>
      <c r="L481" s="163"/>
    </row>
    <row r="482" spans="1:12" ht="26">
      <c r="A482" s="322"/>
      <c r="B482" s="191"/>
      <c r="C482" s="120"/>
      <c r="D482" s="151"/>
      <c r="E482" s="127" t="s">
        <v>456</v>
      </c>
      <c r="F482" s="185">
        <f>2*137+2.5*7.6+4.2*7.6+2*50*(11.75+0.5)*0.05*1.1</f>
        <v>392.29500000000002</v>
      </c>
      <c r="G482" s="121"/>
      <c r="H482" s="122"/>
      <c r="L482" s="163"/>
    </row>
    <row r="483" spans="1:12">
      <c r="A483" s="322"/>
      <c r="B483" s="191"/>
      <c r="C483" s="120"/>
      <c r="D483" s="151"/>
      <c r="E483" s="127"/>
      <c r="F483" s="165">
        <f>SUM(F481:F482)</f>
        <v>421.67</v>
      </c>
      <c r="G483" s="121"/>
      <c r="H483" s="122"/>
      <c r="L483" s="163"/>
    </row>
    <row r="484" spans="1:12">
      <c r="A484" s="322"/>
      <c r="B484" s="191"/>
      <c r="C484" s="120"/>
      <c r="D484" s="151"/>
      <c r="E484" s="127"/>
      <c r="F484" s="165"/>
      <c r="G484" s="121"/>
      <c r="H484" s="122"/>
      <c r="L484" s="163"/>
    </row>
    <row r="485" spans="1:12" ht="26">
      <c r="A485" s="101">
        <f>MAX(A$1:A484)+1</f>
        <v>67</v>
      </c>
      <c r="B485" s="108"/>
      <c r="C485" s="109" t="s">
        <v>39</v>
      </c>
      <c r="D485" s="110"/>
      <c r="E485" s="103" t="s">
        <v>40</v>
      </c>
      <c r="F485" s="361"/>
      <c r="G485" s="112" t="s">
        <v>19</v>
      </c>
      <c r="H485" s="113">
        <v>0.94</v>
      </c>
      <c r="I485" s="210"/>
      <c r="L485" s="163"/>
    </row>
    <row r="486" spans="1:12" ht="25">
      <c r="A486" s="322"/>
      <c r="B486" s="191"/>
      <c r="C486" s="120"/>
      <c r="D486" s="151" t="s">
        <v>457</v>
      </c>
      <c r="E486" s="100" t="s">
        <v>458</v>
      </c>
      <c r="F486" s="165"/>
      <c r="G486" s="121" t="s">
        <v>19</v>
      </c>
      <c r="H486" s="122">
        <v>0.94</v>
      </c>
      <c r="L486" s="163"/>
    </row>
    <row r="487" spans="1:12">
      <c r="A487" s="322"/>
      <c r="B487" s="191"/>
      <c r="C487" s="120"/>
      <c r="D487" s="151"/>
      <c r="E487" s="127" t="s">
        <v>459</v>
      </c>
      <c r="F487" s="165">
        <f xml:space="preserve"> ((62.5+2*13.8)*0.1*+(11*0.4*0.5)+6*0.4*0.4)*0.045</f>
        <v>0.93519000000000008</v>
      </c>
      <c r="G487" s="121"/>
      <c r="H487" s="122"/>
      <c r="L487" s="163"/>
    </row>
    <row r="488" spans="1:12">
      <c r="A488" s="254"/>
      <c r="B488" s="231"/>
      <c r="C488" s="231"/>
      <c r="D488" s="233"/>
      <c r="E488" s="268"/>
      <c r="F488" s="165"/>
      <c r="G488" s="236"/>
      <c r="H488" s="170"/>
      <c r="L488" s="163"/>
    </row>
    <row r="489" spans="1:12" ht="26">
      <c r="A489" s="101">
        <f>MAX(A$1:A488)+1</f>
        <v>68</v>
      </c>
      <c r="B489" s="161"/>
      <c r="C489" s="138" t="s">
        <v>460</v>
      </c>
      <c r="D489" s="139"/>
      <c r="E489" s="140" t="s">
        <v>461</v>
      </c>
      <c r="F489" s="141"/>
      <c r="G489" s="142" t="s">
        <v>19</v>
      </c>
      <c r="H489" s="162">
        <v>36.35</v>
      </c>
      <c r="I489" s="210"/>
      <c r="L489" s="163"/>
    </row>
    <row r="490" spans="1:12" ht="25">
      <c r="A490" s="164"/>
      <c r="B490" s="193"/>
      <c r="C490" s="194"/>
      <c r="D490" s="186" t="s">
        <v>462</v>
      </c>
      <c r="E490" s="187" t="s">
        <v>463</v>
      </c>
      <c r="F490" s="188"/>
      <c r="G490" s="189" t="s">
        <v>19</v>
      </c>
      <c r="H490" s="242">
        <v>36.35</v>
      </c>
      <c r="L490" s="163"/>
    </row>
    <row r="491" spans="1:12">
      <c r="A491" s="254"/>
      <c r="B491" s="231"/>
      <c r="C491" s="231"/>
      <c r="D491" s="233"/>
      <c r="E491" s="258" t="s">
        <v>464</v>
      </c>
      <c r="F491" s="165">
        <f>62.5*11.75*0.045*1.1</f>
        <v>36.3515625</v>
      </c>
      <c r="G491" s="236"/>
      <c r="H491" s="170"/>
      <c r="L491" s="163"/>
    </row>
    <row r="492" spans="1:12">
      <c r="A492" s="254"/>
      <c r="B492" s="231"/>
      <c r="C492" s="231"/>
      <c r="D492" s="233"/>
      <c r="E492" s="258"/>
      <c r="F492" s="165"/>
      <c r="G492" s="236"/>
      <c r="H492" s="170"/>
      <c r="L492" s="163"/>
    </row>
    <row r="493" spans="1:12" ht="26">
      <c r="A493" s="101">
        <f>MAX(A$1:A492)+1</f>
        <v>69</v>
      </c>
      <c r="B493" s="161"/>
      <c r="C493" s="138" t="s">
        <v>91</v>
      </c>
      <c r="D493" s="139"/>
      <c r="E493" s="140" t="s">
        <v>465</v>
      </c>
      <c r="F493" s="141"/>
      <c r="G493" s="142" t="s">
        <v>16</v>
      </c>
      <c r="H493" s="162">
        <v>638.70000000000005</v>
      </c>
      <c r="I493" s="204"/>
      <c r="L493" s="163"/>
    </row>
    <row r="494" spans="1:12" ht="25">
      <c r="A494" s="164"/>
      <c r="B494" s="161"/>
      <c r="C494" s="138"/>
      <c r="D494" s="186" t="s">
        <v>466</v>
      </c>
      <c r="E494" s="187" t="s">
        <v>467</v>
      </c>
      <c r="F494" s="188"/>
      <c r="G494" s="189" t="s">
        <v>16</v>
      </c>
      <c r="H494" s="196">
        <v>198.2</v>
      </c>
      <c r="L494" s="163"/>
    </row>
    <row r="495" spans="1:12">
      <c r="A495" s="164"/>
      <c r="B495" s="161"/>
      <c r="C495" s="138"/>
      <c r="D495" s="186"/>
      <c r="E495" s="147" t="s">
        <v>468</v>
      </c>
      <c r="F495" s="128">
        <f>69+65</f>
        <v>134</v>
      </c>
      <c r="G495" s="189"/>
      <c r="H495" s="170"/>
      <c r="L495" s="163"/>
    </row>
    <row r="496" spans="1:12">
      <c r="A496" s="164"/>
      <c r="B496" s="161"/>
      <c r="C496" s="138"/>
      <c r="D496" s="186"/>
      <c r="E496" s="147" t="s">
        <v>469</v>
      </c>
      <c r="F496" s="363">
        <f>2*(16.1+16)</f>
        <v>64.2</v>
      </c>
      <c r="G496" s="189"/>
      <c r="H496" s="170"/>
      <c r="L496" s="163"/>
    </row>
    <row r="497" spans="1:12">
      <c r="A497" s="164"/>
      <c r="B497" s="161"/>
      <c r="C497" s="138"/>
      <c r="D497" s="186"/>
      <c r="E497" s="187"/>
      <c r="F497" s="128">
        <f>SUM(F495:F496)</f>
        <v>198.2</v>
      </c>
      <c r="G497" s="189"/>
      <c r="H497" s="170"/>
      <c r="L497" s="163"/>
    </row>
    <row r="498" spans="1:12" ht="25">
      <c r="A498" s="164"/>
      <c r="B498" s="161"/>
      <c r="C498" s="138"/>
      <c r="D498" s="186" t="s">
        <v>92</v>
      </c>
      <c r="E498" s="187" t="s">
        <v>470</v>
      </c>
      <c r="F498" s="188"/>
      <c r="G498" s="189" t="s">
        <v>16</v>
      </c>
      <c r="H498" s="242">
        <v>440.5</v>
      </c>
      <c r="L498" s="163"/>
    </row>
    <row r="499" spans="1:12" ht="39">
      <c r="A499" s="346"/>
      <c r="B499" s="161"/>
      <c r="C499" s="138"/>
      <c r="D499" s="186"/>
      <c r="E499" s="127" t="s">
        <v>471</v>
      </c>
      <c r="F499" s="287">
        <f>(63.2-0.74)+(9+4.2+2*50+10.5+2.5)+4*(11.75+2*0.25)</f>
        <v>237.66</v>
      </c>
      <c r="G499" s="189"/>
      <c r="H499" s="242"/>
      <c r="L499" s="163"/>
    </row>
    <row r="500" spans="1:12" ht="39">
      <c r="A500" s="346"/>
      <c r="B500" s="161"/>
      <c r="C500" s="138"/>
      <c r="D500" s="186"/>
      <c r="E500" s="147" t="s">
        <v>472</v>
      </c>
      <c r="F500" s="128">
        <f>69+65</f>
        <v>134</v>
      </c>
      <c r="G500" s="189"/>
      <c r="H500" s="170"/>
      <c r="L500" s="163"/>
    </row>
    <row r="501" spans="1:12" ht="39">
      <c r="A501" s="254"/>
      <c r="B501" s="231"/>
      <c r="C501" s="231"/>
      <c r="D501" s="233"/>
      <c r="E501" s="258" t="s">
        <v>473</v>
      </c>
      <c r="F501" s="301">
        <f>12*1.71+12*0.91</f>
        <v>31.439999999999998</v>
      </c>
      <c r="G501" s="236"/>
      <c r="H501" s="170"/>
      <c r="L501" s="163"/>
    </row>
    <row r="502" spans="1:12" ht="26">
      <c r="A502" s="254"/>
      <c r="B502" s="231"/>
      <c r="C502" s="231"/>
      <c r="D502" s="233"/>
      <c r="E502" s="127" t="s">
        <v>474</v>
      </c>
      <c r="F502" s="185">
        <f>11.45+13*0.15+2*12</f>
        <v>37.4</v>
      </c>
      <c r="G502" s="236"/>
      <c r="H502" s="170"/>
      <c r="L502" s="163"/>
    </row>
    <row r="503" spans="1:12">
      <c r="A503" s="254"/>
      <c r="B503" s="231"/>
      <c r="C503" s="231"/>
      <c r="D503" s="233"/>
      <c r="E503" s="252"/>
      <c r="F503" s="269">
        <f>SUM(F499:F502)</f>
        <v>440.49999999999994</v>
      </c>
      <c r="G503" s="236"/>
      <c r="H503" s="170"/>
      <c r="L503" s="163"/>
    </row>
    <row r="504" spans="1:12">
      <c r="A504" s="254"/>
      <c r="B504" s="231"/>
      <c r="C504" s="231"/>
      <c r="D504" s="233"/>
      <c r="E504" s="252"/>
      <c r="F504" s="269"/>
      <c r="G504" s="236"/>
      <c r="H504" s="170"/>
      <c r="L504" s="163"/>
    </row>
    <row r="505" spans="1:12">
      <c r="A505" s="101">
        <f>MAX(A$1:A504)+1</f>
        <v>70</v>
      </c>
      <c r="B505" s="191"/>
      <c r="C505" s="109" t="s">
        <v>475</v>
      </c>
      <c r="D505" s="110"/>
      <c r="E505" s="103" t="s">
        <v>476</v>
      </c>
      <c r="F505" s="111"/>
      <c r="G505" s="112" t="s">
        <v>16</v>
      </c>
      <c r="H505" s="104">
        <v>20</v>
      </c>
      <c r="I505" s="210"/>
      <c r="L505" s="163"/>
    </row>
    <row r="506" spans="1:12">
      <c r="A506" s="346"/>
      <c r="B506" s="191"/>
      <c r="C506" s="109"/>
      <c r="D506" s="151" t="s">
        <v>477</v>
      </c>
      <c r="E506" s="100" t="s">
        <v>478</v>
      </c>
      <c r="F506" s="111"/>
      <c r="G506" s="121" t="s">
        <v>16</v>
      </c>
      <c r="H506" s="226">
        <v>20</v>
      </c>
      <c r="I506" s="210"/>
      <c r="L506" s="163"/>
    </row>
    <row r="507" spans="1:12" ht="39">
      <c r="A507" s="101"/>
      <c r="B507" s="108"/>
      <c r="C507" s="109"/>
      <c r="D507" s="110"/>
      <c r="E507" s="127" t="s">
        <v>479</v>
      </c>
      <c r="F507" s="128">
        <v>12</v>
      </c>
      <c r="G507" s="112"/>
      <c r="H507" s="97"/>
      <c r="I507" s="210"/>
      <c r="L507" s="163"/>
    </row>
    <row r="508" spans="1:12" ht="26">
      <c r="A508" s="101"/>
      <c r="B508" s="108"/>
      <c r="C508" s="109"/>
      <c r="D508" s="110"/>
      <c r="E508" s="127" t="s">
        <v>480</v>
      </c>
      <c r="F508" s="135">
        <v>8</v>
      </c>
      <c r="G508" s="112"/>
      <c r="H508" s="97"/>
      <c r="I508" s="210"/>
      <c r="L508" s="163"/>
    </row>
    <row r="509" spans="1:12">
      <c r="A509" s="217"/>
      <c r="B509" s="108"/>
      <c r="C509" s="109"/>
      <c r="D509" s="110"/>
      <c r="E509" s="127"/>
      <c r="F509" s="328">
        <f>SUM(F507:F508)</f>
        <v>20</v>
      </c>
      <c r="G509" s="112"/>
      <c r="H509" s="97"/>
      <c r="I509" s="210"/>
      <c r="L509" s="163"/>
    </row>
    <row r="510" spans="1:12">
      <c r="A510" s="217"/>
      <c r="B510" s="108"/>
      <c r="C510" s="109"/>
      <c r="D510" s="110"/>
      <c r="E510" s="127"/>
      <c r="F510" s="328"/>
      <c r="G510" s="112"/>
      <c r="H510" s="97"/>
      <c r="I510" s="210"/>
      <c r="L510" s="163"/>
    </row>
    <row r="511" spans="1:12" ht="26">
      <c r="A511" s="101">
        <f>MAX(A$1:A509)+1</f>
        <v>71</v>
      </c>
      <c r="B511" s="161"/>
      <c r="C511" s="138" t="s">
        <v>481</v>
      </c>
      <c r="D511" s="139"/>
      <c r="E511" s="140" t="s">
        <v>482</v>
      </c>
      <c r="F511" s="141"/>
      <c r="G511" s="142" t="s">
        <v>12</v>
      </c>
      <c r="H511" s="190">
        <v>20</v>
      </c>
      <c r="I511" s="210"/>
      <c r="L511" s="163"/>
    </row>
    <row r="512" spans="1:12" ht="26">
      <c r="A512" s="217"/>
      <c r="B512" s="108"/>
      <c r="C512" s="109"/>
      <c r="D512" s="110"/>
      <c r="E512" s="127" t="s">
        <v>483</v>
      </c>
      <c r="F512" s="128">
        <v>10</v>
      </c>
      <c r="G512" s="112"/>
      <c r="H512" s="97"/>
      <c r="I512" s="210"/>
      <c r="L512" s="163"/>
    </row>
    <row r="513" spans="1:12" ht="26">
      <c r="A513" s="217"/>
      <c r="B513" s="108"/>
      <c r="C513" s="109"/>
      <c r="D513" s="110"/>
      <c r="E513" s="127" t="s">
        <v>484</v>
      </c>
      <c r="F513" s="135">
        <v>10</v>
      </c>
      <c r="G513" s="112"/>
      <c r="H513" s="97"/>
      <c r="I513" s="210"/>
      <c r="L513" s="163"/>
    </row>
    <row r="514" spans="1:12">
      <c r="A514" s="217"/>
      <c r="B514" s="108"/>
      <c r="C514" s="109"/>
      <c r="D514" s="110"/>
      <c r="E514" s="127"/>
      <c r="F514" s="328">
        <f>SUM(F512:F513)</f>
        <v>20</v>
      </c>
      <c r="G514" s="112"/>
      <c r="H514" s="97"/>
      <c r="I514" s="210"/>
      <c r="L514" s="163"/>
    </row>
    <row r="515" spans="1:12">
      <c r="A515" s="254"/>
      <c r="B515" s="231"/>
      <c r="C515" s="231"/>
      <c r="D515" s="233"/>
      <c r="E515" s="252"/>
      <c r="F515" s="364"/>
      <c r="G515" s="236"/>
      <c r="H515" s="170"/>
      <c r="I515" s="210"/>
      <c r="L515" s="163"/>
    </row>
    <row r="516" spans="1:12" ht="26">
      <c r="A516" s="101">
        <f>MAX(A$1:A514)+1</f>
        <v>72</v>
      </c>
      <c r="B516" s="108"/>
      <c r="C516" s="109" t="s">
        <v>485</v>
      </c>
      <c r="D516" s="110"/>
      <c r="E516" s="103" t="s">
        <v>486</v>
      </c>
      <c r="F516" s="111"/>
      <c r="G516" s="112" t="s">
        <v>12</v>
      </c>
      <c r="H516" s="104">
        <v>22</v>
      </c>
      <c r="I516" s="210"/>
      <c r="L516" s="163"/>
    </row>
    <row r="517" spans="1:12">
      <c r="A517" s="322"/>
      <c r="B517" s="119"/>
      <c r="C517" s="110"/>
      <c r="D517" s="151"/>
      <c r="E517" s="127" t="s">
        <v>487</v>
      </c>
      <c r="F517" s="165">
        <v>18</v>
      </c>
      <c r="G517" s="121"/>
      <c r="H517" s="122"/>
      <c r="L517" s="163"/>
    </row>
    <row r="518" spans="1:12">
      <c r="A518" s="322"/>
      <c r="B518" s="119"/>
      <c r="C518" s="110"/>
      <c r="D518" s="151"/>
      <c r="E518" s="127" t="s">
        <v>488</v>
      </c>
      <c r="F518" s="185">
        <v>4</v>
      </c>
      <c r="G518" s="121"/>
      <c r="H518" s="122"/>
      <c r="L518" s="163"/>
    </row>
    <row r="519" spans="1:12">
      <c r="A519" s="322"/>
      <c r="B519" s="119"/>
      <c r="C519" s="110"/>
      <c r="D519" s="151"/>
      <c r="E519" s="127" t="s">
        <v>489</v>
      </c>
      <c r="F519" s="165">
        <f>SUM(F517:F518)</f>
        <v>22</v>
      </c>
      <c r="G519" s="121"/>
      <c r="H519" s="122"/>
      <c r="L519" s="163"/>
    </row>
    <row r="520" spans="1:12">
      <c r="A520" s="322"/>
      <c r="B520" s="119"/>
      <c r="C520" s="110"/>
      <c r="D520" s="151"/>
      <c r="E520" s="127"/>
      <c r="F520" s="165"/>
      <c r="G520" s="121"/>
      <c r="H520" s="122"/>
      <c r="L520" s="163"/>
    </row>
    <row r="521" spans="1:12">
      <c r="A521" s="322"/>
      <c r="B521" s="119"/>
      <c r="C521" s="110"/>
      <c r="D521" s="151"/>
      <c r="E521" s="127"/>
      <c r="F521" s="165"/>
      <c r="G521" s="121"/>
      <c r="H521" s="122"/>
      <c r="L521" s="163"/>
    </row>
    <row r="522" spans="1:12" ht="26">
      <c r="A522" s="101">
        <f>MAX(A$1:A520)+1</f>
        <v>73</v>
      </c>
      <c r="B522" s="119"/>
      <c r="C522" s="138" t="s">
        <v>64</v>
      </c>
      <c r="D522" s="139"/>
      <c r="E522" s="140" t="s">
        <v>490</v>
      </c>
      <c r="F522" s="141"/>
      <c r="G522" s="142" t="s">
        <v>12</v>
      </c>
      <c r="H522" s="365">
        <v>11</v>
      </c>
      <c r="I522" s="204"/>
      <c r="L522" s="163"/>
    </row>
    <row r="523" spans="1:12" ht="25">
      <c r="A523" s="322"/>
      <c r="B523" s="119"/>
      <c r="C523" s="194"/>
      <c r="D523" s="186" t="s">
        <v>65</v>
      </c>
      <c r="E523" s="187" t="s">
        <v>491</v>
      </c>
      <c r="F523" s="188"/>
      <c r="G523" s="189" t="s">
        <v>12</v>
      </c>
      <c r="H523" s="122">
        <v>11</v>
      </c>
      <c r="L523" s="163"/>
    </row>
    <row r="524" spans="1:12" ht="26">
      <c r="A524" s="322"/>
      <c r="B524" s="119"/>
      <c r="C524" s="194"/>
      <c r="D524" s="186"/>
      <c r="E524" s="127" t="s">
        <v>492</v>
      </c>
      <c r="F524" s="165">
        <v>1</v>
      </c>
      <c r="G524" s="189"/>
      <c r="H524" s="122"/>
      <c r="L524" s="163"/>
    </row>
    <row r="525" spans="1:12" ht="39">
      <c r="A525" s="322"/>
      <c r="B525" s="119"/>
      <c r="C525" s="194"/>
      <c r="D525" s="186"/>
      <c r="E525" s="127" t="s">
        <v>493</v>
      </c>
      <c r="F525" s="165">
        <f>2</f>
        <v>2</v>
      </c>
      <c r="G525" s="189"/>
      <c r="H525" s="122"/>
      <c r="L525" s="163"/>
    </row>
    <row r="526" spans="1:12" ht="26">
      <c r="A526" s="322"/>
      <c r="B526" s="119"/>
      <c r="C526" s="194"/>
      <c r="D526" s="186"/>
      <c r="E526" s="127" t="s">
        <v>494</v>
      </c>
      <c r="F526" s="185">
        <v>4</v>
      </c>
      <c r="G526" s="189"/>
      <c r="H526" s="122"/>
      <c r="L526" s="163"/>
    </row>
    <row r="527" spans="1:12">
      <c r="A527" s="322"/>
      <c r="B527" s="119"/>
      <c r="C527" s="194"/>
      <c r="D527" s="186"/>
      <c r="E527" s="187"/>
      <c r="F527" s="247">
        <f>SUM(F524:F526)</f>
        <v>7</v>
      </c>
      <c r="G527" s="189"/>
      <c r="H527" s="122"/>
      <c r="L527" s="163"/>
    </row>
    <row r="528" spans="1:12">
      <c r="A528" s="322"/>
      <c r="B528" s="119"/>
      <c r="C528" s="194"/>
      <c r="D528" s="186"/>
      <c r="E528" s="187"/>
      <c r="F528" s="247"/>
      <c r="G528" s="189"/>
      <c r="H528" s="122"/>
      <c r="L528" s="163"/>
    </row>
    <row r="529" spans="1:12" ht="26">
      <c r="A529" s="322"/>
      <c r="B529" s="119"/>
      <c r="C529" s="194"/>
      <c r="D529" s="186"/>
      <c r="E529" s="127" t="s">
        <v>666</v>
      </c>
      <c r="F529" s="128">
        <v>4</v>
      </c>
      <c r="G529" s="189"/>
      <c r="H529" s="122"/>
      <c r="L529" s="163"/>
    </row>
    <row r="530" spans="1:12">
      <c r="A530" s="322"/>
      <c r="B530" s="119"/>
      <c r="C530" s="194"/>
      <c r="D530" s="186"/>
      <c r="E530" s="207" t="s">
        <v>163</v>
      </c>
      <c r="F530" s="366">
        <f>F527+F529</f>
        <v>11</v>
      </c>
      <c r="G530" s="189"/>
      <c r="H530" s="122"/>
      <c r="L530" s="163"/>
    </row>
    <row r="531" spans="1:12">
      <c r="A531" s="322"/>
      <c r="B531" s="119"/>
      <c r="C531" s="194"/>
      <c r="D531" s="186"/>
      <c r="E531" s="187"/>
      <c r="F531" s="188"/>
      <c r="G531" s="189"/>
      <c r="H531" s="122"/>
      <c r="L531" s="163"/>
    </row>
    <row r="532" spans="1:12">
      <c r="A532" s="101">
        <f>MAX(A$1:A531)+1</f>
        <v>74</v>
      </c>
      <c r="B532" s="161"/>
      <c r="C532" s="138" t="s">
        <v>495</v>
      </c>
      <c r="D532" s="139"/>
      <c r="E532" s="140" t="s">
        <v>496</v>
      </c>
      <c r="F532" s="141"/>
      <c r="G532" s="142" t="s">
        <v>16</v>
      </c>
      <c r="H532" s="190">
        <v>25</v>
      </c>
      <c r="I532" s="210"/>
      <c r="L532" s="163"/>
    </row>
    <row r="533" spans="1:12">
      <c r="A533" s="164"/>
      <c r="B533" s="193"/>
      <c r="C533" s="194"/>
      <c r="D533" s="186" t="s">
        <v>497</v>
      </c>
      <c r="E533" s="187" t="s">
        <v>498</v>
      </c>
      <c r="F533" s="188"/>
      <c r="G533" s="189" t="s">
        <v>16</v>
      </c>
      <c r="H533" s="196">
        <v>25</v>
      </c>
      <c r="I533" s="210"/>
      <c r="L533" s="163"/>
    </row>
    <row r="534" spans="1:12" ht="26">
      <c r="A534" s="254"/>
      <c r="B534" s="231"/>
      <c r="C534" s="231"/>
      <c r="D534" s="233"/>
      <c r="E534" s="264" t="s">
        <v>499</v>
      </c>
      <c r="F534" s="128">
        <f>2*8+2*4.5</f>
        <v>25</v>
      </c>
      <c r="G534" s="236"/>
      <c r="H534" s="170"/>
      <c r="I534" s="210"/>
      <c r="L534" s="163"/>
    </row>
    <row r="535" spans="1:12">
      <c r="A535" s="254"/>
      <c r="B535" s="231"/>
      <c r="C535" s="231"/>
      <c r="D535" s="233"/>
      <c r="E535" s="285"/>
      <c r="F535" s="128"/>
      <c r="G535" s="236"/>
      <c r="H535" s="170"/>
      <c r="I535" s="210"/>
      <c r="L535" s="163"/>
    </row>
    <row r="536" spans="1:12">
      <c r="A536" s="101">
        <f>MAX(A$1:A535)+1</f>
        <v>75</v>
      </c>
      <c r="B536" s="191"/>
      <c r="C536" s="109" t="s">
        <v>500</v>
      </c>
      <c r="D536" s="110"/>
      <c r="E536" s="103" t="s">
        <v>501</v>
      </c>
      <c r="F536" s="103"/>
      <c r="G536" s="112" t="s">
        <v>16</v>
      </c>
      <c r="H536" s="104">
        <v>71.72</v>
      </c>
      <c r="I536" s="210"/>
      <c r="L536" s="163"/>
    </row>
    <row r="537" spans="1:12" ht="25">
      <c r="A537" s="176"/>
      <c r="B537" s="191"/>
      <c r="C537" s="120"/>
      <c r="D537" s="151" t="s">
        <v>502</v>
      </c>
      <c r="E537" s="100" t="s">
        <v>503</v>
      </c>
      <c r="F537" s="100"/>
      <c r="G537" s="121" t="s">
        <v>16</v>
      </c>
      <c r="H537" s="97">
        <v>71.72</v>
      </c>
      <c r="L537" s="163"/>
    </row>
    <row r="538" spans="1:12" ht="26">
      <c r="A538" s="176"/>
      <c r="B538" s="191"/>
      <c r="C538" s="120"/>
      <c r="D538" s="151"/>
      <c r="E538" s="367" t="s">
        <v>711</v>
      </c>
      <c r="F538" s="165">
        <f xml:space="preserve"> (20.8+20.3)*1.2</f>
        <v>49.32</v>
      </c>
      <c r="G538" s="121"/>
      <c r="H538" s="97"/>
      <c r="L538" s="163"/>
    </row>
    <row r="539" spans="1:12" ht="26">
      <c r="A539" s="176"/>
      <c r="B539" s="191"/>
      <c r="C539" s="120"/>
      <c r="D539" s="151"/>
      <c r="E539" s="368" t="s">
        <v>504</v>
      </c>
      <c r="F539" s="165">
        <f>2*3.2</f>
        <v>6.4</v>
      </c>
      <c r="G539" s="121"/>
      <c r="H539" s="97"/>
      <c r="L539" s="163"/>
    </row>
    <row r="540" spans="1:12" ht="26">
      <c r="A540" s="254"/>
      <c r="B540" s="231"/>
      <c r="C540" s="231"/>
      <c r="D540" s="233"/>
      <c r="E540" s="264" t="s">
        <v>505</v>
      </c>
      <c r="F540" s="185">
        <f>11+5</f>
        <v>16</v>
      </c>
      <c r="G540" s="236"/>
      <c r="H540" s="170"/>
      <c r="L540" s="163"/>
    </row>
    <row r="541" spans="1:12">
      <c r="A541" s="254"/>
      <c r="B541" s="231"/>
      <c r="C541" s="231"/>
      <c r="D541" s="233"/>
      <c r="E541" s="285"/>
      <c r="F541" s="165">
        <f>SUM(F538:F540)</f>
        <v>71.72</v>
      </c>
      <c r="G541" s="236"/>
      <c r="H541" s="170"/>
      <c r="L541" s="163"/>
    </row>
    <row r="542" spans="1:12">
      <c r="A542" s="254"/>
      <c r="B542" s="231"/>
      <c r="C542" s="231"/>
      <c r="D542" s="233"/>
      <c r="E542" s="285"/>
      <c r="F542" s="165"/>
      <c r="G542" s="236"/>
      <c r="H542" s="170"/>
      <c r="L542" s="163"/>
    </row>
    <row r="543" spans="1:12">
      <c r="A543" s="254"/>
      <c r="B543" s="231"/>
      <c r="C543" s="231"/>
      <c r="D543" s="233"/>
      <c r="E543" s="285"/>
      <c r="F543" s="165"/>
      <c r="G543" s="236"/>
      <c r="H543" s="170"/>
      <c r="L543" s="163"/>
    </row>
    <row r="544" spans="1:12" s="354" customFormat="1" ht="26">
      <c r="A544" s="254"/>
      <c r="B544" s="231" t="s">
        <v>506</v>
      </c>
      <c r="C544" s="231"/>
      <c r="D544" s="233"/>
      <c r="E544" s="369" t="s">
        <v>507</v>
      </c>
      <c r="F544" s="255"/>
      <c r="G544" s="236"/>
      <c r="H544" s="170"/>
      <c r="I544" s="163"/>
      <c r="J544" s="167"/>
      <c r="K544" s="163"/>
      <c r="L544" s="163"/>
    </row>
    <row r="545" spans="1:12" s="354" customFormat="1">
      <c r="A545" s="254"/>
      <c r="B545" s="231"/>
      <c r="C545" s="231"/>
      <c r="D545" s="233"/>
      <c r="E545" s="158"/>
      <c r="F545" s="255"/>
      <c r="G545" s="236"/>
      <c r="H545" s="170"/>
      <c r="I545" s="163"/>
      <c r="J545" s="167"/>
      <c r="K545" s="163"/>
      <c r="L545" s="163"/>
    </row>
    <row r="546" spans="1:12" s="163" customFormat="1">
      <c r="A546" s="101">
        <f>MAX(A$1:A545)+1</f>
        <v>76</v>
      </c>
      <c r="B546" s="161"/>
      <c r="C546" s="138" t="s">
        <v>508</v>
      </c>
      <c r="D546" s="139"/>
      <c r="E546" s="140" t="s">
        <v>509</v>
      </c>
      <c r="F546" s="141"/>
      <c r="G546" s="142" t="s">
        <v>19</v>
      </c>
      <c r="H546" s="190">
        <v>42.19</v>
      </c>
      <c r="I546" s="146"/>
      <c r="J546" s="167"/>
    </row>
    <row r="547" spans="1:12" s="354" customFormat="1" ht="26">
      <c r="A547" s="254"/>
      <c r="B547" s="231"/>
      <c r="C547" s="231"/>
      <c r="D547" s="233"/>
      <c r="E547" s="258" t="s">
        <v>510</v>
      </c>
      <c r="F547" s="165">
        <f>2*(137-3.5*11.75)*0.22</f>
        <v>42.185000000000002</v>
      </c>
      <c r="G547" s="236"/>
      <c r="H547" s="170"/>
      <c r="I547" s="146"/>
      <c r="J547" s="167"/>
      <c r="K547" s="163"/>
      <c r="L547" s="163"/>
    </row>
    <row r="548" spans="1:12" s="354" customFormat="1">
      <c r="A548" s="254"/>
      <c r="B548" s="231"/>
      <c r="C548" s="231"/>
      <c r="D548" s="233"/>
      <c r="E548" s="268"/>
      <c r="F548" s="370"/>
      <c r="G548" s="236"/>
      <c r="H548" s="170"/>
      <c r="I548" s="146"/>
      <c r="J548" s="167"/>
      <c r="K548" s="163"/>
      <c r="L548" s="163"/>
    </row>
    <row r="549" spans="1:12" s="163" customFormat="1" ht="26">
      <c r="A549" s="101">
        <f>MAX(A$544:A548)+1</f>
        <v>77</v>
      </c>
      <c r="B549" s="161"/>
      <c r="C549" s="138" t="s">
        <v>511</v>
      </c>
      <c r="D549" s="139"/>
      <c r="E549" s="140" t="s">
        <v>512</v>
      </c>
      <c r="F549" s="141"/>
      <c r="G549" s="142" t="s">
        <v>19</v>
      </c>
      <c r="H549" s="162">
        <v>49.16</v>
      </c>
      <c r="I549" s="146"/>
      <c r="J549" s="167"/>
    </row>
    <row r="550" spans="1:12" s="354" customFormat="1" ht="26">
      <c r="A550" s="254"/>
      <c r="B550" s="231"/>
      <c r="C550" s="231"/>
      <c r="D550" s="233"/>
      <c r="E550" s="258" t="s">
        <v>513</v>
      </c>
      <c r="F550" s="301">
        <f>2*(137-1.2*11.75)*0.2</f>
        <v>49.160000000000004</v>
      </c>
      <c r="G550" s="236"/>
      <c r="H550" s="170"/>
      <c r="I550" s="146"/>
      <c r="J550" s="167"/>
      <c r="K550" s="163"/>
      <c r="L550" s="163"/>
    </row>
    <row r="551" spans="1:12" s="354" customFormat="1">
      <c r="A551" s="254"/>
      <c r="B551" s="231"/>
      <c r="C551" s="231"/>
      <c r="D551" s="233"/>
      <c r="E551" s="268"/>
      <c r="F551" s="370"/>
      <c r="G551" s="236"/>
      <c r="H551" s="170"/>
      <c r="I551" s="146"/>
      <c r="J551" s="167"/>
      <c r="K551" s="163"/>
      <c r="L551" s="163"/>
    </row>
    <row r="552" spans="1:12" s="163" customFormat="1" ht="26">
      <c r="A552" s="101">
        <f>MAX(A$544:A551)+1</f>
        <v>78</v>
      </c>
      <c r="B552" s="161"/>
      <c r="C552" s="138" t="s">
        <v>514</v>
      </c>
      <c r="D552" s="139"/>
      <c r="E552" s="140" t="s">
        <v>515</v>
      </c>
      <c r="F552" s="141"/>
      <c r="G552" s="142" t="s">
        <v>14</v>
      </c>
      <c r="H552" s="162">
        <v>245.8</v>
      </c>
      <c r="I552" s="146"/>
      <c r="J552" s="167"/>
    </row>
    <row r="553" spans="1:12" s="163" customFormat="1" ht="25.5" customHeight="1">
      <c r="A553" s="164"/>
      <c r="B553" s="193"/>
      <c r="C553" s="194"/>
      <c r="D553" s="186" t="s">
        <v>516</v>
      </c>
      <c r="E553" s="187" t="s">
        <v>517</v>
      </c>
      <c r="F553" s="188"/>
      <c r="G553" s="189" t="s">
        <v>14</v>
      </c>
      <c r="H553" s="242">
        <v>245.8</v>
      </c>
      <c r="I553" s="146"/>
      <c r="J553" s="167"/>
    </row>
    <row r="554" spans="1:12" s="354" customFormat="1" ht="26">
      <c r="A554" s="254"/>
      <c r="B554" s="231"/>
      <c r="C554" s="231"/>
      <c r="D554" s="233"/>
      <c r="E554" s="258" t="s">
        <v>518</v>
      </c>
      <c r="F554" s="165">
        <f>2*(137-1.2*11.75)</f>
        <v>245.8</v>
      </c>
      <c r="G554" s="236"/>
      <c r="H554" s="170"/>
      <c r="I554" s="146"/>
      <c r="J554" s="167"/>
      <c r="K554" s="163"/>
      <c r="L554" s="163"/>
    </row>
    <row r="555" spans="1:12" s="354" customFormat="1">
      <c r="A555" s="254"/>
      <c r="B555" s="231"/>
      <c r="C555" s="231"/>
      <c r="D555" s="233"/>
      <c r="E555" s="268"/>
      <c r="F555" s="165"/>
      <c r="G555" s="236"/>
      <c r="H555" s="170"/>
      <c r="I555" s="146"/>
      <c r="J555" s="167"/>
      <c r="K555" s="163"/>
      <c r="L555" s="163"/>
    </row>
    <row r="556" spans="1:12" ht="26">
      <c r="A556" s="101">
        <f>MAX(A$544:A555)+1</f>
        <v>79</v>
      </c>
      <c r="B556" s="108"/>
      <c r="C556" s="138" t="s">
        <v>519</v>
      </c>
      <c r="D556" s="139"/>
      <c r="E556" s="140" t="s">
        <v>520</v>
      </c>
      <c r="F556" s="141"/>
      <c r="G556" s="142" t="s">
        <v>19</v>
      </c>
      <c r="H556" s="113">
        <v>21.79</v>
      </c>
      <c r="I556" s="68"/>
      <c r="L556" s="163"/>
    </row>
    <row r="557" spans="1:12" ht="25">
      <c r="A557" s="322"/>
      <c r="B557" s="191"/>
      <c r="C557" s="194"/>
      <c r="D557" s="186" t="s">
        <v>521</v>
      </c>
      <c r="E557" s="187" t="s">
        <v>522</v>
      </c>
      <c r="F557" s="188"/>
      <c r="G557" s="189" t="s">
        <v>19</v>
      </c>
      <c r="H557" s="122">
        <v>21.79</v>
      </c>
      <c r="L557" s="163"/>
    </row>
    <row r="558" spans="1:12" ht="26">
      <c r="A558" s="230"/>
      <c r="B558" s="191"/>
      <c r="C558" s="120"/>
      <c r="D558" s="151"/>
      <c r="E558" s="127" t="s">
        <v>523</v>
      </c>
      <c r="F558" s="171">
        <f>2*(137-0.07*11.75)*0.08</f>
        <v>21.788400000000003</v>
      </c>
      <c r="G558" s="121"/>
      <c r="H558" s="122"/>
      <c r="L558" s="163"/>
    </row>
    <row r="559" spans="1:12">
      <c r="A559" s="230"/>
      <c r="B559" s="191"/>
      <c r="C559" s="120"/>
      <c r="D559" s="151"/>
      <c r="E559" s="127"/>
      <c r="F559" s="171"/>
      <c r="G559" s="121"/>
      <c r="H559" s="122"/>
      <c r="L559" s="163"/>
    </row>
    <row r="560" spans="1:12">
      <c r="A560" s="230"/>
      <c r="B560" s="191"/>
      <c r="C560" s="120"/>
      <c r="D560" s="151"/>
      <c r="E560" s="127"/>
      <c r="F560" s="171"/>
      <c r="G560" s="121"/>
      <c r="H560" s="122"/>
      <c r="L560" s="163"/>
    </row>
    <row r="561" spans="1:12" ht="26">
      <c r="A561" s="230"/>
      <c r="B561" s="371" t="s">
        <v>524</v>
      </c>
      <c r="C561" s="371"/>
      <c r="D561" s="372"/>
      <c r="E561" s="373" t="s">
        <v>525</v>
      </c>
      <c r="F561" s="171"/>
      <c r="G561" s="121"/>
      <c r="H561" s="122"/>
      <c r="L561" s="163"/>
    </row>
    <row r="562" spans="1:12">
      <c r="A562" s="230"/>
      <c r="B562" s="371"/>
      <c r="C562" s="371"/>
      <c r="D562" s="372"/>
      <c r="E562" s="373"/>
      <c r="F562" s="171"/>
      <c r="G562" s="121"/>
      <c r="H562" s="122"/>
      <c r="L562" s="163"/>
    </row>
    <row r="563" spans="1:12">
      <c r="A563" s="101">
        <f>MAX(A$1:A562)+1</f>
        <v>80</v>
      </c>
      <c r="B563" s="193"/>
      <c r="C563" s="138" t="s">
        <v>526</v>
      </c>
      <c r="D563" s="186"/>
      <c r="E563" s="140" t="s">
        <v>527</v>
      </c>
      <c r="F563" s="188"/>
      <c r="G563" s="142" t="s">
        <v>19</v>
      </c>
      <c r="H563" s="190">
        <v>30.17</v>
      </c>
      <c r="I563" s="204"/>
      <c r="L563" s="163"/>
    </row>
    <row r="564" spans="1:12" ht="25">
      <c r="A564" s="374"/>
      <c r="B564" s="193"/>
      <c r="C564" s="194"/>
      <c r="D564" s="186" t="s">
        <v>528</v>
      </c>
      <c r="E564" s="187" t="s">
        <v>529</v>
      </c>
      <c r="F564" s="188"/>
      <c r="G564" s="189" t="s">
        <v>19</v>
      </c>
      <c r="H564" s="196">
        <v>30.17</v>
      </c>
      <c r="L564" s="163"/>
    </row>
    <row r="565" spans="1:12">
      <c r="A565" s="374"/>
      <c r="B565" s="193"/>
      <c r="C565" s="194"/>
      <c r="D565" s="186"/>
      <c r="E565" s="123" t="s">
        <v>530</v>
      </c>
      <c r="F565" s="284">
        <f>(8+4.5)*2*0.1</f>
        <v>2.5</v>
      </c>
      <c r="G565" s="189"/>
      <c r="H565" s="196"/>
      <c r="L565" s="163"/>
    </row>
    <row r="566" spans="1:12" ht="26">
      <c r="A566" s="322"/>
      <c r="B566" s="191"/>
      <c r="C566" s="120"/>
      <c r="D566" s="151"/>
      <c r="E566" s="375" t="s">
        <v>689</v>
      </c>
      <c r="F566" s="284">
        <f>0.2*11.2*(21.9+18.2)/2*0.1</f>
        <v>4.4911999999999992</v>
      </c>
      <c r="G566" s="121"/>
      <c r="H566" s="97"/>
      <c r="L566" s="163"/>
    </row>
    <row r="567" spans="1:12" ht="26">
      <c r="A567" s="374"/>
      <c r="B567" s="193"/>
      <c r="C567" s="194"/>
      <c r="D567" s="186"/>
      <c r="E567" s="375" t="s">
        <v>690</v>
      </c>
      <c r="F567" s="284">
        <f>0.2*11.2*(21.9+18.2)/2*0.1</f>
        <v>4.4911999999999992</v>
      </c>
      <c r="G567" s="189"/>
      <c r="H567" s="196"/>
      <c r="L567" s="163"/>
    </row>
    <row r="568" spans="1:12" ht="15.5">
      <c r="A568" s="280"/>
      <c r="B568" s="281"/>
      <c r="C568" s="282"/>
      <c r="D568" s="283"/>
      <c r="E568" s="264" t="s">
        <v>709</v>
      </c>
      <c r="F568" s="197">
        <v>9.24</v>
      </c>
      <c r="G568" s="121"/>
      <c r="H568" s="122"/>
      <c r="L568" s="163"/>
    </row>
    <row r="569" spans="1:12" ht="15.5">
      <c r="A569" s="280"/>
      <c r="B569" s="281"/>
      <c r="C569" s="282"/>
      <c r="D569" s="283"/>
      <c r="E569" s="264" t="s">
        <v>710</v>
      </c>
      <c r="F569" s="228">
        <v>9.4499999999999993</v>
      </c>
      <c r="G569" s="121"/>
      <c r="H569" s="122"/>
      <c r="L569" s="163"/>
    </row>
    <row r="570" spans="1:12" ht="15.5">
      <c r="A570" s="280"/>
      <c r="B570" s="281"/>
      <c r="C570" s="282"/>
      <c r="D570" s="283"/>
      <c r="E570" s="268"/>
      <c r="F570" s="197">
        <f>SUM(F565:F569)</f>
        <v>30.1724</v>
      </c>
      <c r="G570" s="121"/>
      <c r="H570" s="122"/>
      <c r="L570" s="163"/>
    </row>
    <row r="571" spans="1:12" ht="15.5">
      <c r="A571" s="376"/>
      <c r="B571" s="281"/>
      <c r="C571" s="282"/>
      <c r="D571" s="283"/>
      <c r="E571" s="268"/>
      <c r="F571" s="197"/>
      <c r="G571" s="121"/>
      <c r="H571" s="122"/>
      <c r="L571" s="163"/>
    </row>
    <row r="572" spans="1:12">
      <c r="A572" s="101">
        <f>MAX(A$1:A571)+1</f>
        <v>81</v>
      </c>
      <c r="B572" s="281"/>
      <c r="C572" s="138" t="s">
        <v>531</v>
      </c>
      <c r="D572" s="139"/>
      <c r="E572" s="140" t="s">
        <v>532</v>
      </c>
      <c r="F572" s="141"/>
      <c r="G572" s="142" t="s">
        <v>14</v>
      </c>
      <c r="H572" s="365">
        <v>177.24</v>
      </c>
      <c r="I572" s="210"/>
      <c r="L572" s="163"/>
    </row>
    <row r="573" spans="1:12">
      <c r="A573" s="376"/>
      <c r="B573" s="281"/>
      <c r="C573" s="194"/>
      <c r="D573" s="186" t="s">
        <v>533</v>
      </c>
      <c r="E573" s="187" t="s">
        <v>534</v>
      </c>
      <c r="F573" s="188"/>
      <c r="G573" s="189" t="s">
        <v>14</v>
      </c>
      <c r="H573" s="122">
        <v>177.24</v>
      </c>
      <c r="I573" s="210"/>
      <c r="L573" s="163"/>
    </row>
    <row r="574" spans="1:12" ht="26">
      <c r="A574" s="376"/>
      <c r="B574" s="281"/>
      <c r="C574" s="194"/>
      <c r="D574" s="186"/>
      <c r="E574" s="123" t="s">
        <v>691</v>
      </c>
      <c r="F574" s="128">
        <f xml:space="preserve"> 0.2*11.2*(25.4+18.8)/2</f>
        <v>49.503999999999998</v>
      </c>
      <c r="G574" s="189"/>
      <c r="H574" s="122"/>
      <c r="I574" s="210"/>
      <c r="L574" s="163"/>
    </row>
    <row r="575" spans="1:12" ht="26">
      <c r="A575" s="376"/>
      <c r="B575" s="281"/>
      <c r="C575" s="194"/>
      <c r="D575" s="186"/>
      <c r="E575" s="211" t="s">
        <v>699</v>
      </c>
      <c r="F575" s="171">
        <f>((40.7+34.7)/2-1.65)*11.2*0.1</f>
        <v>40.376000000000005</v>
      </c>
      <c r="G575" s="189"/>
      <c r="H575" s="122"/>
      <c r="I575" s="210"/>
      <c r="L575" s="163"/>
    </row>
    <row r="576" spans="1:12" ht="26">
      <c r="A576" s="376"/>
      <c r="B576" s="281"/>
      <c r="C576" s="194"/>
      <c r="D576" s="186"/>
      <c r="E576" s="123" t="s">
        <v>692</v>
      </c>
      <c r="F576" s="128">
        <f xml:space="preserve"> 0.2*11.2*(21.9+18.2)/2</f>
        <v>44.911999999999992</v>
      </c>
      <c r="G576" s="189"/>
      <c r="H576" s="122"/>
      <c r="I576" s="210"/>
      <c r="L576" s="163"/>
    </row>
    <row r="577" spans="1:12" ht="26">
      <c r="A577" s="376"/>
      <c r="B577" s="281"/>
      <c r="C577" s="194"/>
      <c r="D577" s="186"/>
      <c r="E577" s="211" t="s">
        <v>700</v>
      </c>
      <c r="F577" s="212">
        <f>((19.5*11.2)+((21.9+18.2)/2-1.65)*11.2)*0.1</f>
        <v>42.448</v>
      </c>
      <c r="G577" s="189"/>
      <c r="H577" s="122"/>
      <c r="I577" s="210"/>
      <c r="L577" s="163"/>
    </row>
    <row r="578" spans="1:12">
      <c r="A578" s="376"/>
      <c r="B578" s="281"/>
      <c r="C578" s="194"/>
      <c r="D578" s="186"/>
      <c r="E578" s="252"/>
      <c r="F578" s="377">
        <f>SUM(F574:F577)</f>
        <v>177.23999999999998</v>
      </c>
      <c r="G578" s="189"/>
      <c r="H578" s="122"/>
      <c r="I578" s="210"/>
      <c r="L578" s="163"/>
    </row>
    <row r="579" spans="1:12">
      <c r="A579" s="376"/>
      <c r="B579" s="281"/>
      <c r="C579" s="194"/>
      <c r="D579" s="186"/>
      <c r="E579" s="187"/>
      <c r="F579" s="188"/>
      <c r="G579" s="189"/>
      <c r="H579" s="122"/>
      <c r="I579" s="210"/>
      <c r="L579" s="163"/>
    </row>
    <row r="580" spans="1:12">
      <c r="A580" s="101">
        <f>MAX(A$544:A579)+1</f>
        <v>82</v>
      </c>
      <c r="B580" s="191"/>
      <c r="C580" s="378" t="s">
        <v>535</v>
      </c>
      <c r="D580" s="379"/>
      <c r="E580" s="380" t="s">
        <v>536</v>
      </c>
      <c r="F580" s="381"/>
      <c r="G580" s="382" t="s">
        <v>12</v>
      </c>
      <c r="H580" s="365">
        <v>2</v>
      </c>
      <c r="I580" s="210"/>
      <c r="L580" s="163"/>
    </row>
    <row r="581" spans="1:12">
      <c r="A581" s="230"/>
      <c r="B581" s="191"/>
      <c r="C581" s="120"/>
      <c r="D581" s="151"/>
      <c r="E581" s="127" t="s">
        <v>537</v>
      </c>
      <c r="F581" s="171">
        <v>2</v>
      </c>
      <c r="G581" s="121"/>
      <c r="H581" s="122"/>
      <c r="L581" s="163"/>
    </row>
    <row r="582" spans="1:12">
      <c r="A582" s="230"/>
      <c r="B582" s="191"/>
      <c r="C582" s="120"/>
      <c r="D582" s="151"/>
      <c r="E582" s="127"/>
      <c r="F582" s="171"/>
      <c r="G582" s="121"/>
      <c r="H582" s="122"/>
      <c r="L582" s="163"/>
    </row>
    <row r="583" spans="1:12" s="354" customFormat="1">
      <c r="A583" s="254"/>
      <c r="B583" s="231"/>
      <c r="C583" s="231"/>
      <c r="D583" s="233"/>
      <c r="E583" s="285"/>
      <c r="F583" s="128"/>
      <c r="G583" s="236"/>
      <c r="H583" s="170"/>
      <c r="I583" s="163"/>
      <c r="J583" s="167"/>
      <c r="K583" s="163"/>
      <c r="L583" s="163"/>
    </row>
    <row r="584" spans="1:12" s="354" customFormat="1">
      <c r="A584" s="230"/>
      <c r="B584" s="231" t="s">
        <v>538</v>
      </c>
      <c r="C584" s="231"/>
      <c r="D584" s="233"/>
      <c r="E584" s="252" t="s">
        <v>539</v>
      </c>
      <c r="F584" s="360"/>
      <c r="G584" s="121"/>
      <c r="H584" s="122"/>
      <c r="I584" s="163"/>
      <c r="J584" s="167"/>
      <c r="K584" s="163"/>
      <c r="L584" s="163"/>
    </row>
    <row r="585" spans="1:12" s="354" customFormat="1">
      <c r="A585" s="176"/>
      <c r="B585" s="191"/>
      <c r="C585" s="120"/>
      <c r="D585" s="151"/>
      <c r="E585" s="100"/>
      <c r="F585" s="165"/>
      <c r="G585" s="121"/>
      <c r="H585" s="122"/>
      <c r="I585" s="163"/>
      <c r="J585" s="167"/>
      <c r="K585" s="163"/>
      <c r="L585" s="163"/>
    </row>
    <row r="586" spans="1:12" s="354" customFormat="1" ht="26">
      <c r="A586" s="101">
        <f>MAX(A$1:A585)+1</f>
        <v>83</v>
      </c>
      <c r="B586" s="108"/>
      <c r="C586" s="109" t="s">
        <v>540</v>
      </c>
      <c r="D586" s="110"/>
      <c r="E586" s="103" t="s">
        <v>541</v>
      </c>
      <c r="F586" s="111"/>
      <c r="G586" s="112" t="s">
        <v>14</v>
      </c>
      <c r="H586" s="104">
        <v>704.1</v>
      </c>
      <c r="I586" s="180"/>
      <c r="J586" s="167"/>
      <c r="K586" s="163"/>
      <c r="L586" s="163"/>
    </row>
    <row r="587" spans="1:12" s="354" customFormat="1" ht="25">
      <c r="A587" s="176"/>
      <c r="B587" s="191"/>
      <c r="C587" s="120"/>
      <c r="D587" s="151" t="s">
        <v>542</v>
      </c>
      <c r="E587" s="100" t="s">
        <v>543</v>
      </c>
      <c r="F587" s="215"/>
      <c r="G587" s="121" t="s">
        <v>14</v>
      </c>
      <c r="H587" s="97">
        <v>574.20000000000005</v>
      </c>
      <c r="I587" s="163"/>
      <c r="J587" s="167"/>
      <c r="K587" s="163"/>
      <c r="L587" s="163"/>
    </row>
    <row r="588" spans="1:12" s="354" customFormat="1">
      <c r="A588" s="176"/>
      <c r="B588" s="191"/>
      <c r="C588" s="120"/>
      <c r="D588" s="151"/>
      <c r="E588" s="127" t="s">
        <v>544</v>
      </c>
      <c r="F588" s="165">
        <f>2*91.5+2*4.2</f>
        <v>191.4</v>
      </c>
      <c r="G588" s="121"/>
      <c r="H588" s="97"/>
      <c r="I588" s="163"/>
      <c r="J588" s="167"/>
      <c r="K588" s="163"/>
      <c r="L588" s="163"/>
    </row>
    <row r="589" spans="1:12" s="354" customFormat="1">
      <c r="A589" s="176"/>
      <c r="B589" s="191"/>
      <c r="C589" s="120"/>
      <c r="D589" s="151"/>
      <c r="E589" s="127" t="s">
        <v>545</v>
      </c>
      <c r="F589" s="185">
        <f>2*F588</f>
        <v>382.8</v>
      </c>
      <c r="G589" s="121"/>
      <c r="H589" s="97"/>
      <c r="I589" s="163"/>
      <c r="J589" s="167"/>
      <c r="K589" s="163"/>
      <c r="L589" s="163"/>
    </row>
    <row r="590" spans="1:12" s="354" customFormat="1">
      <c r="A590" s="176"/>
      <c r="B590" s="191"/>
      <c r="C590" s="120"/>
      <c r="D590" s="151"/>
      <c r="E590" s="100"/>
      <c r="F590" s="165">
        <f>SUM(F588:F589)</f>
        <v>574.20000000000005</v>
      </c>
      <c r="G590" s="121"/>
      <c r="H590" s="97"/>
      <c r="I590" s="163"/>
      <c r="J590" s="167"/>
      <c r="K590" s="163"/>
      <c r="L590" s="163"/>
    </row>
    <row r="591" spans="1:12" s="354" customFormat="1" ht="25">
      <c r="A591" s="176"/>
      <c r="B591" s="191"/>
      <c r="C591" s="120"/>
      <c r="D591" s="151" t="s">
        <v>546</v>
      </c>
      <c r="E591" s="100" t="s">
        <v>547</v>
      </c>
      <c r="F591" s="215"/>
      <c r="G591" s="121" t="s">
        <v>14</v>
      </c>
      <c r="H591" s="97">
        <v>129.9</v>
      </c>
      <c r="I591" s="163"/>
      <c r="J591" s="167"/>
      <c r="K591" s="163"/>
      <c r="L591" s="163"/>
    </row>
    <row r="592" spans="1:12" s="354" customFormat="1">
      <c r="A592" s="176"/>
      <c r="B592" s="191"/>
      <c r="C592" s="120"/>
      <c r="D592" s="151"/>
      <c r="E592" s="127" t="s">
        <v>548</v>
      </c>
      <c r="F592" s="165">
        <f>9.8+11+11.3+11.2</f>
        <v>43.3</v>
      </c>
      <c r="G592" s="121"/>
      <c r="H592" s="97"/>
      <c r="I592" s="163"/>
      <c r="J592" s="167"/>
      <c r="K592" s="163"/>
      <c r="L592" s="163"/>
    </row>
    <row r="593" spans="1:12" s="354" customFormat="1">
      <c r="A593" s="176"/>
      <c r="B593" s="191"/>
      <c r="C593" s="120"/>
      <c r="D593" s="151"/>
      <c r="E593" s="127" t="s">
        <v>549</v>
      </c>
      <c r="F593" s="185">
        <f>2*43.3</f>
        <v>86.6</v>
      </c>
      <c r="G593" s="121"/>
      <c r="H593" s="97"/>
      <c r="I593" s="163"/>
      <c r="J593" s="167"/>
      <c r="K593" s="163"/>
      <c r="L593" s="163"/>
    </row>
    <row r="594" spans="1:12" s="354" customFormat="1">
      <c r="A594" s="176"/>
      <c r="B594" s="191"/>
      <c r="C594" s="120"/>
      <c r="D594" s="151"/>
      <c r="E594" s="100"/>
      <c r="F594" s="165">
        <f>SUM(F592:F593)</f>
        <v>129.89999999999998</v>
      </c>
      <c r="G594" s="121"/>
      <c r="H594" s="97"/>
      <c r="I594" s="163"/>
      <c r="J594" s="167"/>
      <c r="K594" s="163"/>
      <c r="L594" s="163"/>
    </row>
    <row r="595" spans="1:12" s="354" customFormat="1">
      <c r="A595" s="176"/>
      <c r="B595" s="126"/>
      <c r="C595" s="120"/>
      <c r="D595" s="151"/>
      <c r="E595" s="100"/>
      <c r="F595" s="165"/>
      <c r="G595" s="121"/>
      <c r="H595" s="122"/>
      <c r="I595" s="163"/>
      <c r="J595" s="167"/>
      <c r="K595" s="163"/>
      <c r="L595" s="163"/>
    </row>
    <row r="596" spans="1:12" s="354" customFormat="1">
      <c r="A596" s="101">
        <f>MAX(A$1:A595)+1</f>
        <v>84</v>
      </c>
      <c r="B596" s="332"/>
      <c r="C596" s="109" t="s">
        <v>550</v>
      </c>
      <c r="D596" s="110"/>
      <c r="E596" s="103" t="s">
        <v>24</v>
      </c>
      <c r="F596" s="152"/>
      <c r="G596" s="112" t="s">
        <v>14</v>
      </c>
      <c r="H596" s="113">
        <v>1050.94</v>
      </c>
      <c r="I596" s="146"/>
      <c r="J596" s="167"/>
      <c r="K596" s="163"/>
      <c r="L596" s="163"/>
    </row>
    <row r="597" spans="1:12" s="354" customFormat="1" ht="25">
      <c r="A597" s="182"/>
      <c r="B597" s="333"/>
      <c r="C597" s="120"/>
      <c r="D597" s="151" t="s">
        <v>551</v>
      </c>
      <c r="E597" s="100" t="s">
        <v>552</v>
      </c>
      <c r="F597" s="184"/>
      <c r="G597" s="121" t="s">
        <v>14</v>
      </c>
      <c r="H597" s="122">
        <v>1050.94</v>
      </c>
      <c r="I597" s="146"/>
      <c r="J597" s="167"/>
      <c r="K597" s="163"/>
      <c r="L597" s="163"/>
    </row>
    <row r="598" spans="1:12" s="354" customFormat="1">
      <c r="A598" s="182"/>
      <c r="B598" s="333"/>
      <c r="C598" s="120"/>
      <c r="D598" s="151"/>
      <c r="E598" s="123" t="s">
        <v>553</v>
      </c>
      <c r="F598" s="148">
        <f>2*16.2*1.1</f>
        <v>35.64</v>
      </c>
      <c r="G598" s="121"/>
      <c r="H598" s="122"/>
      <c r="I598" s="146"/>
      <c r="J598" s="167"/>
      <c r="K598" s="163"/>
      <c r="L598" s="163"/>
    </row>
    <row r="599" spans="1:12" s="354" customFormat="1">
      <c r="A599" s="230"/>
      <c r="B599" s="191"/>
      <c r="C599" s="120"/>
      <c r="D599" s="151"/>
      <c r="E599" s="383" t="s">
        <v>554</v>
      </c>
      <c r="F599" s="165"/>
      <c r="G599" s="121"/>
      <c r="H599" s="122"/>
      <c r="I599" s="146"/>
      <c r="J599" s="167"/>
      <c r="K599" s="163"/>
      <c r="L599" s="163"/>
    </row>
    <row r="600" spans="1:12" s="354" customFormat="1">
      <c r="A600" s="230"/>
      <c r="B600" s="191"/>
      <c r="C600" s="120"/>
      <c r="D600" s="151"/>
      <c r="E600" s="383" t="s">
        <v>555</v>
      </c>
      <c r="F600" s="329">
        <f>(870.2+2*13.2*2)*1.1</f>
        <v>1015.3000000000001</v>
      </c>
      <c r="G600" s="121"/>
      <c r="H600" s="122"/>
      <c r="I600" s="146"/>
      <c r="J600" s="167"/>
      <c r="K600" s="163"/>
      <c r="L600" s="163"/>
    </row>
    <row r="601" spans="1:12" s="354" customFormat="1">
      <c r="A601" s="322"/>
      <c r="B601" s="119"/>
      <c r="C601" s="384"/>
      <c r="D601" s="151"/>
      <c r="E601" s="100"/>
      <c r="F601" s="165">
        <f>SUM(F598:F600)</f>
        <v>1050.94</v>
      </c>
      <c r="G601" s="121"/>
      <c r="H601" s="122"/>
      <c r="I601" s="146"/>
      <c r="J601" s="167"/>
      <c r="K601" s="163"/>
      <c r="L601" s="163"/>
    </row>
    <row r="602" spans="1:12" s="354" customFormat="1">
      <c r="A602" s="322"/>
      <c r="B602" s="119"/>
      <c r="C602" s="384"/>
      <c r="D602" s="151"/>
      <c r="E602" s="100"/>
      <c r="F602" s="165"/>
      <c r="G602" s="121"/>
      <c r="H602" s="122"/>
      <c r="I602" s="146"/>
      <c r="J602" s="167"/>
      <c r="K602" s="163"/>
      <c r="L602" s="163"/>
    </row>
    <row r="603" spans="1:12" s="354" customFormat="1">
      <c r="A603" s="322"/>
      <c r="B603" s="119"/>
      <c r="C603" s="384"/>
      <c r="D603" s="151"/>
      <c r="E603" s="100"/>
      <c r="F603" s="165"/>
      <c r="G603" s="121"/>
      <c r="H603" s="122"/>
      <c r="I603" s="146"/>
      <c r="J603" s="167"/>
      <c r="K603" s="163"/>
      <c r="L603" s="163"/>
    </row>
    <row r="604" spans="1:12" s="354" customFormat="1">
      <c r="A604" s="322"/>
      <c r="B604" s="231" t="s">
        <v>556</v>
      </c>
      <c r="C604" s="231"/>
      <c r="D604" s="233"/>
      <c r="E604" s="252" t="s">
        <v>557</v>
      </c>
      <c r="F604" s="165"/>
      <c r="G604" s="121"/>
      <c r="H604" s="122"/>
      <c r="I604" s="146"/>
      <c r="J604" s="167"/>
      <c r="K604" s="163"/>
      <c r="L604" s="163"/>
    </row>
    <row r="605" spans="1:12" s="354" customFormat="1">
      <c r="A605" s="322"/>
      <c r="B605" s="119"/>
      <c r="C605" s="384"/>
      <c r="D605" s="151"/>
      <c r="E605" s="100"/>
      <c r="F605" s="165"/>
      <c r="G605" s="121"/>
      <c r="H605" s="122"/>
      <c r="I605" s="146"/>
      <c r="J605" s="167"/>
      <c r="K605" s="163"/>
      <c r="L605" s="163"/>
    </row>
    <row r="606" spans="1:12" s="354" customFormat="1">
      <c r="A606" s="101">
        <f>MAX(A$1:A605)+1</f>
        <v>85</v>
      </c>
      <c r="B606" s="119"/>
      <c r="C606" s="138" t="s">
        <v>558</v>
      </c>
      <c r="D606" s="139"/>
      <c r="E606" s="140" t="s">
        <v>559</v>
      </c>
      <c r="F606" s="141"/>
      <c r="G606" s="142" t="s">
        <v>19</v>
      </c>
      <c r="H606" s="365">
        <v>2.0499999999999998</v>
      </c>
      <c r="I606" s="146"/>
      <c r="J606" s="167"/>
      <c r="K606" s="163"/>
      <c r="L606" s="163"/>
    </row>
    <row r="607" spans="1:12" s="354" customFormat="1">
      <c r="A607" s="322"/>
      <c r="B607" s="119"/>
      <c r="C607" s="384"/>
      <c r="D607" s="273" t="s">
        <v>560</v>
      </c>
      <c r="E607" s="274" t="s">
        <v>561</v>
      </c>
      <c r="F607" s="275"/>
      <c r="G607" s="133" t="s">
        <v>19</v>
      </c>
      <c r="H607" s="122">
        <v>2.0499999999999998</v>
      </c>
      <c r="I607" s="146"/>
      <c r="J607" s="167"/>
      <c r="K607" s="163"/>
      <c r="L607" s="163"/>
    </row>
    <row r="608" spans="1:12" s="354" customFormat="1">
      <c r="A608" s="322"/>
      <c r="B608" s="119"/>
      <c r="C608" s="384"/>
      <c r="D608" s="273"/>
      <c r="E608" s="278" t="s">
        <v>562</v>
      </c>
      <c r="F608" s="290">
        <f>0.4*0.4*0.8*16</f>
        <v>2.0480000000000005</v>
      </c>
      <c r="G608" s="133"/>
      <c r="H608" s="122"/>
      <c r="I608" s="146"/>
      <c r="J608" s="167"/>
      <c r="K608" s="163"/>
      <c r="L608" s="163"/>
    </row>
    <row r="609" spans="1:12" s="354" customFormat="1">
      <c r="A609" s="322"/>
      <c r="B609" s="119"/>
      <c r="C609" s="384"/>
      <c r="D609" s="273"/>
      <c r="E609" s="278"/>
      <c r="F609" s="290"/>
      <c r="G609" s="133"/>
      <c r="H609" s="122"/>
      <c r="I609" s="146"/>
      <c r="J609" s="167"/>
      <c r="K609" s="163"/>
      <c r="L609" s="163"/>
    </row>
    <row r="610" spans="1:12" s="354" customFormat="1">
      <c r="A610" s="101">
        <f>MAX(A$1:A609)+1</f>
        <v>86</v>
      </c>
      <c r="B610" s="119"/>
      <c r="C610" s="138" t="s">
        <v>720</v>
      </c>
      <c r="D610" s="139"/>
      <c r="E610" s="140" t="s">
        <v>722</v>
      </c>
      <c r="F610" s="141"/>
      <c r="G610" s="142" t="s">
        <v>19</v>
      </c>
      <c r="H610" s="365">
        <v>5.7</v>
      </c>
      <c r="I610" s="146"/>
      <c r="J610" s="167"/>
      <c r="K610" s="163"/>
      <c r="L610" s="163"/>
    </row>
    <row r="611" spans="1:12" s="354" customFormat="1" ht="25">
      <c r="A611" s="322"/>
      <c r="B611" s="119"/>
      <c r="C611" s="384"/>
      <c r="D611" s="273" t="s">
        <v>721</v>
      </c>
      <c r="E611" s="274" t="s">
        <v>723</v>
      </c>
      <c r="F611" s="275"/>
      <c r="G611" s="133" t="s">
        <v>19</v>
      </c>
      <c r="H611" s="385">
        <v>5.7</v>
      </c>
      <c r="I611" s="146"/>
      <c r="J611" s="167"/>
      <c r="K611" s="163"/>
      <c r="L611" s="163"/>
    </row>
    <row r="612" spans="1:12" s="354" customFormat="1" ht="39">
      <c r="A612" s="322"/>
      <c r="B612" s="119"/>
      <c r="C612" s="384"/>
      <c r="D612" s="273"/>
      <c r="E612" s="277" t="s">
        <v>737</v>
      </c>
      <c r="F612" s="298">
        <f>1*1.25*0.8+0.35*0.8*1.15+5.9*0.6*1.15+5.3*0.3*0.19</f>
        <v>5.6951000000000001</v>
      </c>
      <c r="G612" s="133"/>
      <c r="H612" s="122"/>
      <c r="I612" s="146"/>
      <c r="J612" s="167"/>
      <c r="K612" s="163"/>
      <c r="L612" s="163"/>
    </row>
    <row r="613" spans="1:12" s="354" customFormat="1">
      <c r="A613" s="322"/>
      <c r="B613" s="119"/>
      <c r="C613" s="384"/>
      <c r="D613" s="273"/>
      <c r="E613" s="277"/>
      <c r="F613" s="298"/>
      <c r="G613" s="133"/>
      <c r="H613" s="122"/>
      <c r="I613" s="146"/>
      <c r="J613" s="167"/>
      <c r="K613" s="163"/>
      <c r="L613" s="163"/>
    </row>
    <row r="614" spans="1:12" s="354" customFormat="1">
      <c r="A614" s="101">
        <f>MAX(A$1:A613)+1</f>
        <v>87</v>
      </c>
      <c r="B614" s="119"/>
      <c r="C614" s="138" t="s">
        <v>718</v>
      </c>
      <c r="D614" s="139"/>
      <c r="E614" s="140" t="s">
        <v>719</v>
      </c>
      <c r="F614" s="141"/>
      <c r="G614" s="142" t="s">
        <v>19</v>
      </c>
      <c r="H614" s="365">
        <v>0.66</v>
      </c>
      <c r="I614" s="146"/>
      <c r="J614" s="167"/>
      <c r="K614" s="163"/>
      <c r="L614" s="163"/>
    </row>
    <row r="615" spans="1:12" s="354" customFormat="1" ht="25">
      <c r="A615" s="322"/>
      <c r="B615" s="119"/>
      <c r="C615" s="384"/>
      <c r="D615" s="273" t="s">
        <v>724</v>
      </c>
      <c r="E615" s="274" t="s">
        <v>725</v>
      </c>
      <c r="F615" s="275"/>
      <c r="G615" s="133" t="s">
        <v>19</v>
      </c>
      <c r="H615" s="122">
        <v>0.66</v>
      </c>
      <c r="I615" s="146"/>
      <c r="J615" s="167"/>
      <c r="K615" s="163"/>
      <c r="L615" s="163"/>
    </row>
    <row r="616" spans="1:12" s="354" customFormat="1">
      <c r="A616" s="322"/>
      <c r="B616" s="119"/>
      <c r="C616" s="384"/>
      <c r="D616" s="273"/>
      <c r="E616" s="291" t="s">
        <v>705</v>
      </c>
      <c r="F616" s="284">
        <f>3.3*0.2</f>
        <v>0.66</v>
      </c>
      <c r="G616" s="133"/>
      <c r="H616" s="122"/>
      <c r="I616" s="146"/>
      <c r="J616" s="167"/>
      <c r="K616" s="163"/>
      <c r="L616" s="163"/>
    </row>
    <row r="617" spans="1:12" s="354" customFormat="1">
      <c r="A617" s="322"/>
      <c r="B617" s="119"/>
      <c r="C617" s="384"/>
      <c r="D617" s="273"/>
      <c r="E617" s="291"/>
      <c r="F617" s="284"/>
      <c r="G617" s="133"/>
      <c r="H617" s="122"/>
      <c r="I617" s="146"/>
      <c r="J617" s="167"/>
      <c r="K617" s="163"/>
      <c r="L617" s="163"/>
    </row>
    <row r="618" spans="1:12" s="354" customFormat="1">
      <c r="A618" s="101">
        <f>MAX(A$1:A617)+1</f>
        <v>88</v>
      </c>
      <c r="B618" s="119"/>
      <c r="C618" s="138" t="s">
        <v>726</v>
      </c>
      <c r="D618" s="139"/>
      <c r="E618" s="140" t="s">
        <v>727</v>
      </c>
      <c r="F618" s="141"/>
      <c r="G618" s="142" t="s">
        <v>14</v>
      </c>
      <c r="H618" s="365">
        <v>7.26</v>
      </c>
      <c r="I618" s="146"/>
      <c r="J618" s="167"/>
      <c r="K618" s="163"/>
      <c r="L618" s="163"/>
    </row>
    <row r="619" spans="1:12" s="354" customFormat="1">
      <c r="A619" s="322"/>
      <c r="B619" s="119"/>
      <c r="C619" s="194"/>
      <c r="D619" s="186" t="s">
        <v>728</v>
      </c>
      <c r="E619" s="187" t="s">
        <v>729</v>
      </c>
      <c r="F619" s="188"/>
      <c r="G619" s="189" t="s">
        <v>14</v>
      </c>
      <c r="H619" s="122">
        <v>7.26</v>
      </c>
      <c r="I619" s="146"/>
      <c r="J619" s="167"/>
      <c r="K619" s="163"/>
      <c r="L619" s="163"/>
    </row>
    <row r="620" spans="1:12" s="354" customFormat="1">
      <c r="A620" s="322"/>
      <c r="B620" s="119"/>
      <c r="C620" s="384"/>
      <c r="D620" s="273"/>
      <c r="E620" s="123" t="s">
        <v>706</v>
      </c>
      <c r="F620" s="386">
        <f>2*3.3*1.1</f>
        <v>7.26</v>
      </c>
      <c r="G620" s="133"/>
      <c r="H620" s="122"/>
      <c r="I620" s="146"/>
      <c r="J620" s="167"/>
      <c r="K620" s="163"/>
      <c r="L620" s="163"/>
    </row>
    <row r="621" spans="1:12" s="354" customFormat="1">
      <c r="A621" s="322"/>
      <c r="B621" s="119"/>
      <c r="C621" s="384"/>
      <c r="D621" s="273"/>
      <c r="E621" s="291"/>
      <c r="F621" s="284"/>
      <c r="G621" s="133"/>
      <c r="H621" s="122"/>
      <c r="I621" s="146"/>
      <c r="J621" s="167"/>
      <c r="K621" s="163"/>
      <c r="L621" s="163"/>
    </row>
    <row r="622" spans="1:12" s="354" customFormat="1">
      <c r="A622" s="101">
        <f>MAX(A$1:A621)+1</f>
        <v>89</v>
      </c>
      <c r="B622" s="119"/>
      <c r="C622" s="138" t="s">
        <v>730</v>
      </c>
      <c r="D622" s="139"/>
      <c r="E622" s="140" t="s">
        <v>731</v>
      </c>
      <c r="F622" s="141"/>
      <c r="G622" s="142" t="s">
        <v>11</v>
      </c>
      <c r="H622" s="365">
        <v>0.16</v>
      </c>
      <c r="I622" s="146"/>
      <c r="J622" s="167"/>
      <c r="K622" s="163"/>
      <c r="L622" s="163"/>
    </row>
    <row r="623" spans="1:12" s="354" customFormat="1" ht="25">
      <c r="A623" s="322"/>
      <c r="B623" s="119"/>
      <c r="C623" s="387"/>
      <c r="D623" s="186" t="s">
        <v>732</v>
      </c>
      <c r="E623" s="187" t="s">
        <v>733</v>
      </c>
      <c r="F623" s="188"/>
      <c r="G623" s="189" t="s">
        <v>11</v>
      </c>
      <c r="H623" s="122">
        <v>0.06</v>
      </c>
      <c r="I623" s="146"/>
      <c r="J623" s="167"/>
      <c r="K623" s="163"/>
      <c r="L623" s="163"/>
    </row>
    <row r="624" spans="1:12" s="354" customFormat="1">
      <c r="A624" s="322"/>
      <c r="B624" s="119"/>
      <c r="C624" s="387"/>
      <c r="D624" s="139"/>
      <c r="E624" s="123" t="s">
        <v>736</v>
      </c>
      <c r="F624" s="386">
        <f>0.064</f>
        <v>6.4000000000000001E-2</v>
      </c>
      <c r="G624" s="142"/>
      <c r="H624" s="122"/>
      <c r="I624" s="146"/>
      <c r="J624" s="167"/>
      <c r="K624" s="163"/>
      <c r="L624" s="163"/>
    </row>
    <row r="625" spans="1:12" s="354" customFormat="1" ht="25">
      <c r="A625" s="322"/>
      <c r="B625" s="119"/>
      <c r="C625" s="384"/>
      <c r="D625" s="186" t="s">
        <v>734</v>
      </c>
      <c r="E625" s="187" t="s">
        <v>735</v>
      </c>
      <c r="F625" s="188"/>
      <c r="G625" s="189" t="s">
        <v>11</v>
      </c>
      <c r="H625" s="122">
        <v>0.1</v>
      </c>
      <c r="I625" s="146"/>
      <c r="J625" s="167"/>
      <c r="K625" s="163"/>
      <c r="L625" s="163"/>
    </row>
    <row r="626" spans="1:12" s="354" customFormat="1">
      <c r="A626" s="322"/>
      <c r="B626" s="119"/>
      <c r="C626" s="384"/>
      <c r="D626" s="273"/>
      <c r="E626" s="123" t="s">
        <v>736</v>
      </c>
      <c r="F626" s="386">
        <f>0.095</f>
        <v>9.5000000000000001E-2</v>
      </c>
      <c r="G626" s="133"/>
      <c r="H626" s="122"/>
      <c r="I626" s="146"/>
      <c r="J626" s="167"/>
      <c r="K626" s="163"/>
      <c r="L626" s="163"/>
    </row>
    <row r="627" spans="1:12" s="354" customFormat="1">
      <c r="A627" s="322"/>
      <c r="B627" s="119"/>
      <c r="C627" s="384"/>
      <c r="D627" s="273"/>
      <c r="E627" s="123"/>
      <c r="F627" s="301"/>
      <c r="G627" s="133"/>
      <c r="H627" s="122"/>
      <c r="I627" s="146"/>
      <c r="J627" s="167"/>
      <c r="K627" s="163"/>
      <c r="L627" s="163"/>
    </row>
    <row r="628" spans="1:12" s="354" customFormat="1">
      <c r="A628" s="322"/>
      <c r="B628" s="119"/>
      <c r="C628" s="384"/>
      <c r="D628" s="273"/>
      <c r="E628" s="278"/>
      <c r="F628" s="290"/>
      <c r="G628" s="133"/>
      <c r="H628" s="122"/>
      <c r="I628" s="146"/>
      <c r="J628" s="167"/>
      <c r="K628" s="163"/>
      <c r="L628" s="163"/>
    </row>
    <row r="629" spans="1:12" s="354" customFormat="1">
      <c r="A629" s="322"/>
      <c r="B629" s="231" t="s">
        <v>563</v>
      </c>
      <c r="C629" s="231"/>
      <c r="D629" s="233"/>
      <c r="E629" s="252" t="s">
        <v>564</v>
      </c>
      <c r="F629" s="165"/>
      <c r="G629" s="121"/>
      <c r="H629" s="122"/>
      <c r="I629" s="146"/>
      <c r="J629" s="167"/>
      <c r="K629" s="163"/>
      <c r="L629" s="163"/>
    </row>
    <row r="630" spans="1:12" s="354" customFormat="1">
      <c r="A630" s="322"/>
      <c r="B630" s="119"/>
      <c r="C630" s="384"/>
      <c r="D630" s="151"/>
      <c r="E630" s="100"/>
      <c r="F630" s="165"/>
      <c r="G630" s="121"/>
      <c r="H630" s="122"/>
      <c r="I630" s="146"/>
      <c r="J630" s="167"/>
      <c r="K630" s="163"/>
      <c r="L630" s="163"/>
    </row>
    <row r="631" spans="1:12" s="354" customFormat="1">
      <c r="A631" s="101">
        <f>MAX(A$1:A630)+1</f>
        <v>90</v>
      </c>
      <c r="B631" s="119"/>
      <c r="C631" s="138" t="s">
        <v>565</v>
      </c>
      <c r="D631" s="139"/>
      <c r="E631" s="140" t="s">
        <v>566</v>
      </c>
      <c r="F631" s="141"/>
      <c r="G631" s="142" t="s">
        <v>16</v>
      </c>
      <c r="H631" s="365">
        <v>10.3</v>
      </c>
      <c r="I631" s="180"/>
      <c r="J631" s="167"/>
      <c r="K631" s="163"/>
      <c r="L631" s="163"/>
    </row>
    <row r="632" spans="1:12" s="354" customFormat="1" ht="39">
      <c r="A632" s="101"/>
      <c r="B632" s="119"/>
      <c r="C632" s="387"/>
      <c r="D632" s="139"/>
      <c r="E632" s="127" t="s">
        <v>567</v>
      </c>
      <c r="F632" s="128"/>
      <c r="G632" s="142"/>
      <c r="H632" s="122"/>
      <c r="I632" s="163"/>
      <c r="J632" s="167"/>
      <c r="K632" s="163"/>
      <c r="L632" s="163"/>
    </row>
    <row r="633" spans="1:12" s="354" customFormat="1">
      <c r="A633" s="101"/>
      <c r="B633" s="119"/>
      <c r="C633" s="387"/>
      <c r="D633" s="139"/>
      <c r="E633" s="127" t="s">
        <v>377</v>
      </c>
      <c r="F633" s="72"/>
      <c r="G633" s="142"/>
      <c r="H633" s="122"/>
      <c r="I633" s="163"/>
      <c r="J633" s="167"/>
      <c r="K633" s="163"/>
      <c r="L633" s="163"/>
    </row>
    <row r="634" spans="1:12" s="354" customFormat="1" ht="39">
      <c r="A634" s="101"/>
      <c r="B634" s="119"/>
      <c r="C634" s="387"/>
      <c r="D634" s="139"/>
      <c r="E634" s="127" t="s">
        <v>568</v>
      </c>
      <c r="F634" s="135"/>
      <c r="G634" s="142"/>
      <c r="H634" s="122"/>
      <c r="I634" s="163"/>
      <c r="J634" s="167"/>
      <c r="K634" s="163"/>
      <c r="L634" s="163"/>
    </row>
    <row r="635" spans="1:12" s="354" customFormat="1">
      <c r="A635" s="322"/>
      <c r="B635" s="119"/>
      <c r="C635" s="384"/>
      <c r="D635" s="151"/>
      <c r="E635" s="325" t="s">
        <v>379</v>
      </c>
      <c r="F635" s="326"/>
      <c r="G635" s="121"/>
      <c r="H635" s="122"/>
      <c r="I635" s="163"/>
      <c r="J635" s="167"/>
      <c r="K635" s="163"/>
      <c r="L635" s="163"/>
    </row>
    <row r="636" spans="1:12" s="354" customFormat="1">
      <c r="A636" s="322"/>
      <c r="B636" s="119"/>
      <c r="C636" s="384"/>
      <c r="D636" s="151"/>
      <c r="E636" s="325" t="s">
        <v>569</v>
      </c>
      <c r="F636" s="326">
        <f>10.3</f>
        <v>10.3</v>
      </c>
      <c r="G636" s="121"/>
      <c r="H636" s="122"/>
      <c r="I636" s="163"/>
      <c r="J636" s="167"/>
      <c r="K636" s="163"/>
      <c r="L636" s="163"/>
    </row>
    <row r="637" spans="1:12" s="354" customFormat="1">
      <c r="A637" s="322"/>
      <c r="B637" s="119"/>
      <c r="C637" s="384"/>
      <c r="D637" s="151"/>
      <c r="E637" s="325"/>
      <c r="F637" s="326"/>
      <c r="G637" s="121"/>
      <c r="H637" s="122"/>
      <c r="I637" s="163"/>
      <c r="J637" s="167"/>
      <c r="K637" s="163"/>
      <c r="L637" s="163"/>
    </row>
    <row r="638" spans="1:12" s="354" customFormat="1">
      <c r="A638" s="322"/>
      <c r="B638" s="388"/>
      <c r="C638" s="389"/>
      <c r="D638" s="233"/>
      <c r="E638" s="325"/>
      <c r="F638" s="328"/>
      <c r="G638" s="121"/>
      <c r="H638" s="122"/>
      <c r="I638" s="163"/>
      <c r="J638" s="167"/>
      <c r="K638" s="163"/>
      <c r="L638" s="163"/>
    </row>
    <row r="639" spans="1:12" s="354" customFormat="1">
      <c r="A639" s="322"/>
      <c r="B639" s="231" t="s">
        <v>570</v>
      </c>
      <c r="C639" s="231"/>
      <c r="D639" s="233"/>
      <c r="E639" s="252" t="s">
        <v>571</v>
      </c>
      <c r="F639" s="328"/>
      <c r="G639" s="121"/>
      <c r="H639" s="122"/>
      <c r="I639" s="163"/>
      <c r="J639" s="167"/>
      <c r="K639" s="163"/>
      <c r="L639" s="163"/>
    </row>
    <row r="640" spans="1:12" s="354" customFormat="1">
      <c r="A640" s="322"/>
      <c r="B640" s="388"/>
      <c r="C640" s="389"/>
      <c r="D640" s="233"/>
      <c r="E640" s="252"/>
      <c r="F640" s="165"/>
      <c r="G640" s="121"/>
      <c r="H640" s="122"/>
      <c r="I640" s="163"/>
      <c r="J640" s="167"/>
      <c r="K640" s="163"/>
      <c r="L640" s="163"/>
    </row>
    <row r="641" spans="1:12" s="354" customFormat="1" ht="26">
      <c r="A641" s="101">
        <f>MAX(A$1:A640)+1</f>
        <v>91</v>
      </c>
      <c r="B641" s="388"/>
      <c r="C641" s="138" t="s">
        <v>572</v>
      </c>
      <c r="D641" s="139"/>
      <c r="E641" s="140" t="s">
        <v>573</v>
      </c>
      <c r="F641" s="141"/>
      <c r="G641" s="142" t="s">
        <v>12</v>
      </c>
      <c r="H641" s="365">
        <v>16</v>
      </c>
      <c r="I641" s="146"/>
      <c r="J641" s="167"/>
      <c r="K641" s="163"/>
      <c r="L641" s="163"/>
    </row>
    <row r="642" spans="1:12" s="354" customFormat="1" ht="25">
      <c r="A642" s="322"/>
      <c r="B642" s="388"/>
      <c r="C642" s="194"/>
      <c r="D642" s="186" t="s">
        <v>574</v>
      </c>
      <c r="E642" s="187" t="s">
        <v>575</v>
      </c>
      <c r="F642" s="188"/>
      <c r="G642" s="189" t="s">
        <v>12</v>
      </c>
      <c r="H642" s="122">
        <v>16</v>
      </c>
      <c r="I642" s="146"/>
      <c r="J642" s="167"/>
      <c r="K642" s="163"/>
      <c r="L642" s="163"/>
    </row>
    <row r="643" spans="1:12" s="354" customFormat="1">
      <c r="A643" s="322"/>
      <c r="B643" s="388"/>
      <c r="C643" s="389"/>
      <c r="D643" s="233"/>
      <c r="E643" s="258" t="s">
        <v>576</v>
      </c>
      <c r="F643" s="165">
        <v>16</v>
      </c>
      <c r="G643" s="121"/>
      <c r="H643" s="122"/>
      <c r="I643" s="146"/>
      <c r="J643" s="167"/>
      <c r="K643" s="163"/>
      <c r="L643" s="163"/>
    </row>
    <row r="644" spans="1:12" s="354" customFormat="1">
      <c r="A644" s="322"/>
      <c r="B644" s="119"/>
      <c r="C644" s="384"/>
      <c r="D644" s="151"/>
      <c r="E644" s="100"/>
      <c r="F644" s="165"/>
      <c r="G644" s="121"/>
      <c r="H644" s="122"/>
      <c r="I644" s="146"/>
      <c r="J644" s="167"/>
      <c r="K644" s="163"/>
      <c r="L644" s="163"/>
    </row>
    <row r="645" spans="1:12" s="354" customFormat="1">
      <c r="A645" s="101">
        <f>MAX(A$1:A644)+1</f>
        <v>92</v>
      </c>
      <c r="B645" s="161"/>
      <c r="C645" s="138" t="s">
        <v>577</v>
      </c>
      <c r="D645" s="139"/>
      <c r="E645" s="103" t="s">
        <v>578</v>
      </c>
      <c r="F645" s="141"/>
      <c r="G645" s="142" t="s">
        <v>14</v>
      </c>
      <c r="H645" s="173">
        <v>108</v>
      </c>
      <c r="I645" s="146"/>
      <c r="J645" s="130"/>
      <c r="K645" s="163"/>
      <c r="L645" s="163"/>
    </row>
    <row r="646" spans="1:12" s="354" customFormat="1">
      <c r="A646" s="164"/>
      <c r="B646" s="108"/>
      <c r="C646" s="109"/>
      <c r="D646" s="151" t="s">
        <v>579</v>
      </c>
      <c r="E646" s="100" t="s">
        <v>580</v>
      </c>
      <c r="F646" s="215"/>
      <c r="G646" s="121" t="s">
        <v>14</v>
      </c>
      <c r="H646" s="97">
        <v>108</v>
      </c>
      <c r="I646" s="146"/>
      <c r="J646" s="167"/>
      <c r="K646" s="163"/>
      <c r="L646" s="163"/>
    </row>
    <row r="647" spans="1:12" s="354" customFormat="1">
      <c r="A647" s="217"/>
      <c r="B647" s="108"/>
      <c r="C647" s="109"/>
      <c r="D647" s="110"/>
      <c r="E647" s="127" t="s">
        <v>581</v>
      </c>
      <c r="F647" s="328">
        <f>2*30*1.8</f>
        <v>108</v>
      </c>
      <c r="G647" s="112"/>
      <c r="H647" s="97"/>
      <c r="I647" s="146"/>
      <c r="J647" s="167"/>
      <c r="K647" s="163"/>
      <c r="L647" s="163"/>
    </row>
    <row r="648" spans="1:12" s="354" customFormat="1">
      <c r="A648" s="322"/>
      <c r="B648" s="119"/>
      <c r="C648" s="384"/>
      <c r="D648" s="151"/>
      <c r="E648" s="100"/>
      <c r="F648" s="165"/>
      <c r="G648" s="121"/>
      <c r="H648" s="122"/>
      <c r="I648" s="146"/>
      <c r="J648" s="167"/>
      <c r="K648" s="163"/>
      <c r="L648" s="163"/>
    </row>
    <row r="649" spans="1:12" s="354" customFormat="1">
      <c r="A649" s="322"/>
      <c r="B649" s="119"/>
      <c r="C649" s="384"/>
      <c r="D649" s="151"/>
      <c r="E649" s="100"/>
      <c r="F649" s="165"/>
      <c r="G649" s="121"/>
      <c r="H649" s="122"/>
      <c r="I649" s="146"/>
      <c r="J649" s="167"/>
      <c r="K649" s="163"/>
      <c r="L649" s="163"/>
    </row>
    <row r="650" spans="1:12">
      <c r="A650" s="390"/>
      <c r="B650" s="231" t="s">
        <v>85</v>
      </c>
      <c r="C650" s="231"/>
      <c r="D650" s="233"/>
      <c r="E650" s="252" t="s">
        <v>86</v>
      </c>
      <c r="F650" s="158"/>
      <c r="G650" s="96"/>
      <c r="H650" s="97"/>
      <c r="I650" s="68"/>
      <c r="J650" s="130"/>
      <c r="L650" s="163"/>
    </row>
    <row r="651" spans="1:12">
      <c r="A651" s="390"/>
      <c r="B651" s="131"/>
      <c r="C651" s="91"/>
      <c r="D651" s="391"/>
      <c r="E651" s="158"/>
      <c r="F651" s="158"/>
      <c r="G651" s="96"/>
      <c r="H651" s="97"/>
      <c r="I651" s="68"/>
      <c r="J651" s="130"/>
      <c r="L651" s="163"/>
    </row>
    <row r="652" spans="1:12" ht="26">
      <c r="A652" s="101">
        <f>MAX(A$1:A651)+1</f>
        <v>93</v>
      </c>
      <c r="B652" s="332"/>
      <c r="C652" s="109" t="s">
        <v>95</v>
      </c>
      <c r="D652" s="110"/>
      <c r="E652" s="103" t="s">
        <v>96</v>
      </c>
      <c r="F652" s="111"/>
      <c r="G652" s="112" t="s">
        <v>14</v>
      </c>
      <c r="H652" s="104">
        <v>1047.19</v>
      </c>
      <c r="I652" s="68"/>
      <c r="J652" s="130"/>
      <c r="L652" s="163"/>
    </row>
    <row r="653" spans="1:12" ht="26">
      <c r="A653" s="90"/>
      <c r="B653" s="131"/>
      <c r="C653" s="91"/>
      <c r="D653" s="391"/>
      <c r="E653" s="7" t="s">
        <v>582</v>
      </c>
      <c r="F653" s="11"/>
      <c r="G653" s="96"/>
      <c r="H653" s="392"/>
      <c r="I653" s="68"/>
      <c r="J653" s="72"/>
      <c r="L653" s="163"/>
    </row>
    <row r="654" spans="1:12">
      <c r="A654" s="90"/>
      <c r="B654" s="131"/>
      <c r="C654" s="91"/>
      <c r="D654" s="391"/>
      <c r="E654" s="245" t="s">
        <v>583</v>
      </c>
      <c r="F654" s="330">
        <f>199.1+636.53+211.56</f>
        <v>1047.19</v>
      </c>
      <c r="G654" s="96"/>
      <c r="H654" s="392"/>
      <c r="I654" s="68"/>
      <c r="J654" s="72"/>
      <c r="L654" s="163"/>
    </row>
    <row r="655" spans="1:12">
      <c r="A655" s="390"/>
      <c r="B655" s="131"/>
      <c r="C655" s="91"/>
      <c r="D655" s="391"/>
      <c r="E655" s="158"/>
      <c r="F655" s="158"/>
      <c r="G655" s="96"/>
      <c r="H655" s="97"/>
      <c r="I655" s="68"/>
      <c r="J655" s="130"/>
      <c r="L655" s="163"/>
    </row>
    <row r="656" spans="1:12" ht="26">
      <c r="A656" s="101">
        <f>MAX(A$1:A655)+1</f>
        <v>94</v>
      </c>
      <c r="B656" s="332"/>
      <c r="C656" s="109" t="s">
        <v>43</v>
      </c>
      <c r="D656" s="110"/>
      <c r="E656" s="103" t="s">
        <v>93</v>
      </c>
      <c r="F656" s="103"/>
      <c r="G656" s="112" t="s">
        <v>14</v>
      </c>
      <c r="H656" s="104">
        <v>1095.94</v>
      </c>
      <c r="I656" s="68"/>
      <c r="J656" s="130"/>
      <c r="L656" s="163"/>
    </row>
    <row r="657" spans="1:12" ht="25" customHeight="1">
      <c r="A657" s="101"/>
      <c r="B657" s="332"/>
      <c r="C657" s="109"/>
      <c r="D657" s="393"/>
      <c r="E657" s="127" t="s">
        <v>584</v>
      </c>
      <c r="F657" s="103"/>
      <c r="G657" s="394"/>
      <c r="H657" s="395"/>
      <c r="J657" s="130"/>
      <c r="L657" s="163"/>
    </row>
    <row r="658" spans="1:12" ht="39">
      <c r="A658" s="396"/>
      <c r="B658" s="8"/>
      <c r="C658" s="8"/>
      <c r="D658" s="9"/>
      <c r="E658" s="7" t="s">
        <v>585</v>
      </c>
      <c r="F658" s="128">
        <f>636.53+199.1</f>
        <v>835.63</v>
      </c>
      <c r="G658" s="10"/>
      <c r="H658" s="397"/>
      <c r="J658" s="130"/>
      <c r="L658" s="163"/>
    </row>
    <row r="659" spans="1:12" ht="39">
      <c r="A659" s="101"/>
      <c r="B659" s="332"/>
      <c r="C659" s="109"/>
      <c r="D659" s="393"/>
      <c r="E659" s="127" t="s">
        <v>586</v>
      </c>
      <c r="F659" s="128"/>
      <c r="G659" s="394"/>
      <c r="H659" s="395"/>
      <c r="J659" s="130"/>
      <c r="L659" s="163"/>
    </row>
    <row r="660" spans="1:12" ht="25.5" customHeight="1">
      <c r="A660" s="101"/>
      <c r="B660" s="332"/>
      <c r="C660" s="109"/>
      <c r="D660" s="110"/>
      <c r="E660" s="127" t="s">
        <v>587</v>
      </c>
      <c r="F660" s="128">
        <f>2*16.25*1.5</f>
        <v>48.75</v>
      </c>
      <c r="G660" s="112"/>
      <c r="H660" s="395"/>
      <c r="J660" s="130"/>
      <c r="L660" s="163"/>
    </row>
    <row r="661" spans="1:12" ht="39">
      <c r="A661" s="178"/>
      <c r="B661" s="398"/>
      <c r="C661" s="238"/>
      <c r="D661" s="110"/>
      <c r="E661" s="7" t="s">
        <v>588</v>
      </c>
      <c r="F661" s="329">
        <f>211.56</f>
        <v>211.56</v>
      </c>
      <c r="G661" s="121"/>
      <c r="H661" s="395"/>
      <c r="J661" s="130"/>
      <c r="L661" s="163"/>
    </row>
    <row r="662" spans="1:12">
      <c r="A662" s="178"/>
      <c r="B662" s="398"/>
      <c r="C662" s="238"/>
      <c r="D662" s="110"/>
      <c r="E662" s="7"/>
      <c r="F662" s="399">
        <f>SUM(F658:F661)</f>
        <v>1095.94</v>
      </c>
      <c r="G662" s="121"/>
      <c r="H662" s="395"/>
      <c r="J662" s="130"/>
      <c r="L662" s="163"/>
    </row>
    <row r="663" spans="1:12">
      <c r="A663" s="178"/>
      <c r="B663" s="398"/>
      <c r="C663" s="238"/>
      <c r="D663" s="110"/>
      <c r="E663" s="7"/>
      <c r="F663" s="399"/>
      <c r="G663" s="121"/>
      <c r="H663" s="400"/>
      <c r="J663" s="130"/>
      <c r="L663" s="163"/>
    </row>
    <row r="664" spans="1:12" s="163" customFormat="1" ht="26">
      <c r="A664" s="101">
        <f>MAX(A$1:A663)+1</f>
        <v>95</v>
      </c>
      <c r="B664" s="108"/>
      <c r="C664" s="109" t="s">
        <v>589</v>
      </c>
      <c r="D664" s="110"/>
      <c r="E664" s="103" t="s">
        <v>590</v>
      </c>
      <c r="F664" s="111"/>
      <c r="G664" s="112" t="s">
        <v>14</v>
      </c>
      <c r="H664" s="365">
        <v>541.22</v>
      </c>
      <c r="I664" s="146"/>
    </row>
    <row r="665" spans="1:12" ht="26">
      <c r="A665" s="390"/>
      <c r="B665" s="131"/>
      <c r="C665" s="91"/>
      <c r="D665" s="391"/>
      <c r="E665" s="258" t="s">
        <v>591</v>
      </c>
      <c r="F665" s="158"/>
      <c r="G665" s="96"/>
      <c r="H665" s="97"/>
      <c r="I665" s="68"/>
      <c r="J665" s="130"/>
      <c r="L665" s="163"/>
    </row>
    <row r="666" spans="1:12">
      <c r="A666" s="90"/>
      <c r="B666" s="131"/>
      <c r="C666" s="91"/>
      <c r="D666" s="391"/>
      <c r="E666" s="245" t="s">
        <v>583</v>
      </c>
      <c r="F666" s="330">
        <f xml:space="preserve"> 81.42+47.11+25.71+288.4+98.58</f>
        <v>541.22</v>
      </c>
      <c r="G666" s="96"/>
      <c r="H666" s="392"/>
      <c r="I666" s="68"/>
      <c r="J666" s="72"/>
      <c r="L666" s="163"/>
    </row>
    <row r="667" spans="1:12">
      <c r="A667" s="178"/>
      <c r="B667" s="398"/>
      <c r="C667" s="238"/>
      <c r="D667" s="110"/>
      <c r="E667" s="7"/>
      <c r="F667" s="399"/>
      <c r="G667" s="121"/>
      <c r="H667" s="400"/>
      <c r="I667" s="68"/>
      <c r="J667" s="130"/>
      <c r="L667" s="163"/>
    </row>
    <row r="668" spans="1:12" s="163" customFormat="1" ht="26">
      <c r="A668" s="101">
        <f>MAX(A$1:A667)+1</f>
        <v>96</v>
      </c>
      <c r="B668" s="108"/>
      <c r="C668" s="109" t="s">
        <v>592</v>
      </c>
      <c r="D668" s="110"/>
      <c r="E668" s="103" t="s">
        <v>593</v>
      </c>
      <c r="F668" s="111"/>
      <c r="G668" s="112" t="s">
        <v>14</v>
      </c>
      <c r="H668" s="173">
        <v>556.62</v>
      </c>
      <c r="I668" s="146"/>
    </row>
    <row r="669" spans="1:12" s="163" customFormat="1">
      <c r="A669" s="101"/>
      <c r="B669" s="119"/>
      <c r="C669" s="109"/>
      <c r="D669" s="393"/>
      <c r="E669" s="123" t="s">
        <v>594</v>
      </c>
      <c r="F669" s="111"/>
      <c r="G669" s="394"/>
      <c r="H669" s="401"/>
      <c r="I669" s="146"/>
    </row>
    <row r="670" spans="1:12" s="163" customFormat="1" ht="26">
      <c r="A670" s="101"/>
      <c r="B670" s="119"/>
      <c r="C670" s="109"/>
      <c r="D670" s="110"/>
      <c r="E670" s="123" t="s">
        <v>693</v>
      </c>
      <c r="F670" s="216">
        <f>0.5*(288.4+98.58)</f>
        <v>193.48999999999998</v>
      </c>
      <c r="G670" s="112"/>
      <c r="H670" s="401"/>
      <c r="I670" s="146"/>
    </row>
    <row r="671" spans="1:12">
      <c r="A671" s="178"/>
      <c r="B671" s="398"/>
      <c r="C671" s="238"/>
      <c r="D671" s="393"/>
      <c r="E671" s="127" t="s">
        <v>694</v>
      </c>
      <c r="F671" s="399"/>
      <c r="G671" s="394"/>
      <c r="H671" s="400"/>
      <c r="I671" s="68"/>
      <c r="J671" s="130"/>
      <c r="L671" s="163"/>
    </row>
    <row r="672" spans="1:12" ht="26">
      <c r="A672" s="178"/>
      <c r="B672" s="398"/>
      <c r="C672" s="238"/>
      <c r="D672" s="110"/>
      <c r="E672" s="123" t="s">
        <v>695</v>
      </c>
      <c r="F672" s="399">
        <f>0.5*(288.4+98.58)</f>
        <v>193.48999999999998</v>
      </c>
      <c r="G672" s="121"/>
      <c r="H672" s="400"/>
      <c r="I672" s="68"/>
      <c r="J672" s="130"/>
      <c r="L672" s="163"/>
    </row>
    <row r="673" spans="1:18" ht="26">
      <c r="A673" s="178"/>
      <c r="B673" s="398"/>
      <c r="C673" s="238"/>
      <c r="D673" s="110"/>
      <c r="E673" s="123" t="s">
        <v>696</v>
      </c>
      <c r="F673" s="399">
        <f>81.4+47.11+25.71</f>
        <v>154.22</v>
      </c>
      <c r="G673" s="121"/>
      <c r="H673" s="400"/>
      <c r="I673" s="68"/>
      <c r="J673" s="130"/>
      <c r="L673" s="163"/>
    </row>
    <row r="674" spans="1:18" ht="26">
      <c r="A674" s="178"/>
      <c r="B674" s="398"/>
      <c r="C674" s="238"/>
      <c r="D674" s="110"/>
      <c r="E674" s="7" t="s">
        <v>595</v>
      </c>
      <c r="F674" s="402">
        <f xml:space="preserve"> (81.4+47.11+25.71)*0.1</f>
        <v>15.422000000000001</v>
      </c>
      <c r="G674" s="121"/>
      <c r="H674" s="395"/>
      <c r="I674" s="68"/>
      <c r="J674" s="130"/>
      <c r="L674" s="163"/>
    </row>
    <row r="675" spans="1:18">
      <c r="A675" s="178"/>
      <c r="B675" s="398"/>
      <c r="C675" s="238"/>
      <c r="D675" s="110"/>
      <c r="E675" s="7"/>
      <c r="F675" s="399">
        <f>SUM(F670:F674)</f>
        <v>556.62199999999996</v>
      </c>
      <c r="G675" s="121"/>
      <c r="H675" s="400"/>
      <c r="I675" s="68"/>
      <c r="J675" s="130"/>
      <c r="L675" s="163"/>
    </row>
    <row r="676" spans="1:18">
      <c r="A676" s="178"/>
      <c r="B676" s="398"/>
      <c r="C676" s="238"/>
      <c r="D676" s="110"/>
      <c r="E676" s="7"/>
      <c r="F676" s="399"/>
      <c r="G676" s="121"/>
      <c r="H676" s="400"/>
      <c r="I676" s="68"/>
      <c r="J676" s="130"/>
      <c r="L676" s="163"/>
    </row>
    <row r="677" spans="1:18">
      <c r="A677" s="178"/>
      <c r="B677" s="398"/>
      <c r="C677" s="238"/>
      <c r="D677" s="110"/>
      <c r="E677" s="7"/>
      <c r="F677" s="399"/>
      <c r="G677" s="121"/>
      <c r="H677" s="400"/>
      <c r="I677" s="68"/>
      <c r="J677" s="130"/>
      <c r="L677" s="163"/>
    </row>
    <row r="678" spans="1:18">
      <c r="A678" s="322"/>
      <c r="B678" s="231" t="s">
        <v>87</v>
      </c>
      <c r="C678" s="231"/>
      <c r="D678" s="233"/>
      <c r="E678" s="252" t="s">
        <v>88</v>
      </c>
      <c r="F678" s="403"/>
      <c r="G678" s="121"/>
      <c r="H678" s="122"/>
      <c r="I678" s="68"/>
      <c r="L678" s="163"/>
    </row>
    <row r="679" spans="1:18">
      <c r="A679" s="322"/>
      <c r="B679" s="398"/>
      <c r="C679" s="238"/>
      <c r="D679" s="110"/>
      <c r="E679" s="158"/>
      <c r="F679" s="403"/>
      <c r="G679" s="121"/>
      <c r="H679" s="122"/>
      <c r="I679" s="68"/>
      <c r="L679" s="163"/>
    </row>
    <row r="680" spans="1:18">
      <c r="A680" s="101">
        <f>MAX(A$1:A678)+1</f>
        <v>97</v>
      </c>
      <c r="B680" s="108"/>
      <c r="C680" s="109" t="s">
        <v>54</v>
      </c>
      <c r="D680" s="110"/>
      <c r="E680" s="103" t="s">
        <v>55</v>
      </c>
      <c r="F680" s="361"/>
      <c r="G680" s="112" t="s">
        <v>14</v>
      </c>
      <c r="H680" s="113">
        <v>948.97</v>
      </c>
      <c r="I680" s="68"/>
      <c r="L680" s="163"/>
    </row>
    <row r="681" spans="1:18">
      <c r="A681" s="322"/>
      <c r="B681" s="108"/>
      <c r="C681" s="110"/>
      <c r="D681" s="151" t="s">
        <v>596</v>
      </c>
      <c r="E681" s="100" t="s">
        <v>597</v>
      </c>
      <c r="F681" s="165"/>
      <c r="G681" s="121" t="s">
        <v>14</v>
      </c>
      <c r="H681" s="122">
        <v>948.97</v>
      </c>
      <c r="I681" s="68"/>
      <c r="L681" s="163"/>
    </row>
    <row r="682" spans="1:18" ht="26">
      <c r="A682" s="322"/>
      <c r="B682" s="119"/>
      <c r="C682" s="384"/>
      <c r="D682" s="151"/>
      <c r="E682" s="123" t="s">
        <v>598</v>
      </c>
      <c r="F682" s="165">
        <f>16.23*0.4*2*2</f>
        <v>25.968000000000004</v>
      </c>
      <c r="G682" s="121"/>
      <c r="H682" s="122"/>
      <c r="I682" s="68"/>
      <c r="L682" s="163"/>
    </row>
    <row r="683" spans="1:18" ht="25.5" customHeight="1">
      <c r="A683" s="322"/>
      <c r="B683" s="126"/>
      <c r="C683" s="191"/>
      <c r="D683" s="404"/>
      <c r="E683" s="405" t="s">
        <v>599</v>
      </c>
      <c r="F683" s="329">
        <f>870.2+2*13.2*2</f>
        <v>923</v>
      </c>
      <c r="G683" s="121"/>
      <c r="H683" s="406"/>
      <c r="I683" s="68"/>
      <c r="L683" s="163"/>
    </row>
    <row r="684" spans="1:18">
      <c r="A684" s="322"/>
      <c r="B684" s="407"/>
      <c r="C684" s="408"/>
      <c r="E684" s="409"/>
      <c r="F684" s="410">
        <f>SUM(F682:F683)</f>
        <v>948.96799999999996</v>
      </c>
      <c r="G684" s="408"/>
      <c r="H684" s="392"/>
      <c r="I684" s="68"/>
      <c r="L684" s="163"/>
    </row>
    <row r="685" spans="1:18">
      <c r="A685" s="322"/>
      <c r="B685" s="407"/>
      <c r="C685" s="408"/>
      <c r="E685" s="409"/>
      <c r="F685" s="410"/>
      <c r="G685" s="408"/>
      <c r="H685" s="392"/>
      <c r="I685" s="68"/>
      <c r="L685" s="163"/>
    </row>
    <row r="686" spans="1:18" s="241" customFormat="1" ht="26">
      <c r="A686" s="101">
        <f>MAX(A$1:A684)+1</f>
        <v>98</v>
      </c>
      <c r="B686" s="108"/>
      <c r="C686" s="109" t="s">
        <v>56</v>
      </c>
      <c r="D686" s="110"/>
      <c r="E686" s="103" t="s">
        <v>57</v>
      </c>
      <c r="F686" s="111"/>
      <c r="G686" s="112" t="s">
        <v>14</v>
      </c>
      <c r="H686" s="113">
        <v>2416.65</v>
      </c>
      <c r="I686" s="411"/>
      <c r="J686" s="72"/>
      <c r="K686" s="72"/>
      <c r="L686" s="163"/>
      <c r="M686" s="72"/>
      <c r="N686" s="72"/>
      <c r="O686" s="72"/>
      <c r="P686" s="72"/>
      <c r="Q686" s="72"/>
      <c r="R686" s="72"/>
    </row>
    <row r="687" spans="1:18" s="241" customFormat="1" ht="25">
      <c r="A687" s="176"/>
      <c r="B687" s="191"/>
      <c r="C687" s="120"/>
      <c r="D687" s="151" t="s">
        <v>58</v>
      </c>
      <c r="E687" s="100" t="s">
        <v>59</v>
      </c>
      <c r="F687" s="215"/>
      <c r="G687" s="121" t="s">
        <v>14</v>
      </c>
      <c r="H687" s="122">
        <v>2416.65</v>
      </c>
      <c r="I687" s="68"/>
      <c r="J687" s="72"/>
      <c r="K687" s="72"/>
      <c r="L687" s="163"/>
      <c r="M687" s="72"/>
      <c r="N687" s="72"/>
      <c r="O687" s="72"/>
      <c r="P687" s="72"/>
      <c r="Q687" s="72"/>
      <c r="R687" s="72"/>
    </row>
    <row r="688" spans="1:18" s="241" customFormat="1">
      <c r="A688" s="90"/>
      <c r="B688" s="412"/>
      <c r="C688" s="391"/>
      <c r="D688" s="413"/>
      <c r="E688" s="414" t="s">
        <v>60</v>
      </c>
      <c r="F688" s="260"/>
      <c r="G688" s="133"/>
      <c r="H688" s="263"/>
      <c r="I688" s="68"/>
      <c r="J688" s="72"/>
      <c r="K688" s="72"/>
      <c r="L688" s="163"/>
      <c r="M688" s="72"/>
      <c r="N688" s="72"/>
      <c r="O688" s="72"/>
      <c r="P688" s="72"/>
      <c r="Q688" s="72"/>
      <c r="R688" s="72"/>
    </row>
    <row r="689" spans="1:18" s="241" customFormat="1" ht="26">
      <c r="A689" s="101"/>
      <c r="B689" s="412"/>
      <c r="C689" s="391"/>
      <c r="D689" s="413"/>
      <c r="E689" s="383" t="s">
        <v>701</v>
      </c>
      <c r="F689" s="415">
        <f>1047.19+541.22</f>
        <v>1588.41</v>
      </c>
      <c r="G689" s="133"/>
      <c r="H689" s="263"/>
      <c r="I689" s="68"/>
      <c r="J689" s="72"/>
      <c r="K689" s="72"/>
      <c r="L689" s="163"/>
      <c r="M689" s="72"/>
      <c r="N689" s="72"/>
      <c r="O689" s="72"/>
      <c r="P689" s="72"/>
      <c r="Q689" s="72"/>
      <c r="R689" s="72"/>
    </row>
    <row r="690" spans="1:18" s="241" customFormat="1" ht="26">
      <c r="A690" s="101"/>
      <c r="B690" s="412"/>
      <c r="C690" s="391"/>
      <c r="D690" s="413"/>
      <c r="E690" s="383" t="s">
        <v>703</v>
      </c>
      <c r="F690" s="224">
        <f>((40.7+34.7)/2-1.65)*11.2+ ((19.5*11.2)+((21.9+18.2)/2-1.65)*11.2)</f>
        <v>828.24</v>
      </c>
      <c r="G690" s="133"/>
      <c r="H690" s="263"/>
      <c r="I690" s="68"/>
      <c r="J690" s="72"/>
      <c r="K690" s="72"/>
      <c r="L690" s="163"/>
      <c r="M690" s="72"/>
      <c r="N690" s="72"/>
      <c r="O690" s="72"/>
      <c r="P690" s="72"/>
      <c r="Q690" s="72"/>
      <c r="R690" s="72"/>
    </row>
    <row r="691" spans="1:18" s="241" customFormat="1">
      <c r="A691" s="101"/>
      <c r="B691" s="412"/>
      <c r="C691" s="391"/>
      <c r="D691" s="413"/>
      <c r="E691" s="383"/>
      <c r="F691" s="415">
        <f>SUM(F689:F690)</f>
        <v>2416.65</v>
      </c>
      <c r="G691" s="133"/>
      <c r="H691" s="263"/>
      <c r="I691" s="68"/>
      <c r="J691" s="72"/>
      <c r="K691" s="72"/>
      <c r="L691" s="163"/>
      <c r="M691" s="72"/>
      <c r="N691" s="72"/>
      <c r="O691" s="72"/>
      <c r="P691" s="72"/>
      <c r="Q691" s="72"/>
      <c r="R691" s="72"/>
    </row>
    <row r="692" spans="1:18" s="241" customFormat="1">
      <c r="A692" s="90"/>
      <c r="B692" s="412"/>
      <c r="C692" s="391"/>
      <c r="D692" s="413"/>
      <c r="E692" s="325"/>
      <c r="F692" s="416"/>
      <c r="G692" s="133"/>
      <c r="H692" s="263"/>
      <c r="I692" s="68"/>
      <c r="J692" s="72"/>
      <c r="K692" s="72"/>
      <c r="L692" s="163"/>
      <c r="M692" s="72"/>
      <c r="N692" s="72"/>
      <c r="O692" s="72"/>
      <c r="P692" s="72"/>
      <c r="Q692" s="72"/>
      <c r="R692" s="72"/>
    </row>
    <row r="693" spans="1:18" s="129" customFormat="1" ht="26">
      <c r="A693" s="101">
        <f>MAX(A$1:A692)+1</f>
        <v>99</v>
      </c>
      <c r="B693" s="191"/>
      <c r="C693" s="417" t="s">
        <v>600</v>
      </c>
      <c r="D693" s="110"/>
      <c r="E693" s="103" t="s">
        <v>601</v>
      </c>
      <c r="F693" s="215"/>
      <c r="G693" s="112" t="s">
        <v>14</v>
      </c>
      <c r="H693" s="113">
        <v>2416.65</v>
      </c>
      <c r="I693" s="146"/>
      <c r="J693" s="130"/>
      <c r="L693" s="163"/>
    </row>
    <row r="694" spans="1:18" s="129" customFormat="1" ht="25">
      <c r="A694" s="176"/>
      <c r="B694" s="191"/>
      <c r="C694" s="109"/>
      <c r="D694" s="151" t="s">
        <v>602</v>
      </c>
      <c r="E694" s="100" t="s">
        <v>603</v>
      </c>
      <c r="F694" s="215"/>
      <c r="G694" s="121" t="s">
        <v>14</v>
      </c>
      <c r="H694" s="122">
        <v>2416.65</v>
      </c>
      <c r="J694" s="130"/>
      <c r="L694" s="163"/>
    </row>
    <row r="695" spans="1:18" s="129" customFormat="1" ht="26">
      <c r="A695" s="176"/>
      <c r="B695" s="191"/>
      <c r="C695" s="109"/>
      <c r="D695" s="110"/>
      <c r="E695" s="127" t="s">
        <v>702</v>
      </c>
      <c r="F695" s="165">
        <f>1047.19+541.22</f>
        <v>1588.41</v>
      </c>
      <c r="G695" s="112"/>
      <c r="H695" s="166"/>
      <c r="J695" s="130"/>
      <c r="L695" s="163"/>
    </row>
    <row r="696" spans="1:18" s="129" customFormat="1" ht="39">
      <c r="A696" s="176"/>
      <c r="B696" s="191"/>
      <c r="C696" s="120"/>
      <c r="D696" s="151"/>
      <c r="E696" s="127" t="s">
        <v>704</v>
      </c>
      <c r="F696" s="329">
        <f>((40.7+34.7)/2-1.65)*11.2+((19.5*11.2)+((21.9+18.2)/2-1.65)*11.2)</f>
        <v>828.24</v>
      </c>
      <c r="G696" s="121"/>
      <c r="H696" s="166"/>
      <c r="J696" s="130"/>
      <c r="L696" s="163"/>
    </row>
    <row r="697" spans="1:18">
      <c r="A697" s="322"/>
      <c r="B697" s="407"/>
      <c r="C697" s="408"/>
      <c r="E697" s="409"/>
      <c r="F697" s="418">
        <f>SUM(F695:F696)</f>
        <v>2416.65</v>
      </c>
      <c r="G697" s="408"/>
      <c r="H697" s="392"/>
      <c r="L697" s="163"/>
    </row>
    <row r="698" spans="1:18" ht="13.5" thickBot="1">
      <c r="A698" s="419"/>
      <c r="B698" s="420"/>
      <c r="C698" s="421"/>
      <c r="D698" s="422"/>
      <c r="E698" s="423"/>
      <c r="F698" s="424"/>
      <c r="G698" s="421"/>
      <c r="H698" s="425"/>
      <c r="L698" s="163"/>
    </row>
    <row r="699" spans="1:18">
      <c r="L699" s="427"/>
    </row>
  </sheetData>
  <sheetProtection algorithmName="SHA-512" hashValue="C5aFfa4mJKPwXV5Nf4bQ48ej3y8HHkK0+YWy/DllehpfO2UwSeFv8xOT2nu9btlSNNqYOc175i/QS9/0bssQ6g==" saltValue="nyiqnpsDy4UdGBgRheU07Q==" spinCount="100000" sheet="1" objects="1" scenarios="1"/>
  <autoFilter ref="A1:A698"/>
  <mergeCells count="4">
    <mergeCell ref="A3:C3"/>
    <mergeCell ref="E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&amp;LOPRAVA DIAĽNIČNÉHO MOSTA EV. Č. D1-073 HLOHOVEC, PRAVÝ MOST
&amp;RPríloha  č. 1 k časti B.2  (zároveň Príloha č.2 k zmluve)</oddHeader>
    <oddFooter>&amp;C&amp;P/&amp;N</oddFooter>
  </headerFooter>
  <rowBreaks count="15" manualBreakCount="15">
    <brk id="36" max="16383" man="1"/>
    <brk id="73" max="16383" man="1"/>
    <brk id="122" max="16383" man="1"/>
    <brk id="166" max="16383" man="1"/>
    <brk id="219" max="16383" man="1"/>
    <brk id="271" max="16383" man="1"/>
    <brk id="313" max="16383" man="1"/>
    <brk id="356" max="16383" man="1"/>
    <brk id="400" max="16383" man="1"/>
    <brk id="447" max="16383" man="1"/>
    <brk id="492" max="16383" man="1"/>
    <brk id="535" max="16383" man="1"/>
    <brk id="582" max="16383" man="1"/>
    <brk id="638" max="16383" man="1"/>
    <brk id="6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Rekapitulácia stavby</vt:lpstr>
      <vt:lpstr>Súpis prác+Všeobecné položky</vt:lpstr>
      <vt:lpstr>Časti stavby</vt:lpstr>
      <vt:lpstr> výkaz D1-073</vt:lpstr>
      <vt:lpstr>' výkaz D1-073'!Názvy_tlače</vt:lpstr>
      <vt:lpstr>'Časti stavby'!Názvy_tlače</vt:lpstr>
      <vt:lpstr>'Súpis prác+Všeobecné položky'!Názvy_tlače</vt:lpstr>
      <vt:lpstr>'Časti stavby'!Oblasť_tlače</vt:lpstr>
    </vt:vector>
  </TitlesOfParts>
  <Company>DOPRAVOPROJEKT 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Bolečková Júlia</dc:creator>
  <cp:lastModifiedBy>Kertysová Mária</cp:lastModifiedBy>
  <cp:lastPrinted>2023-06-14T12:35:52Z</cp:lastPrinted>
  <dcterms:created xsi:type="dcterms:W3CDTF">2007-09-26T13:00:51Z</dcterms:created>
  <dcterms:modified xsi:type="dcterms:W3CDTF">2023-06-14T12:38:56Z</dcterms:modified>
</cp:coreProperties>
</file>